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5.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6.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7.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8.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9.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0.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1.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2.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3.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4.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drawings/drawing17.xml" ContentType="application/vnd.openxmlformats-officedocument.drawing+xml"/>
  <Override PartName="/xl/drawings/drawing18.xml" ContentType="application/vnd.openxmlformats-officedocument.drawing+xml"/>
  <Override PartName="/xl/tables/table1.xml" ContentType="application/vnd.openxmlformats-officedocument.spreadsheetml.table+xml"/>
  <Override PartName="/xl/comments15.xml" ContentType="application/vnd.openxmlformats-officedocument.spreadsheetml.comments+xml"/>
  <Override PartName="/xl/threadedComments/threadedComment15.xml" ContentType="application/vnd.ms-excel.threadedcomments+xml"/>
  <Override PartName="/xl/drawings/drawing19.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C:\Users\GNabors\Downloads\fim\data\"/>
    </mc:Choice>
  </mc:AlternateContent>
  <xr:revisionPtr revIDLastSave="0" documentId="13_ncr:1_{016D675C-91D2-45DE-A979-785AAF1141B3}" xr6:coauthVersionLast="47" xr6:coauthVersionMax="47" xr10:uidLastSave="{00000000-0000-0000-0000-000000000000}"/>
  <bookViews>
    <workbookView xWindow="28695" yWindow="-120" windowWidth="29040" windowHeight="15720" firstSheet="9" activeTab="9" xr2:uid="{00000000-000D-0000-FFFF-FFFF00000000}"/>
  </bookViews>
  <sheets>
    <sheet name="Guide to the FIM Spreadsheet" sheetId="54" r:id="rId1"/>
    <sheet name="Checklist (New Quarter Release)" sheetId="53" r:id="rId2"/>
    <sheet name="Checklist (Monthly Revision)" sheetId="51" r:id="rId3"/>
    <sheet name="Revisions" sheetId="46" r:id="rId4"/>
    <sheet name="Checklist (CBO Budget Release)" sheetId="19" r:id="rId5"/>
    <sheet name="Haver Pivoted" sheetId="24" r:id="rId6"/>
    <sheet name="historical overrides" sheetId="50" r:id="rId7"/>
    <sheet name="deflators_override" sheetId="71" r:id="rId8"/>
    <sheet name="forecast comparison" sheetId="55" r:id="rId9"/>
    <sheet name="MPI" sheetId="80" r:id="rId10"/>
    <sheet name="forecast" sheetId="35" r:id="rId11"/>
    <sheet name="mpc" sheetId="56" r:id="rId12"/>
    <sheet name="Unemployment Insurance" sheetId="25" r:id="rId13"/>
    <sheet name="Unemployment Insurance - lorae" sheetId="74" state="hidden" r:id="rId14"/>
    <sheet name="Grants" sheetId="26" r:id="rId15"/>
    <sheet name="Federal and State Purchases" sheetId="20" r:id="rId16"/>
    <sheet name="Subsidies" sheetId="30" r:id="rId17"/>
    <sheet name="Medicaid" sheetId="49" r:id="rId18"/>
    <sheet name="Medicare" sheetId="33" r:id="rId19"/>
    <sheet name="Student loans" sheetId="67" r:id="rId20"/>
    <sheet name="Social Benefits" sheetId="59" r:id="rId21"/>
    <sheet name="Social Benefits (BETA VERSION)" sheetId="75" r:id="rId22"/>
    <sheet name="Social Benefits (EXPLANATION)" sheetId="77" r:id="rId23"/>
    <sheet name="Supply Side IRA" sheetId="78" r:id="rId24"/>
    <sheet name="Taxes" sheetId="48" r:id="rId25"/>
    <sheet name="Deflators" sheetId="70" r:id="rId26"/>
    <sheet name="PPP (expired)" sheetId="38" r:id="rId27"/>
    <sheet name="Provider Relief (expired)" sheetId="40" r:id="rId28"/>
    <sheet name="Rebate Checks (expired)" sheetId="29" r:id="rId29"/>
    <sheet name="Cares Act Scores" sheetId="36" r:id="rId30"/>
    <sheet name="IRA and CHIPS" sheetId="65" r:id="rId31"/>
    <sheet name="Response and Relief Act Score" sheetId="27" r:id="rId32"/>
    <sheet name="ARP Score" sheetId="5" r:id="rId33"/>
    <sheet name="ARP Timing" sheetId="6" r:id="rId34"/>
    <sheet name="ARP Quarterly" sheetId="21" r:id="rId35"/>
    <sheet name="Deflators_original" sheetId="63" state="hidden" r:id="rId36"/>
  </sheets>
  <calcPr calcId="191029"/>
  <pivotCaches>
    <pivotCache cacheId="0" r:id="rId3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28" i="48" l="1"/>
  <c r="AH103" i="48"/>
  <c r="AI103" i="48"/>
  <c r="AJ103" i="48"/>
  <c r="AK103" i="48"/>
  <c r="AK21" i="48" s="1"/>
  <c r="AL103" i="48"/>
  <c r="AL21" i="48" s="1"/>
  <c r="AM103" i="48"/>
  <c r="AM21" i="48" s="1"/>
  <c r="AN103" i="48"/>
  <c r="AE21" i="48"/>
  <c r="AF21" i="48"/>
  <c r="AG21" i="48"/>
  <c r="AH21" i="48"/>
  <c r="AI21" i="48"/>
  <c r="AJ21" i="48"/>
  <c r="AN21" i="48"/>
  <c r="AD19" i="48"/>
  <c r="AC21" i="48"/>
  <c r="T13" i="20"/>
  <c r="U13" i="20"/>
  <c r="V13" i="20"/>
  <c r="W13" i="20"/>
  <c r="X13" i="20"/>
  <c r="Y13" i="20"/>
  <c r="Z13" i="20"/>
  <c r="AA13" i="20"/>
  <c r="AB13" i="20"/>
  <c r="AC13" i="20"/>
  <c r="AD13" i="20"/>
  <c r="AE13" i="20"/>
  <c r="AF13" i="20"/>
  <c r="AG13" i="20"/>
  <c r="AH13" i="20"/>
  <c r="AI13" i="20"/>
  <c r="AJ13" i="20"/>
  <c r="AK13" i="20"/>
  <c r="AL13" i="20"/>
  <c r="AM13" i="20"/>
  <c r="AN13" i="20"/>
  <c r="S13" i="20"/>
  <c r="U55" i="70"/>
  <c r="V55" i="70"/>
  <c r="W55" i="70" s="1"/>
  <c r="X55" i="70" s="1"/>
  <c r="Y55" i="70" s="1"/>
  <c r="Z55" i="70" s="1"/>
  <c r="AA55" i="70" s="1"/>
  <c r="AB55" i="70" s="1"/>
  <c r="AC55" i="70" s="1"/>
  <c r="AD55" i="70" s="1"/>
  <c r="AE55" i="70" s="1"/>
  <c r="AF55" i="70" s="1"/>
  <c r="AG55" i="70" s="1"/>
  <c r="AH55" i="70" s="1"/>
  <c r="AI55" i="70" s="1"/>
  <c r="AJ55" i="70" s="1"/>
  <c r="AK55" i="70" s="1"/>
  <c r="AL55" i="70" s="1"/>
  <c r="AM55" i="70" s="1"/>
  <c r="AN55" i="70" s="1"/>
  <c r="U56" i="70"/>
  <c r="V56" i="70"/>
  <c r="W56" i="70"/>
  <c r="X56" i="70"/>
  <c r="Y56" i="70"/>
  <c r="Z56" i="70" s="1"/>
  <c r="AA56" i="70" s="1"/>
  <c r="AB56" i="70" s="1"/>
  <c r="AC56" i="70" s="1"/>
  <c r="AD56" i="70" s="1"/>
  <c r="AE56" i="70" s="1"/>
  <c r="AF56" i="70" s="1"/>
  <c r="AG56" i="70" s="1"/>
  <c r="AH56" i="70" s="1"/>
  <c r="AI56" i="70" s="1"/>
  <c r="AJ56" i="70" s="1"/>
  <c r="AK56" i="70" s="1"/>
  <c r="AL56" i="70" s="1"/>
  <c r="AM56" i="70" s="1"/>
  <c r="AN56" i="70" s="1"/>
  <c r="U57" i="70"/>
  <c r="V57" i="70"/>
  <c r="W57" i="70" s="1"/>
  <c r="X57" i="70" s="1"/>
  <c r="Y57" i="70" s="1"/>
  <c r="Z57" i="70" s="1"/>
  <c r="AA57" i="70" s="1"/>
  <c r="AB57" i="70" s="1"/>
  <c r="AC57" i="70" s="1"/>
  <c r="AD57" i="70" s="1"/>
  <c r="AE57" i="70" s="1"/>
  <c r="AF57" i="70" s="1"/>
  <c r="AG57" i="70" s="1"/>
  <c r="AH57" i="70" s="1"/>
  <c r="AI57" i="70" s="1"/>
  <c r="AJ57" i="70" s="1"/>
  <c r="AK57" i="70" s="1"/>
  <c r="AL57" i="70" s="1"/>
  <c r="AM57" i="70" s="1"/>
  <c r="AN57" i="70" s="1"/>
  <c r="T57" i="70"/>
  <c r="T56" i="70"/>
  <c r="T55" i="70"/>
  <c r="S56" i="70"/>
  <c r="S57" i="70"/>
  <c r="S55" i="70"/>
  <c r="AJ30" i="80"/>
  <c r="AJ33" i="80"/>
  <c r="AG22" i="48" l="1"/>
  <c r="AC23" i="48"/>
  <c r="N59" i="48" l="1"/>
  <c r="O59" i="48"/>
  <c r="P59" i="48"/>
  <c r="Q59" i="48"/>
  <c r="R59" i="48"/>
  <c r="S59" i="48"/>
  <c r="T59" i="48"/>
  <c r="U59" i="48"/>
  <c r="V59" i="48"/>
  <c r="AI90" i="80"/>
  <c r="BB40" i="20"/>
  <c r="AI85" i="80" s="1"/>
  <c r="AC48" i="70"/>
  <c r="AC49" i="70"/>
  <c r="AC51" i="70"/>
  <c r="AC52" i="70"/>
  <c r="AC45" i="70"/>
  <c r="K2" i="35" l="1"/>
  <c r="K3" i="35"/>
  <c r="K6" i="35"/>
  <c r="K7" i="35"/>
  <c r="K8" i="35"/>
  <c r="K9" i="35"/>
  <c r="K13" i="35"/>
  <c r="L15" i="55" s="1"/>
  <c r="K14" i="35"/>
  <c r="L16" i="55" s="1"/>
  <c r="K15" i="35"/>
  <c r="L17" i="55" s="1"/>
  <c r="K16" i="35"/>
  <c r="K17" i="35"/>
  <c r="K18" i="35"/>
  <c r="K23" i="35"/>
  <c r="G78" i="2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U13" i="21"/>
  <c r="U14" i="21" s="1"/>
  <c r="U15" i="21" s="1"/>
  <c r="K13" i="21"/>
  <c r="K14" i="21" s="1"/>
  <c r="K15" i="21" s="1"/>
  <c r="R12" i="21"/>
  <c r="P12" i="21"/>
  <c r="N12" i="21"/>
  <c r="V11" i="21"/>
  <c r="U11" i="21"/>
  <c r="T11" i="21"/>
  <c r="S11" i="21"/>
  <c r="R11" i="21"/>
  <c r="Q11" i="21"/>
  <c r="P11" i="21"/>
  <c r="O11" i="21"/>
  <c r="N11" i="21"/>
  <c r="F81" i="21" s="1"/>
  <c r="M11" i="21"/>
  <c r="L11" i="21"/>
  <c r="K11" i="21"/>
  <c r="E81" i="21" s="1"/>
  <c r="J11" i="21"/>
  <c r="I11" i="21"/>
  <c r="H11" i="21"/>
  <c r="G11" i="21"/>
  <c r="F11" i="21"/>
  <c r="R10" i="21"/>
  <c r="D10" i="21"/>
  <c r="U9" i="21"/>
  <c r="Q9" i="21"/>
  <c r="K9" i="21"/>
  <c r="C9" i="21"/>
  <c r="T7" i="21"/>
  <c r="R7" i="21"/>
  <c r="N7" i="21"/>
  <c r="H7" i="21"/>
  <c r="F7" i="21"/>
  <c r="M6" i="21"/>
  <c r="M21" i="21" s="1"/>
  <c r="M22" i="21" s="1"/>
  <c r="K6" i="21"/>
  <c r="G4" i="21"/>
  <c r="R3" i="21"/>
  <c r="D3" i="21"/>
  <c r="D1" i="21"/>
  <c r="C19" i="6"/>
  <c r="B19" i="6"/>
  <c r="Q17" i="6"/>
  <c r="T50" i="21" s="1"/>
  <c r="U16" i="6"/>
  <c r="T16" i="6"/>
  <c r="T17" i="6" s="1"/>
  <c r="S16" i="6"/>
  <c r="R16" i="6"/>
  <c r="U49" i="21" s="1"/>
  <c r="Q16" i="6"/>
  <c r="T49" i="21" s="1"/>
  <c r="P16" i="6"/>
  <c r="S49" i="21" s="1"/>
  <c r="O16" i="6"/>
  <c r="R49" i="21" s="1"/>
  <c r="N16" i="6"/>
  <c r="Q49" i="21" s="1"/>
  <c r="D9" i="6"/>
  <c r="C9" i="6"/>
  <c r="D6" i="21" s="1"/>
  <c r="U6" i="6"/>
  <c r="T6" i="6"/>
  <c r="U3" i="21" s="1"/>
  <c r="S6" i="6"/>
  <c r="T3" i="21" s="1"/>
  <c r="R6" i="6"/>
  <c r="S3" i="21" s="1"/>
  <c r="Q6" i="6"/>
  <c r="P6" i="6"/>
  <c r="O6" i="6"/>
  <c r="N6" i="6"/>
  <c r="M6" i="6"/>
  <c r="L6" i="6"/>
  <c r="M3" i="21" s="1"/>
  <c r="K6" i="6"/>
  <c r="L3" i="21" s="1"/>
  <c r="J6" i="6"/>
  <c r="K3" i="21" s="1"/>
  <c r="I6" i="6"/>
  <c r="J3" i="21" s="1"/>
  <c r="H6" i="6"/>
  <c r="I3" i="21" s="1"/>
  <c r="G6" i="6"/>
  <c r="F6" i="6"/>
  <c r="G3" i="21" s="1"/>
  <c r="E6" i="6"/>
  <c r="F3" i="21" s="1"/>
  <c r="D6" i="6"/>
  <c r="C6" i="6"/>
  <c r="B6" i="6"/>
  <c r="C3" i="21" s="1"/>
  <c r="BJ16" i="5"/>
  <c r="BI16" i="5"/>
  <c r="BH16" i="5"/>
  <c r="BG16" i="5"/>
  <c r="BF16" i="5"/>
  <c r="BE16" i="5"/>
  <c r="BD16" i="5"/>
  <c r="G16" i="5" s="1"/>
  <c r="BC16" i="5"/>
  <c r="BB16" i="5"/>
  <c r="AZ16" i="5"/>
  <c r="AY16" i="5"/>
  <c r="AX16" i="5"/>
  <c r="AW16" i="5"/>
  <c r="AV16" i="5"/>
  <c r="AU16" i="5"/>
  <c r="M16" i="5" s="1"/>
  <c r="AT16" i="5"/>
  <c r="AS16" i="5"/>
  <c r="AR16" i="5"/>
  <c r="AQ16" i="5"/>
  <c r="AP16" i="5"/>
  <c r="AO16" i="5"/>
  <c r="K16" i="5" s="1"/>
  <c r="AN16" i="5"/>
  <c r="AM16" i="5"/>
  <c r="AL16" i="5"/>
  <c r="AK16" i="5"/>
  <c r="N16" i="5" s="1"/>
  <c r="AJ16" i="5"/>
  <c r="AI16" i="5"/>
  <c r="AH16" i="5"/>
  <c r="AG16" i="5"/>
  <c r="AF16" i="5"/>
  <c r="AE16" i="5"/>
  <c r="AD16" i="5"/>
  <c r="AC16" i="5"/>
  <c r="AB16" i="5"/>
  <c r="AA16" i="5"/>
  <c r="Z16" i="5"/>
  <c r="Y16" i="5"/>
  <c r="X16" i="5"/>
  <c r="W16" i="5"/>
  <c r="V16" i="5"/>
  <c r="U16" i="5"/>
  <c r="T16" i="5"/>
  <c r="S16" i="5"/>
  <c r="R16" i="5"/>
  <c r="Q16" i="5"/>
  <c r="P16" i="5"/>
  <c r="O16" i="5"/>
  <c r="N15" i="5"/>
  <c r="M15" i="5"/>
  <c r="K15" i="5"/>
  <c r="J15" i="5"/>
  <c r="I15" i="5"/>
  <c r="H15" i="5"/>
  <c r="G15" i="5"/>
  <c r="E15" i="5"/>
  <c r="D15" i="5"/>
  <c r="C15" i="5"/>
  <c r="F15" i="5" s="1"/>
  <c r="B15" i="5"/>
  <c r="N14" i="5"/>
  <c r="M14" i="5"/>
  <c r="K14" i="5"/>
  <c r="J14" i="5"/>
  <c r="I14" i="5"/>
  <c r="H14" i="5"/>
  <c r="G14" i="5"/>
  <c r="D14" i="5"/>
  <c r="C14" i="5"/>
  <c r="F14" i="5" s="1"/>
  <c r="B14" i="5"/>
  <c r="E14" i="5" s="1"/>
  <c r="N13" i="5"/>
  <c r="M13" i="5"/>
  <c r="K13" i="5"/>
  <c r="J13" i="5"/>
  <c r="I13" i="5"/>
  <c r="H13" i="5"/>
  <c r="G13" i="5"/>
  <c r="E13" i="5"/>
  <c r="D13" i="5"/>
  <c r="C13" i="5"/>
  <c r="F13" i="5" s="1"/>
  <c r="B13" i="5"/>
  <c r="N12" i="5"/>
  <c r="M12" i="5"/>
  <c r="K12" i="5"/>
  <c r="J12" i="5"/>
  <c r="I12" i="5"/>
  <c r="H12" i="5"/>
  <c r="G12" i="5"/>
  <c r="E12" i="5"/>
  <c r="D12" i="5"/>
  <c r="C12" i="5"/>
  <c r="F12" i="5" s="1"/>
  <c r="B12" i="5"/>
  <c r="N11" i="5"/>
  <c r="M11" i="5"/>
  <c r="K11" i="5"/>
  <c r="J11" i="5"/>
  <c r="I11" i="5"/>
  <c r="H11" i="5"/>
  <c r="G11" i="5"/>
  <c r="E11" i="5"/>
  <c r="D11" i="5"/>
  <c r="C11" i="5"/>
  <c r="F11" i="5" s="1"/>
  <c r="B11" i="5"/>
  <c r="N10" i="5"/>
  <c r="M10" i="5"/>
  <c r="V12" i="21" s="1"/>
  <c r="K10" i="5"/>
  <c r="V10" i="21" s="1"/>
  <c r="J10" i="5"/>
  <c r="V9" i="21" s="1"/>
  <c r="I10" i="5"/>
  <c r="H10" i="5"/>
  <c r="V7" i="21" s="1"/>
  <c r="G10" i="5"/>
  <c r="V6" i="21" s="1"/>
  <c r="E10" i="5"/>
  <c r="V4" i="21" s="1"/>
  <c r="D10" i="5"/>
  <c r="C10" i="5"/>
  <c r="B10" i="5"/>
  <c r="N9" i="5"/>
  <c r="M9" i="5"/>
  <c r="U12" i="21" s="1"/>
  <c r="K9" i="5"/>
  <c r="U10" i="21" s="1"/>
  <c r="J9" i="5"/>
  <c r="T9" i="21" s="1"/>
  <c r="I9" i="5"/>
  <c r="H9" i="5"/>
  <c r="U7" i="21" s="1"/>
  <c r="G9" i="5"/>
  <c r="T6" i="21" s="1"/>
  <c r="F9" i="5"/>
  <c r="E9" i="5"/>
  <c r="D9" i="5"/>
  <c r="C9" i="5"/>
  <c r="B9" i="5"/>
  <c r="N8" i="5"/>
  <c r="M8" i="5"/>
  <c r="Q12" i="21" s="1"/>
  <c r="K8" i="5"/>
  <c r="J8" i="5"/>
  <c r="P9" i="21" s="1"/>
  <c r="I8" i="5"/>
  <c r="H8" i="5"/>
  <c r="Q7" i="21" s="1"/>
  <c r="G8" i="5"/>
  <c r="Q6" i="21" s="1"/>
  <c r="E8" i="5"/>
  <c r="Q4" i="21" s="1"/>
  <c r="D8" i="5"/>
  <c r="C8" i="5"/>
  <c r="B8" i="5"/>
  <c r="N7" i="5"/>
  <c r="P13" i="21" s="1"/>
  <c r="P14" i="21" s="1"/>
  <c r="P15" i="21" s="1"/>
  <c r="M7" i="5"/>
  <c r="K7" i="5"/>
  <c r="J7" i="5"/>
  <c r="M9" i="21" s="1"/>
  <c r="I7" i="5"/>
  <c r="H7" i="5"/>
  <c r="M7" i="21" s="1"/>
  <c r="G7" i="5"/>
  <c r="D7" i="5"/>
  <c r="C7" i="5"/>
  <c r="F7" i="5" s="1"/>
  <c r="B7" i="5"/>
  <c r="N6" i="5"/>
  <c r="M6" i="5"/>
  <c r="I12" i="21" s="1"/>
  <c r="K6" i="5"/>
  <c r="I10" i="21" s="1"/>
  <c r="J6" i="5"/>
  <c r="G9" i="21" s="1"/>
  <c r="I6" i="5"/>
  <c r="H6" i="5"/>
  <c r="I7" i="21" s="1"/>
  <c r="G6" i="5"/>
  <c r="E6" i="5"/>
  <c r="F4" i="21" s="1"/>
  <c r="D6" i="5"/>
  <c r="C6" i="5"/>
  <c r="F6" i="5" s="1"/>
  <c r="B6" i="5"/>
  <c r="N5" i="5"/>
  <c r="E13" i="21" s="1"/>
  <c r="E14" i="21" s="1"/>
  <c r="E15" i="21" s="1"/>
  <c r="M5" i="5"/>
  <c r="L5" i="5"/>
  <c r="K5" i="5"/>
  <c r="C10" i="21" s="1"/>
  <c r="J5" i="5"/>
  <c r="J16" i="5" s="1"/>
  <c r="I5" i="5"/>
  <c r="H5" i="5"/>
  <c r="G5" i="5"/>
  <c r="C6" i="21" s="1"/>
  <c r="C19" i="21" s="1"/>
  <c r="D5" i="5"/>
  <c r="C5" i="5"/>
  <c r="B5" i="5"/>
  <c r="F17" i="27"/>
  <c r="F16" i="27"/>
  <c r="F15" i="27"/>
  <c r="F14" i="27"/>
  <c r="F13" i="27"/>
  <c r="F12" i="27"/>
  <c r="F11" i="27"/>
  <c r="F9" i="27"/>
  <c r="F8" i="27"/>
  <c r="F7" i="27"/>
  <c r="F6" i="27"/>
  <c r="F5" i="27"/>
  <c r="B3" i="27"/>
  <c r="R193" i="65"/>
  <c r="S193" i="65" s="1"/>
  <c r="E192" i="65"/>
  <c r="D191" i="65"/>
  <c r="E191" i="65" s="1"/>
  <c r="E189" i="65"/>
  <c r="S188" i="65"/>
  <c r="R188" i="65"/>
  <c r="N188" i="65"/>
  <c r="O188" i="65" s="1"/>
  <c r="P188" i="65" s="1"/>
  <c r="Q188" i="65" s="1"/>
  <c r="J188" i="65"/>
  <c r="K188" i="65" s="1"/>
  <c r="L188" i="65" s="1"/>
  <c r="M188" i="65" s="1"/>
  <c r="G188" i="65"/>
  <c r="H188" i="65" s="1"/>
  <c r="I188" i="65" s="1"/>
  <c r="F188" i="65"/>
  <c r="E188" i="65"/>
  <c r="D188" i="65"/>
  <c r="K187" i="65"/>
  <c r="L187" i="65" s="1"/>
  <c r="M187" i="65" s="1"/>
  <c r="I187" i="65"/>
  <c r="R186" i="65"/>
  <c r="S186" i="65" s="1"/>
  <c r="R184" i="65"/>
  <c r="S184" i="65" s="1"/>
  <c r="O184" i="65"/>
  <c r="P184" i="65" s="1"/>
  <c r="Q184" i="65" s="1"/>
  <c r="G184" i="65"/>
  <c r="H184" i="65" s="1"/>
  <c r="I184" i="65" s="1"/>
  <c r="D184" i="65"/>
  <c r="E184" i="65" s="1"/>
  <c r="O179" i="65"/>
  <c r="G179" i="65"/>
  <c r="N194" i="65" s="1"/>
  <c r="O194" i="65" s="1"/>
  <c r="P194" i="65" s="1"/>
  <c r="Q194" i="65" s="1"/>
  <c r="K178" i="65"/>
  <c r="G178" i="65"/>
  <c r="N193" i="65" s="1"/>
  <c r="O193" i="65" s="1"/>
  <c r="P193" i="65" s="1"/>
  <c r="Q193" i="65" s="1"/>
  <c r="E178" i="65"/>
  <c r="F193" i="65" s="1"/>
  <c r="G193" i="65" s="1"/>
  <c r="H193" i="65" s="1"/>
  <c r="I193" i="65" s="1"/>
  <c r="D178" i="65"/>
  <c r="D193" i="65" s="1"/>
  <c r="E193" i="65" s="1"/>
  <c r="O177" i="65"/>
  <c r="I177" i="65"/>
  <c r="N176" i="65"/>
  <c r="M176" i="65"/>
  <c r="J176" i="65"/>
  <c r="O175" i="65"/>
  <c r="L175" i="65"/>
  <c r="K175" i="65"/>
  <c r="H175" i="65"/>
  <c r="R190" i="65" s="1"/>
  <c r="S190" i="65" s="1"/>
  <c r="M174" i="65"/>
  <c r="J174" i="65"/>
  <c r="F174" i="65"/>
  <c r="J189" i="65" s="1"/>
  <c r="K189" i="65" s="1"/>
  <c r="L189" i="65" s="1"/>
  <c r="M189" i="65" s="1"/>
  <c r="K172" i="65"/>
  <c r="I172" i="65"/>
  <c r="I171" i="65"/>
  <c r="F171" i="65"/>
  <c r="J186" i="65" s="1"/>
  <c r="K186" i="65" s="1"/>
  <c r="L186" i="65" s="1"/>
  <c r="M186" i="65" s="1"/>
  <c r="K170" i="65"/>
  <c r="G170" i="65"/>
  <c r="N185" i="65" s="1"/>
  <c r="O185" i="65" s="1"/>
  <c r="P185" i="65" s="1"/>
  <c r="Q185" i="65" s="1"/>
  <c r="E170" i="65"/>
  <c r="F185" i="65" s="1"/>
  <c r="G185" i="65" s="1"/>
  <c r="H185" i="65" s="1"/>
  <c r="I185" i="65" s="1"/>
  <c r="D170" i="65"/>
  <c r="D185" i="65" s="1"/>
  <c r="E185" i="65" s="1"/>
  <c r="O169" i="65"/>
  <c r="N169" i="65"/>
  <c r="M169" i="65"/>
  <c r="L169" i="65"/>
  <c r="K169" i="65"/>
  <c r="J169" i="65"/>
  <c r="I169" i="65"/>
  <c r="H169" i="65"/>
  <c r="G169" i="65"/>
  <c r="N184" i="65" s="1"/>
  <c r="F169" i="65"/>
  <c r="J184" i="65" s="1"/>
  <c r="K184" i="65" s="1"/>
  <c r="L184" i="65" s="1"/>
  <c r="M184" i="65" s="1"/>
  <c r="E169" i="65"/>
  <c r="F184" i="65" s="1"/>
  <c r="D169" i="65"/>
  <c r="O85" i="65"/>
  <c r="O178" i="65" s="1"/>
  <c r="N85" i="65"/>
  <c r="N178" i="65" s="1"/>
  <c r="M85" i="65"/>
  <c r="M178" i="65" s="1"/>
  <c r="L85" i="65"/>
  <c r="L178" i="65" s="1"/>
  <c r="K85" i="65"/>
  <c r="J85" i="65"/>
  <c r="J178" i="65" s="1"/>
  <c r="I85" i="65"/>
  <c r="I178" i="65" s="1"/>
  <c r="H85" i="65"/>
  <c r="H178" i="65" s="1"/>
  <c r="G85" i="65"/>
  <c r="F85" i="65"/>
  <c r="F178" i="65" s="1"/>
  <c r="J193" i="65" s="1"/>
  <c r="K193" i="65" s="1"/>
  <c r="L193" i="65" s="1"/>
  <c r="M193" i="65" s="1"/>
  <c r="E85" i="65"/>
  <c r="D85" i="65"/>
  <c r="O84" i="65"/>
  <c r="N84" i="65"/>
  <c r="N177" i="65" s="1"/>
  <c r="M84" i="65"/>
  <c r="M177" i="65" s="1"/>
  <c r="L84" i="65"/>
  <c r="L177" i="65" s="1"/>
  <c r="K84" i="65"/>
  <c r="K177" i="65" s="1"/>
  <c r="J84" i="65"/>
  <c r="J177" i="65" s="1"/>
  <c r="I84" i="65"/>
  <c r="H84" i="65"/>
  <c r="H177" i="65" s="1"/>
  <c r="R192" i="65" s="1"/>
  <c r="S192" i="65" s="1"/>
  <c r="G84" i="65"/>
  <c r="G177" i="65" s="1"/>
  <c r="N192" i="65" s="1"/>
  <c r="O192" i="65" s="1"/>
  <c r="P192" i="65" s="1"/>
  <c r="Q192" i="65" s="1"/>
  <c r="F84" i="65"/>
  <c r="F177" i="65" s="1"/>
  <c r="J192" i="65" s="1"/>
  <c r="K192" i="65" s="1"/>
  <c r="L192" i="65" s="1"/>
  <c r="M192" i="65" s="1"/>
  <c r="E84" i="65"/>
  <c r="E177" i="65" s="1"/>
  <c r="F192" i="65" s="1"/>
  <c r="G192" i="65" s="1"/>
  <c r="H192" i="65" s="1"/>
  <c r="I192" i="65" s="1"/>
  <c r="D84" i="65"/>
  <c r="D177" i="65" s="1"/>
  <c r="D192" i="65" s="1"/>
  <c r="O83" i="65"/>
  <c r="N83" i="65"/>
  <c r="N179" i="65" s="1"/>
  <c r="M83" i="65"/>
  <c r="M179" i="65" s="1"/>
  <c r="L83" i="65"/>
  <c r="L179" i="65" s="1"/>
  <c r="K83" i="65"/>
  <c r="K179" i="65" s="1"/>
  <c r="J83" i="65"/>
  <c r="J179" i="65" s="1"/>
  <c r="I83" i="65"/>
  <c r="I179" i="65" s="1"/>
  <c r="H83" i="65"/>
  <c r="H179" i="65" s="1"/>
  <c r="R194" i="65" s="1"/>
  <c r="S194" i="65" s="1"/>
  <c r="G83" i="65"/>
  <c r="F83" i="65"/>
  <c r="F179" i="65" s="1"/>
  <c r="J194" i="65" s="1"/>
  <c r="K194" i="65" s="1"/>
  <c r="L194" i="65" s="1"/>
  <c r="M194" i="65" s="1"/>
  <c r="E83" i="65"/>
  <c r="E179" i="65" s="1"/>
  <c r="F194" i="65" s="1"/>
  <c r="G194" i="65" s="1"/>
  <c r="H194" i="65" s="1"/>
  <c r="I194" i="65" s="1"/>
  <c r="D83" i="65"/>
  <c r="D179" i="65" s="1"/>
  <c r="D194" i="65" s="1"/>
  <c r="E194" i="65" s="1"/>
  <c r="O74" i="65"/>
  <c r="O172" i="65" s="1"/>
  <c r="N74" i="65"/>
  <c r="N172" i="65" s="1"/>
  <c r="M74" i="65"/>
  <c r="M172" i="65" s="1"/>
  <c r="L74" i="65"/>
  <c r="L172" i="65" s="1"/>
  <c r="K74" i="65"/>
  <c r="J74" i="65"/>
  <c r="J172" i="65" s="1"/>
  <c r="I74" i="65"/>
  <c r="H74" i="65"/>
  <c r="H172" i="65" s="1"/>
  <c r="R187" i="65" s="1"/>
  <c r="S187" i="65" s="1"/>
  <c r="G74" i="65"/>
  <c r="G172" i="65" s="1"/>
  <c r="N187" i="65" s="1"/>
  <c r="O187" i="65" s="1"/>
  <c r="P187" i="65" s="1"/>
  <c r="Q187" i="65" s="1"/>
  <c r="F74" i="65"/>
  <c r="F172" i="65" s="1"/>
  <c r="J187" i="65" s="1"/>
  <c r="E74" i="65"/>
  <c r="E172" i="65" s="1"/>
  <c r="F187" i="65" s="1"/>
  <c r="G187" i="65" s="1"/>
  <c r="H187" i="65" s="1"/>
  <c r="D74" i="65"/>
  <c r="D172" i="65" s="1"/>
  <c r="D187" i="65" s="1"/>
  <c r="E187" i="65" s="1"/>
  <c r="O73" i="65"/>
  <c r="O176" i="65" s="1"/>
  <c r="N73" i="65"/>
  <c r="M73" i="65"/>
  <c r="L73" i="65"/>
  <c r="L176" i="65" s="1"/>
  <c r="K73" i="65"/>
  <c r="K176" i="65" s="1"/>
  <c r="J73" i="65"/>
  <c r="I73" i="65"/>
  <c r="I176" i="65" s="1"/>
  <c r="H73" i="65"/>
  <c r="H176" i="65" s="1"/>
  <c r="R191" i="65" s="1"/>
  <c r="S191" i="65" s="1"/>
  <c r="G73" i="65"/>
  <c r="G176" i="65" s="1"/>
  <c r="N191" i="65" s="1"/>
  <c r="O191" i="65" s="1"/>
  <c r="P191" i="65" s="1"/>
  <c r="Q191" i="65" s="1"/>
  <c r="F73" i="65"/>
  <c r="F176" i="65" s="1"/>
  <c r="J191" i="65" s="1"/>
  <c r="K191" i="65" s="1"/>
  <c r="L191" i="65" s="1"/>
  <c r="M191" i="65" s="1"/>
  <c r="E73" i="65"/>
  <c r="E176" i="65" s="1"/>
  <c r="F191" i="65" s="1"/>
  <c r="G191" i="65" s="1"/>
  <c r="H191" i="65" s="1"/>
  <c r="I191" i="65" s="1"/>
  <c r="D73" i="65"/>
  <c r="D176" i="65" s="1"/>
  <c r="O72" i="65"/>
  <c r="N72" i="65"/>
  <c r="N175" i="65" s="1"/>
  <c r="M72" i="65"/>
  <c r="M175" i="65" s="1"/>
  <c r="L72" i="65"/>
  <c r="K72" i="65"/>
  <c r="J72" i="65"/>
  <c r="J175" i="65" s="1"/>
  <c r="I72" i="65"/>
  <c r="I175" i="65" s="1"/>
  <c r="H72" i="65"/>
  <c r="G72" i="65"/>
  <c r="G175" i="65" s="1"/>
  <c r="N190" i="65" s="1"/>
  <c r="O190" i="65" s="1"/>
  <c r="P190" i="65" s="1"/>
  <c r="Q190" i="65" s="1"/>
  <c r="F72" i="65"/>
  <c r="F175" i="65" s="1"/>
  <c r="J190" i="65" s="1"/>
  <c r="K190" i="65" s="1"/>
  <c r="L190" i="65" s="1"/>
  <c r="M190" i="65" s="1"/>
  <c r="E72" i="65"/>
  <c r="E175" i="65" s="1"/>
  <c r="F190" i="65" s="1"/>
  <c r="G190" i="65" s="1"/>
  <c r="H190" i="65" s="1"/>
  <c r="I190" i="65" s="1"/>
  <c r="D72" i="65"/>
  <c r="D175" i="65" s="1"/>
  <c r="D190" i="65" s="1"/>
  <c r="E190" i="65" s="1"/>
  <c r="O71" i="65"/>
  <c r="O174" i="65" s="1"/>
  <c r="N71" i="65"/>
  <c r="N174" i="65" s="1"/>
  <c r="M71" i="65"/>
  <c r="L71" i="65"/>
  <c r="L174" i="65" s="1"/>
  <c r="K71" i="65"/>
  <c r="K174" i="65" s="1"/>
  <c r="J71" i="65"/>
  <c r="I71" i="65"/>
  <c r="I174" i="65" s="1"/>
  <c r="H71" i="65"/>
  <c r="H174" i="65" s="1"/>
  <c r="R189" i="65" s="1"/>
  <c r="S189" i="65" s="1"/>
  <c r="G71" i="65"/>
  <c r="G174" i="65" s="1"/>
  <c r="N189" i="65" s="1"/>
  <c r="O189" i="65" s="1"/>
  <c r="P189" i="65" s="1"/>
  <c r="Q189" i="65" s="1"/>
  <c r="F71" i="65"/>
  <c r="E71" i="65"/>
  <c r="E174" i="65" s="1"/>
  <c r="F189" i="65" s="1"/>
  <c r="G189" i="65" s="1"/>
  <c r="H189" i="65" s="1"/>
  <c r="I189" i="65" s="1"/>
  <c r="D71" i="65"/>
  <c r="D174" i="65" s="1"/>
  <c r="D189" i="65" s="1"/>
  <c r="O70" i="65"/>
  <c r="O170" i="65" s="1"/>
  <c r="N70" i="65"/>
  <c r="N170" i="65" s="1"/>
  <c r="M70" i="65"/>
  <c r="M170" i="65" s="1"/>
  <c r="L70" i="65"/>
  <c r="L170" i="65" s="1"/>
  <c r="K70" i="65"/>
  <c r="J70" i="65"/>
  <c r="J170" i="65" s="1"/>
  <c r="I70" i="65"/>
  <c r="I170" i="65" s="1"/>
  <c r="H70" i="65"/>
  <c r="H170" i="65" s="1"/>
  <c r="R185" i="65" s="1"/>
  <c r="S185" i="65" s="1"/>
  <c r="G70" i="65"/>
  <c r="F70" i="65"/>
  <c r="F170" i="65" s="1"/>
  <c r="J185" i="65" s="1"/>
  <c r="K185" i="65" s="1"/>
  <c r="L185" i="65" s="1"/>
  <c r="M185" i="65" s="1"/>
  <c r="E70" i="65"/>
  <c r="D70" i="65"/>
  <c r="O69" i="65"/>
  <c r="O171" i="65" s="1"/>
  <c r="N69" i="65"/>
  <c r="N171" i="65" s="1"/>
  <c r="M69" i="65"/>
  <c r="M171" i="65" s="1"/>
  <c r="L69" i="65"/>
  <c r="L171" i="65" s="1"/>
  <c r="K69" i="65"/>
  <c r="K171" i="65" s="1"/>
  <c r="J69" i="65"/>
  <c r="J171" i="65" s="1"/>
  <c r="I69" i="65"/>
  <c r="H69" i="65"/>
  <c r="H171" i="65" s="1"/>
  <c r="G69" i="65"/>
  <c r="G171" i="65" s="1"/>
  <c r="N186" i="65" s="1"/>
  <c r="O186" i="65" s="1"/>
  <c r="P186" i="65" s="1"/>
  <c r="Q186" i="65" s="1"/>
  <c r="F69" i="65"/>
  <c r="E69" i="65"/>
  <c r="E171" i="65" s="1"/>
  <c r="F186" i="65" s="1"/>
  <c r="G186" i="65" s="1"/>
  <c r="H186" i="65" s="1"/>
  <c r="I186" i="65" s="1"/>
  <c r="D69" i="65"/>
  <c r="D171" i="65" s="1"/>
  <c r="D186" i="65" s="1"/>
  <c r="E186" i="65" s="1"/>
  <c r="M11" i="29"/>
  <c r="K11" i="29"/>
  <c r="S10" i="29"/>
  <c r="R10" i="29"/>
  <c r="O10" i="29"/>
  <c r="N10" i="29"/>
  <c r="T9" i="29"/>
  <c r="T10" i="29" s="1"/>
  <c r="S9" i="29"/>
  <c r="R9" i="29"/>
  <c r="Q9" i="29"/>
  <c r="Q10" i="29" s="1"/>
  <c r="P9" i="29"/>
  <c r="P10" i="29" s="1"/>
  <c r="O9" i="29"/>
  <c r="N9" i="29"/>
  <c r="M9" i="29"/>
  <c r="M10" i="29" s="1"/>
  <c r="L9" i="29"/>
  <c r="L11" i="29" s="1"/>
  <c r="K9" i="29"/>
  <c r="J9" i="29"/>
  <c r="J11" i="29" s="1"/>
  <c r="T17" i="40"/>
  <c r="O14" i="40"/>
  <c r="L14" i="40"/>
  <c r="L16" i="40" s="1"/>
  <c r="T13" i="40"/>
  <c r="T14" i="40" s="1"/>
  <c r="S13" i="40"/>
  <c r="R13" i="40"/>
  <c r="Q13" i="40"/>
  <c r="P13" i="40"/>
  <c r="O13" i="40"/>
  <c r="N13" i="40"/>
  <c r="M13" i="40"/>
  <c r="L13" i="40"/>
  <c r="K13" i="40"/>
  <c r="J13" i="40"/>
  <c r="T12" i="40"/>
  <c r="T16" i="40" s="1"/>
  <c r="S12" i="40"/>
  <c r="R12" i="40"/>
  <c r="Q12" i="40"/>
  <c r="Q14" i="40" s="1"/>
  <c r="P12" i="40"/>
  <c r="O12" i="40"/>
  <c r="N12" i="40"/>
  <c r="M12" i="40"/>
  <c r="L12" i="40"/>
  <c r="K12" i="40"/>
  <c r="J12" i="40"/>
  <c r="T11" i="40"/>
  <c r="S11" i="40"/>
  <c r="R11" i="40"/>
  <c r="Q11" i="40"/>
  <c r="P11" i="40"/>
  <c r="O11" i="40"/>
  <c r="N11" i="40"/>
  <c r="M11" i="40"/>
  <c r="L11" i="40"/>
  <c r="K11" i="40"/>
  <c r="J11" i="40"/>
  <c r="L65" i="38"/>
  <c r="J65" i="38"/>
  <c r="I65" i="38"/>
  <c r="L64" i="38"/>
  <c r="P55" i="38"/>
  <c r="P54" i="38"/>
  <c r="O54" i="38"/>
  <c r="O55" i="38" s="1"/>
  <c r="O56" i="38" s="1"/>
  <c r="N54" i="38"/>
  <c r="N55" i="38" s="1"/>
  <c r="M54" i="38"/>
  <c r="M55" i="38" s="1"/>
  <c r="L54" i="38"/>
  <c r="K54" i="38"/>
  <c r="J54" i="38"/>
  <c r="P53" i="38"/>
  <c r="O53" i="38"/>
  <c r="K65" i="38" s="1"/>
  <c r="N53" i="38"/>
  <c r="M53" i="38"/>
  <c r="L53" i="38"/>
  <c r="K53" i="38"/>
  <c r="J53" i="38"/>
  <c r="J55" i="38" s="1"/>
  <c r="J56" i="38" s="1"/>
  <c r="Q45" i="38"/>
  <c r="J45" i="38"/>
  <c r="J44" i="38"/>
  <c r="J43" i="38"/>
  <c r="S42" i="38"/>
  <c r="S43" i="38" s="1"/>
  <c r="S44" i="38" s="1"/>
  <c r="S45" i="38" s="1"/>
  <c r="J42" i="38"/>
  <c r="Q41" i="38"/>
  <c r="J41" i="38"/>
  <c r="T40" i="38"/>
  <c r="Q40" i="38"/>
  <c r="J40" i="38"/>
  <c r="T39" i="38"/>
  <c r="P39" i="38" s="1"/>
  <c r="S39" i="38"/>
  <c r="S40" i="38" s="1"/>
  <c r="S41" i="38" s="1"/>
  <c r="Q39" i="38"/>
  <c r="J39" i="38"/>
  <c r="T38" i="38"/>
  <c r="S38" i="38"/>
  <c r="Q38" i="38"/>
  <c r="J38" i="38"/>
  <c r="Q37" i="38"/>
  <c r="P37" i="38"/>
  <c r="J37" i="38"/>
  <c r="P36" i="38"/>
  <c r="J36" i="38"/>
  <c r="P35" i="38"/>
  <c r="J35" i="38"/>
  <c r="P34" i="38"/>
  <c r="J34" i="38"/>
  <c r="J33" i="38"/>
  <c r="J32" i="38"/>
  <c r="J31" i="38"/>
  <c r="P31" i="38" s="1"/>
  <c r="S30" i="38"/>
  <c r="P30" i="38"/>
  <c r="J30" i="38"/>
  <c r="S29" i="38"/>
  <c r="Q29" i="38"/>
  <c r="O29" i="38"/>
  <c r="J29" i="38"/>
  <c r="P29" i="38" s="1"/>
  <c r="T28" i="38"/>
  <c r="T29" i="38" s="1"/>
  <c r="T30" i="38" s="1"/>
  <c r="T31" i="38" s="1"/>
  <c r="T32" i="38" s="1"/>
  <c r="T33" i="38" s="1"/>
  <c r="T34" i="38" s="1"/>
  <c r="T35" i="38" s="1"/>
  <c r="T36" i="38" s="1"/>
  <c r="S28" i="38"/>
  <c r="O28" i="38"/>
  <c r="J28" i="38"/>
  <c r="J27" i="38"/>
  <c r="S26" i="38"/>
  <c r="M26" i="38" s="1"/>
  <c r="N26" i="38"/>
  <c r="J26" i="38"/>
  <c r="O26" i="38" s="1"/>
  <c r="J25" i="38"/>
  <c r="S24" i="38"/>
  <c r="S25" i="38" s="1"/>
  <c r="M25" i="38" s="1"/>
  <c r="J24" i="38"/>
  <c r="S23" i="38"/>
  <c r="M23" i="38"/>
  <c r="J23" i="38"/>
  <c r="N23" i="38" s="1"/>
  <c r="O23" i="38" s="1"/>
  <c r="M22" i="38"/>
  <c r="J22" i="38"/>
  <c r="N21" i="38"/>
  <c r="M21" i="38"/>
  <c r="J21" i="38"/>
  <c r="M20" i="38"/>
  <c r="J20" i="38"/>
  <c r="J19" i="38"/>
  <c r="M18" i="38"/>
  <c r="J18" i="38"/>
  <c r="J17" i="38"/>
  <c r="M17" i="38" s="1"/>
  <c r="J16" i="38"/>
  <c r="S15" i="38"/>
  <c r="J15" i="38"/>
  <c r="S14" i="38"/>
  <c r="L14" i="38" s="1"/>
  <c r="M14" i="38"/>
  <c r="J14" i="38"/>
  <c r="J13" i="38"/>
  <c r="M12" i="38"/>
  <c r="J12" i="38"/>
  <c r="L12" i="38" s="1"/>
  <c r="N12" i="38" s="1"/>
  <c r="M11" i="38"/>
  <c r="J11" i="38"/>
  <c r="V79" i="70"/>
  <c r="T79" i="70"/>
  <c r="AN78" i="70"/>
  <c r="AC78" i="70"/>
  <c r="AN74" i="70"/>
  <c r="AM74" i="70"/>
  <c r="AL74" i="70"/>
  <c r="AK74" i="70"/>
  <c r="AJ74" i="70"/>
  <c r="AI74" i="70"/>
  <c r="AI79" i="70" s="1"/>
  <c r="AH74" i="70"/>
  <c r="AH79" i="70" s="1"/>
  <c r="AG74" i="70"/>
  <c r="AG79" i="70" s="1"/>
  <c r="AF74" i="70"/>
  <c r="AE74" i="70"/>
  <c r="AD74" i="70"/>
  <c r="AC74" i="70"/>
  <c r="AB74" i="70"/>
  <c r="AA74" i="70"/>
  <c r="Z74" i="70"/>
  <c r="Y74" i="70"/>
  <c r="X74" i="70"/>
  <c r="W74" i="70"/>
  <c r="V74" i="70"/>
  <c r="U74" i="70"/>
  <c r="T74" i="70"/>
  <c r="S74" i="70"/>
  <c r="AN73" i="70"/>
  <c r="AM73" i="70"/>
  <c r="AL73" i="70"/>
  <c r="AK73" i="70"/>
  <c r="AJ73" i="70"/>
  <c r="AI73" i="70"/>
  <c r="AH73" i="70"/>
  <c r="AG73" i="70"/>
  <c r="AF73" i="70"/>
  <c r="AE73" i="70"/>
  <c r="AD73" i="70"/>
  <c r="AC73" i="70"/>
  <c r="AB73" i="70"/>
  <c r="AA73" i="70"/>
  <c r="Z73" i="70"/>
  <c r="Y73" i="70"/>
  <c r="X73" i="70"/>
  <c r="W73" i="70"/>
  <c r="V73" i="70"/>
  <c r="U73" i="70"/>
  <c r="T73" i="70"/>
  <c r="S73" i="70"/>
  <c r="AN72" i="70"/>
  <c r="AM72" i="70"/>
  <c r="AM13" i="78" s="1"/>
  <c r="AM14" i="78" s="1"/>
  <c r="AL72" i="70"/>
  <c r="AL13" i="78" s="1"/>
  <c r="AL14" i="78" s="1"/>
  <c r="AK72" i="70"/>
  <c r="AJ72" i="70"/>
  <c r="AJ13" i="78" s="1"/>
  <c r="AJ14" i="78" s="1"/>
  <c r="J24" i="35" s="1"/>
  <c r="AI72" i="70"/>
  <c r="AH72" i="70"/>
  <c r="AI77" i="70" s="1"/>
  <c r="AG72" i="70"/>
  <c r="AG13" i="78" s="1"/>
  <c r="AG14" i="78" s="1"/>
  <c r="G24" i="35" s="1"/>
  <c r="AF72" i="70"/>
  <c r="AG77" i="70" s="1"/>
  <c r="AE72" i="70"/>
  <c r="AD72" i="70"/>
  <c r="AD13" i="78" s="1"/>
  <c r="AD14" i="78" s="1"/>
  <c r="D24" i="35" s="1"/>
  <c r="AC72" i="70"/>
  <c r="AB72" i="70"/>
  <c r="AA72" i="70"/>
  <c r="AA13" i="78" s="1"/>
  <c r="AA14" i="78" s="1"/>
  <c r="T10" i="50" s="1"/>
  <c r="Z72" i="70"/>
  <c r="Y72" i="70"/>
  <c r="Y13" i="78" s="1"/>
  <c r="Y14" i="78" s="1"/>
  <c r="R10" i="50" s="1"/>
  <c r="X72" i="70"/>
  <c r="X13" i="78" s="1"/>
  <c r="X14" i="78" s="1"/>
  <c r="Q10" i="50" s="1"/>
  <c r="W72" i="70"/>
  <c r="W13" i="78" s="1"/>
  <c r="W14" i="78" s="1"/>
  <c r="P10" i="50" s="1"/>
  <c r="V72" i="70"/>
  <c r="V77" i="70" s="1"/>
  <c r="U72" i="70"/>
  <c r="T72" i="70"/>
  <c r="S72" i="70"/>
  <c r="AB52" i="70"/>
  <c r="AB20" i="70" s="1"/>
  <c r="AB27" i="70" s="1"/>
  <c r="AA52" i="70"/>
  <c r="AA20" i="70" s="1"/>
  <c r="AA27" i="70" s="1"/>
  <c r="Z52" i="70"/>
  <c r="Z20" i="70" s="1"/>
  <c r="Z27" i="70" s="1"/>
  <c r="Y52" i="70"/>
  <c r="X52" i="70"/>
  <c r="W52" i="70"/>
  <c r="W20" i="70" s="1"/>
  <c r="W27" i="70" s="1"/>
  <c r="V52" i="70"/>
  <c r="V20" i="70" s="1"/>
  <c r="V27" i="70" s="1"/>
  <c r="U52" i="70"/>
  <c r="U20" i="70" s="1"/>
  <c r="U27" i="70" s="1"/>
  <c r="T52" i="70"/>
  <c r="S52" i="70"/>
  <c r="S20" i="70" s="1"/>
  <c r="S27" i="70" s="1"/>
  <c r="R52" i="70"/>
  <c r="R20" i="70" s="1"/>
  <c r="R27" i="70" s="1"/>
  <c r="Q52" i="70"/>
  <c r="Q20" i="70" s="1"/>
  <c r="Q27" i="70" s="1"/>
  <c r="P52" i="70"/>
  <c r="P20" i="70" s="1"/>
  <c r="P27" i="70" s="1"/>
  <c r="O52" i="70"/>
  <c r="O20" i="70" s="1"/>
  <c r="O27" i="70" s="1"/>
  <c r="N52" i="70"/>
  <c r="N20" i="70" s="1"/>
  <c r="N27" i="70" s="1"/>
  <c r="M52" i="70"/>
  <c r="M20" i="70" s="1"/>
  <c r="M27" i="70" s="1"/>
  <c r="L52" i="70"/>
  <c r="L20" i="70" s="1"/>
  <c r="L27" i="70" s="1"/>
  <c r="K52" i="70"/>
  <c r="J52" i="70"/>
  <c r="J20" i="70" s="1"/>
  <c r="J27" i="70" s="1"/>
  <c r="I52" i="70"/>
  <c r="I20" i="70" s="1"/>
  <c r="I27" i="70" s="1"/>
  <c r="H52" i="70"/>
  <c r="H20" i="70" s="1"/>
  <c r="H27" i="70" s="1"/>
  <c r="G52" i="70"/>
  <c r="G20" i="70" s="1"/>
  <c r="G27" i="70" s="1"/>
  <c r="F52" i="70"/>
  <c r="E52" i="70"/>
  <c r="E20" i="70" s="1"/>
  <c r="E27" i="70" s="1"/>
  <c r="D52" i="70"/>
  <c r="D20" i="70" s="1"/>
  <c r="D27" i="70" s="1"/>
  <c r="AB51" i="70"/>
  <c r="AA51" i="70"/>
  <c r="AA18" i="70" s="1"/>
  <c r="AA26" i="70" s="1"/>
  <c r="Z51" i="70"/>
  <c r="Z18" i="70" s="1"/>
  <c r="Z26" i="70" s="1"/>
  <c r="Y51" i="70"/>
  <c r="Y18" i="70" s="1"/>
  <c r="Y26" i="70" s="1"/>
  <c r="X51" i="70"/>
  <c r="X18" i="70" s="1"/>
  <c r="X26" i="70" s="1"/>
  <c r="W51" i="70"/>
  <c r="W18" i="70" s="1"/>
  <c r="W26" i="70" s="1"/>
  <c r="V51" i="70"/>
  <c r="U51" i="70"/>
  <c r="U18" i="70" s="1"/>
  <c r="U26" i="70" s="1"/>
  <c r="T51" i="70"/>
  <c r="S51" i="70"/>
  <c r="R51" i="70"/>
  <c r="R18" i="70" s="1"/>
  <c r="R26" i="70" s="1"/>
  <c r="Q51" i="70"/>
  <c r="P51" i="70"/>
  <c r="O51" i="70"/>
  <c r="O18" i="70" s="1"/>
  <c r="O26" i="70" s="1"/>
  <c r="N51" i="70"/>
  <c r="N18" i="70" s="1"/>
  <c r="N26" i="70" s="1"/>
  <c r="M51" i="70"/>
  <c r="M18" i="70" s="1"/>
  <c r="M26" i="70" s="1"/>
  <c r="L51" i="70"/>
  <c r="K51" i="70"/>
  <c r="K18" i="70" s="1"/>
  <c r="K26" i="70" s="1"/>
  <c r="J51" i="70"/>
  <c r="J18" i="70" s="1"/>
  <c r="J26" i="70" s="1"/>
  <c r="I51" i="70"/>
  <c r="I18" i="70" s="1"/>
  <c r="I26" i="70" s="1"/>
  <c r="H51" i="70"/>
  <c r="G51" i="70"/>
  <c r="F51" i="70"/>
  <c r="E51" i="70"/>
  <c r="D51" i="70"/>
  <c r="D18" i="70" s="1"/>
  <c r="D26" i="70" s="1"/>
  <c r="AB49" i="70"/>
  <c r="AB16" i="70" s="1"/>
  <c r="AB25" i="70" s="1"/>
  <c r="AA49" i="70"/>
  <c r="AA16" i="70" s="1"/>
  <c r="AA25" i="70" s="1"/>
  <c r="Z49" i="70"/>
  <c r="Z16" i="70" s="1"/>
  <c r="Z25" i="70" s="1"/>
  <c r="Y49" i="70"/>
  <c r="X49" i="70"/>
  <c r="W49" i="70"/>
  <c r="V49" i="70"/>
  <c r="V16" i="70" s="1"/>
  <c r="V25" i="70" s="1"/>
  <c r="U49" i="70"/>
  <c r="U16" i="70" s="1"/>
  <c r="U25" i="70" s="1"/>
  <c r="T49" i="70"/>
  <c r="T16" i="70" s="1"/>
  <c r="T25" i="70" s="1"/>
  <c r="S49" i="70"/>
  <c r="R49" i="70"/>
  <c r="R16" i="70" s="1"/>
  <c r="R25" i="70" s="1"/>
  <c r="Q49" i="70"/>
  <c r="Q16" i="70" s="1"/>
  <c r="Q25" i="70" s="1"/>
  <c r="P49" i="70"/>
  <c r="P16" i="70" s="1"/>
  <c r="P25" i="70" s="1"/>
  <c r="O49" i="70"/>
  <c r="O16" i="70" s="1"/>
  <c r="O25" i="70" s="1"/>
  <c r="N49" i="70"/>
  <c r="N16" i="70" s="1"/>
  <c r="N25" i="70" s="1"/>
  <c r="M49" i="70"/>
  <c r="M16" i="70" s="1"/>
  <c r="M25" i="70" s="1"/>
  <c r="L49" i="70"/>
  <c r="L16" i="70" s="1"/>
  <c r="L25" i="70" s="1"/>
  <c r="K49" i="70"/>
  <c r="K16" i="70" s="1"/>
  <c r="K25" i="70" s="1"/>
  <c r="J49" i="70"/>
  <c r="J16" i="70" s="1"/>
  <c r="J25" i="70" s="1"/>
  <c r="I49" i="70"/>
  <c r="I16" i="70" s="1"/>
  <c r="I25" i="70" s="1"/>
  <c r="H49" i="70"/>
  <c r="H16" i="70" s="1"/>
  <c r="H25" i="70" s="1"/>
  <c r="G49" i="70"/>
  <c r="G16" i="70" s="1"/>
  <c r="G25" i="70" s="1"/>
  <c r="F49" i="70"/>
  <c r="F16" i="70" s="1"/>
  <c r="F25" i="70" s="1"/>
  <c r="E49" i="70"/>
  <c r="D49" i="70"/>
  <c r="D16" i="70" s="1"/>
  <c r="D25" i="70" s="1"/>
  <c r="AN48" i="70"/>
  <c r="AN14" i="70" s="1"/>
  <c r="AN24" i="70" s="1"/>
  <c r="AC14" i="70"/>
  <c r="AC24" i="70" s="1"/>
  <c r="AB48" i="70"/>
  <c r="AA48" i="70"/>
  <c r="AA14" i="70" s="1"/>
  <c r="AA24" i="70" s="1"/>
  <c r="Z48" i="70"/>
  <c r="Y48" i="70"/>
  <c r="X48" i="70"/>
  <c r="W48" i="70"/>
  <c r="W14" i="70" s="1"/>
  <c r="W24" i="70" s="1"/>
  <c r="V48" i="70"/>
  <c r="V14" i="70" s="1"/>
  <c r="V24" i="70" s="1"/>
  <c r="U48" i="70"/>
  <c r="U14" i="70" s="1"/>
  <c r="U24" i="70" s="1"/>
  <c r="T48" i="70"/>
  <c r="T14" i="70" s="1"/>
  <c r="T24" i="70" s="1"/>
  <c r="S48" i="70"/>
  <c r="R48" i="70"/>
  <c r="Q48" i="70"/>
  <c r="Q14" i="70" s="1"/>
  <c r="Q24" i="70" s="1"/>
  <c r="P48" i="70"/>
  <c r="O48" i="70"/>
  <c r="O14" i="70" s="1"/>
  <c r="O24" i="70" s="1"/>
  <c r="N48" i="70"/>
  <c r="M48" i="70"/>
  <c r="M14" i="70" s="1"/>
  <c r="M24" i="70" s="1"/>
  <c r="L48" i="70"/>
  <c r="L14" i="70" s="1"/>
  <c r="L24" i="70" s="1"/>
  <c r="K48" i="70"/>
  <c r="J48" i="70"/>
  <c r="J14" i="70" s="1"/>
  <c r="J24" i="70" s="1"/>
  <c r="I48" i="70"/>
  <c r="I14" i="70" s="1"/>
  <c r="I24" i="70" s="1"/>
  <c r="H48" i="70"/>
  <c r="H14" i="70" s="1"/>
  <c r="H24" i="70" s="1"/>
  <c r="G48" i="70"/>
  <c r="G14" i="70" s="1"/>
  <c r="G24" i="70" s="1"/>
  <c r="F48" i="70"/>
  <c r="F14" i="70" s="1"/>
  <c r="F24" i="70" s="1"/>
  <c r="E48" i="70"/>
  <c r="D48" i="70"/>
  <c r="D14" i="70" s="1"/>
  <c r="D24" i="70" s="1"/>
  <c r="AI46" i="70"/>
  <c r="AI45" i="70" s="1"/>
  <c r="AI12" i="70" s="1"/>
  <c r="AI23" i="70" s="1"/>
  <c r="H2" i="71" s="1"/>
  <c r="X46" i="70"/>
  <c r="W46" i="70"/>
  <c r="V46" i="70"/>
  <c r="U46" i="70"/>
  <c r="T46" i="70"/>
  <c r="S46" i="70"/>
  <c r="R46" i="70"/>
  <c r="Q46" i="70"/>
  <c r="P46" i="70"/>
  <c r="O46" i="70"/>
  <c r="N46" i="70"/>
  <c r="M46" i="70"/>
  <c r="L46" i="70"/>
  <c r="K46" i="70"/>
  <c r="J46" i="70"/>
  <c r="I46" i="70"/>
  <c r="H46" i="70"/>
  <c r="G46" i="70"/>
  <c r="F46" i="70"/>
  <c r="E46" i="70"/>
  <c r="D46" i="70"/>
  <c r="AB45" i="70"/>
  <c r="AB12" i="70" s="1"/>
  <c r="AB23" i="70" s="1"/>
  <c r="AA45" i="70"/>
  <c r="AA12" i="70" s="1"/>
  <c r="AA23" i="70" s="1"/>
  <c r="Z45" i="70"/>
  <c r="Z12" i="70" s="1"/>
  <c r="Z23" i="70" s="1"/>
  <c r="Y45" i="70"/>
  <c r="X45" i="70"/>
  <c r="W45" i="70"/>
  <c r="V45" i="70"/>
  <c r="V12" i="70" s="1"/>
  <c r="V23" i="70" s="1"/>
  <c r="U45" i="70"/>
  <c r="U12" i="70" s="1"/>
  <c r="U23" i="70" s="1"/>
  <c r="T45" i="70"/>
  <c r="T12" i="70" s="1"/>
  <c r="T23" i="70" s="1"/>
  <c r="S45" i="70"/>
  <c r="R45" i="70"/>
  <c r="R12" i="70" s="1"/>
  <c r="R23" i="70" s="1"/>
  <c r="Q45" i="70"/>
  <c r="Q12" i="70" s="1"/>
  <c r="Q23" i="70" s="1"/>
  <c r="P45" i="70"/>
  <c r="P12" i="70" s="1"/>
  <c r="P23" i="70" s="1"/>
  <c r="O45" i="70"/>
  <c r="O12" i="70" s="1"/>
  <c r="O23" i="70" s="1"/>
  <c r="N45" i="70"/>
  <c r="N12" i="70" s="1"/>
  <c r="N23" i="70" s="1"/>
  <c r="M45" i="70"/>
  <c r="M12" i="70" s="1"/>
  <c r="M23" i="70" s="1"/>
  <c r="L45" i="70"/>
  <c r="L12" i="70" s="1"/>
  <c r="L23" i="70" s="1"/>
  <c r="K45" i="70"/>
  <c r="J45" i="70"/>
  <c r="I45" i="70"/>
  <c r="I12" i="70" s="1"/>
  <c r="I23" i="70" s="1"/>
  <c r="H45" i="70"/>
  <c r="G45" i="70"/>
  <c r="G12" i="70" s="1"/>
  <c r="G23" i="70" s="1"/>
  <c r="F45" i="70"/>
  <c r="F12" i="70" s="1"/>
  <c r="F23" i="70" s="1"/>
  <c r="E45" i="70"/>
  <c r="E12" i="70" s="1"/>
  <c r="E23" i="70" s="1"/>
  <c r="D45" i="70"/>
  <c r="Q26" i="70"/>
  <c r="Y20" i="70"/>
  <c r="Y27" i="70" s="1"/>
  <c r="X20" i="70"/>
  <c r="X27" i="70" s="1"/>
  <c r="T20" i="70"/>
  <c r="T27" i="70" s="1"/>
  <c r="K20" i="70"/>
  <c r="K27" i="70" s="1"/>
  <c r="F20" i="70"/>
  <c r="F27" i="70" s="1"/>
  <c r="AB18" i="70"/>
  <c r="AB26" i="70" s="1"/>
  <c r="V18" i="70"/>
  <c r="V26" i="70" s="1"/>
  <c r="T18" i="70"/>
  <c r="T26" i="70" s="1"/>
  <c r="S18" i="70"/>
  <c r="S26" i="70" s="1"/>
  <c r="Q18" i="70"/>
  <c r="P18" i="70"/>
  <c r="P26" i="70" s="1"/>
  <c r="L18" i="70"/>
  <c r="L26" i="70" s="1"/>
  <c r="H18" i="70"/>
  <c r="H26" i="70" s="1"/>
  <c r="G18" i="70"/>
  <c r="G26" i="70" s="1"/>
  <c r="F18" i="70"/>
  <c r="F26" i="70" s="1"/>
  <c r="E18" i="70"/>
  <c r="E26" i="70" s="1"/>
  <c r="Y16" i="70"/>
  <c r="Y25" i="70" s="1"/>
  <c r="X16" i="70"/>
  <c r="X25" i="70" s="1"/>
  <c r="W16" i="70"/>
  <c r="W25" i="70" s="1"/>
  <c r="S16" i="70"/>
  <c r="S25" i="70" s="1"/>
  <c r="E16" i="70"/>
  <c r="E25" i="70" s="1"/>
  <c r="AB14" i="70"/>
  <c r="AB24" i="70" s="1"/>
  <c r="Z14" i="70"/>
  <c r="Z24" i="70" s="1"/>
  <c r="Y14" i="70"/>
  <c r="Y24" i="70" s="1"/>
  <c r="X14" i="70"/>
  <c r="X24" i="70" s="1"/>
  <c r="S14" i="70"/>
  <c r="S24" i="70" s="1"/>
  <c r="R14" i="70"/>
  <c r="R24" i="70" s="1"/>
  <c r="P14" i="70"/>
  <c r="P24" i="70" s="1"/>
  <c r="N14" i="70"/>
  <c r="N24" i="70" s="1"/>
  <c r="K14" i="70"/>
  <c r="K24" i="70" s="1"/>
  <c r="E14" i="70"/>
  <c r="E24" i="70" s="1"/>
  <c r="Y12" i="70"/>
  <c r="Y23" i="70" s="1"/>
  <c r="X12" i="70"/>
  <c r="X23" i="70" s="1"/>
  <c r="W12" i="70"/>
  <c r="W23" i="70" s="1"/>
  <c r="S12" i="70"/>
  <c r="S23" i="70" s="1"/>
  <c r="K12" i="70"/>
  <c r="K23" i="70" s="1"/>
  <c r="J12" i="70"/>
  <c r="J23" i="70" s="1"/>
  <c r="H12" i="70"/>
  <c r="H23" i="70" s="1"/>
  <c r="D12" i="70"/>
  <c r="D23" i="70" s="1"/>
  <c r="Q144" i="48"/>
  <c r="Q142" i="48"/>
  <c r="AB128" i="48"/>
  <c r="AA128" i="48"/>
  <c r="Z128" i="48"/>
  <c r="Y128" i="48"/>
  <c r="X128" i="48"/>
  <c r="W128" i="48"/>
  <c r="V128" i="48"/>
  <c r="U128" i="48"/>
  <c r="T128" i="48"/>
  <c r="S128" i="48"/>
  <c r="R128" i="48"/>
  <c r="Q128" i="48"/>
  <c r="P128" i="48"/>
  <c r="O128" i="48"/>
  <c r="O146" i="48" s="1"/>
  <c r="N128" i="48"/>
  <c r="N146" i="48" s="1"/>
  <c r="M128" i="48"/>
  <c r="L128" i="48"/>
  <c r="K128" i="48"/>
  <c r="J128" i="48"/>
  <c r="I128" i="48"/>
  <c r="H128" i="48"/>
  <c r="G128" i="48"/>
  <c r="F128" i="48"/>
  <c r="AC127" i="48"/>
  <c r="AB127" i="48"/>
  <c r="AA127" i="48"/>
  <c r="Z127" i="48"/>
  <c r="Y127" i="48"/>
  <c r="X127" i="48"/>
  <c r="W127" i="48"/>
  <c r="V127" i="48"/>
  <c r="U127" i="48"/>
  <c r="T127" i="48"/>
  <c r="S127" i="48"/>
  <c r="R127" i="48"/>
  <c r="Q127" i="48"/>
  <c r="P127" i="48"/>
  <c r="O127" i="48"/>
  <c r="N127" i="48"/>
  <c r="M127" i="48"/>
  <c r="L127" i="48"/>
  <c r="K127" i="48"/>
  <c r="J127" i="48"/>
  <c r="J145" i="48" s="1"/>
  <c r="I127" i="48"/>
  <c r="H127" i="48"/>
  <c r="H145" i="48" s="1"/>
  <c r="G127" i="48"/>
  <c r="F127" i="48"/>
  <c r="AC125" i="48"/>
  <c r="AB125" i="48"/>
  <c r="AA125" i="48"/>
  <c r="Z125" i="48"/>
  <c r="Y125" i="48"/>
  <c r="X125" i="48"/>
  <c r="W125" i="48"/>
  <c r="V125" i="48"/>
  <c r="U125" i="48"/>
  <c r="T125" i="48"/>
  <c r="S125" i="48"/>
  <c r="R125" i="48"/>
  <c r="Q125" i="48"/>
  <c r="Q143" i="48" s="1"/>
  <c r="P125" i="48"/>
  <c r="P143" i="48" s="1"/>
  <c r="O125" i="48"/>
  <c r="N125" i="48"/>
  <c r="M125" i="48"/>
  <c r="L125" i="48"/>
  <c r="K125" i="48"/>
  <c r="J125" i="48"/>
  <c r="I125" i="48"/>
  <c r="H125" i="48"/>
  <c r="G125" i="48"/>
  <c r="F125" i="48"/>
  <c r="AC124" i="48"/>
  <c r="AB124" i="48"/>
  <c r="AA124" i="48"/>
  <c r="Z124" i="48"/>
  <c r="Y124" i="48"/>
  <c r="X124" i="48"/>
  <c r="W124" i="48"/>
  <c r="V124" i="48"/>
  <c r="U124" i="48"/>
  <c r="T124" i="48"/>
  <c r="S124" i="48"/>
  <c r="R124" i="48"/>
  <c r="Q124" i="48"/>
  <c r="P124" i="48"/>
  <c r="P142" i="48" s="1"/>
  <c r="O124" i="48"/>
  <c r="O142" i="48" s="1"/>
  <c r="N124" i="48"/>
  <c r="M124" i="48"/>
  <c r="M142" i="48" s="1"/>
  <c r="L124" i="48"/>
  <c r="K124" i="48"/>
  <c r="K142" i="48" s="1"/>
  <c r="J124" i="48"/>
  <c r="I124" i="48"/>
  <c r="H124" i="48"/>
  <c r="G124" i="48"/>
  <c r="F124" i="48"/>
  <c r="AC123" i="48"/>
  <c r="AB123" i="48"/>
  <c r="AA123" i="48"/>
  <c r="Z123" i="48"/>
  <c r="Y123" i="48"/>
  <c r="X123" i="48"/>
  <c r="W123" i="48"/>
  <c r="V123" i="48"/>
  <c r="U123" i="48"/>
  <c r="T123" i="48"/>
  <c r="S123" i="48"/>
  <c r="R123" i="48"/>
  <c r="Q123" i="48"/>
  <c r="P123" i="48"/>
  <c r="O123" i="48"/>
  <c r="N123" i="48"/>
  <c r="M123" i="48"/>
  <c r="L123" i="48"/>
  <c r="L141" i="48" s="1"/>
  <c r="K123" i="48"/>
  <c r="J123" i="48"/>
  <c r="I123" i="48"/>
  <c r="I141" i="48" s="1"/>
  <c r="H123" i="48"/>
  <c r="G123" i="48"/>
  <c r="G141" i="48" s="1"/>
  <c r="F123" i="48"/>
  <c r="AC122" i="48"/>
  <c r="AC126" i="48" s="1"/>
  <c r="AC131" i="48" s="1"/>
  <c r="AD131" i="48" s="1"/>
  <c r="AB122" i="48"/>
  <c r="AB126" i="48" s="1"/>
  <c r="AA122" i="48"/>
  <c r="AA126" i="48" s="1"/>
  <c r="Z122" i="48"/>
  <c r="Z126" i="48" s="1"/>
  <c r="Z116" i="48" s="1"/>
  <c r="Y122" i="48"/>
  <c r="Y126" i="48" s="1"/>
  <c r="X122" i="48"/>
  <c r="W122" i="48"/>
  <c r="W126" i="48" s="1"/>
  <c r="V122" i="48"/>
  <c r="V126" i="48" s="1"/>
  <c r="U122" i="48"/>
  <c r="U126" i="48" s="1"/>
  <c r="T122" i="48"/>
  <c r="T126" i="48" s="1"/>
  <c r="S122" i="48"/>
  <c r="R122" i="48"/>
  <c r="R126" i="48" s="1"/>
  <c r="Q122" i="48"/>
  <c r="Q126" i="48" s="1"/>
  <c r="P122" i="48"/>
  <c r="P126" i="48" s="1"/>
  <c r="O122" i="48"/>
  <c r="N122" i="48"/>
  <c r="N126" i="48" s="1"/>
  <c r="M122" i="48"/>
  <c r="L122" i="48"/>
  <c r="K122" i="48"/>
  <c r="J122" i="48"/>
  <c r="I122" i="48"/>
  <c r="I126" i="48" s="1"/>
  <c r="H122" i="48"/>
  <c r="H126" i="48" s="1"/>
  <c r="G122" i="48"/>
  <c r="F122" i="48"/>
  <c r="F126" i="48" s="1"/>
  <c r="AG103" i="48"/>
  <c r="AF103" i="48"/>
  <c r="AE103" i="48"/>
  <c r="AD103" i="48"/>
  <c r="AC103" i="48"/>
  <c r="AB103" i="48"/>
  <c r="AA103" i="48"/>
  <c r="Z103" i="48"/>
  <c r="Y103" i="48"/>
  <c r="X103" i="48"/>
  <c r="W103" i="48"/>
  <c r="V103" i="48"/>
  <c r="U103" i="48"/>
  <c r="T103" i="48"/>
  <c r="S103" i="48"/>
  <c r="R103" i="48"/>
  <c r="Q103" i="48"/>
  <c r="P103" i="48"/>
  <c r="O103" i="48"/>
  <c r="N103" i="48"/>
  <c r="M103" i="48"/>
  <c r="L103" i="48"/>
  <c r="K103" i="48"/>
  <c r="J103" i="48"/>
  <c r="I103" i="48"/>
  <c r="H103" i="48"/>
  <c r="G103" i="48"/>
  <c r="F103" i="48"/>
  <c r="M90" i="48"/>
  <c r="L90" i="48"/>
  <c r="K90" i="48"/>
  <c r="J90" i="48"/>
  <c r="I90" i="48"/>
  <c r="H90" i="48"/>
  <c r="G90" i="48"/>
  <c r="F90" i="48"/>
  <c r="E90" i="48"/>
  <c r="M88" i="48"/>
  <c r="L88" i="48"/>
  <c r="K88" i="48"/>
  <c r="J88" i="48"/>
  <c r="I88" i="48"/>
  <c r="H88" i="48"/>
  <c r="G88" i="48"/>
  <c r="F88" i="48"/>
  <c r="F96" i="48" s="1"/>
  <c r="E88" i="48"/>
  <c r="L87" i="48"/>
  <c r="K87" i="48"/>
  <c r="J87" i="48"/>
  <c r="I87" i="48"/>
  <c r="H87" i="48"/>
  <c r="G87" i="48"/>
  <c r="F87" i="48"/>
  <c r="E87" i="48"/>
  <c r="F75" i="48"/>
  <c r="E75" i="48"/>
  <c r="F73" i="48"/>
  <c r="E73" i="48"/>
  <c r="F72" i="48"/>
  <c r="E72" i="48"/>
  <c r="M59" i="48"/>
  <c r="M89" i="48" s="1"/>
  <c r="L59" i="48"/>
  <c r="L89" i="48" s="1"/>
  <c r="K59" i="48"/>
  <c r="J59" i="48"/>
  <c r="J89" i="48" s="1"/>
  <c r="I59" i="48"/>
  <c r="I89" i="48" s="1"/>
  <c r="H59" i="48"/>
  <c r="H89" i="48" s="1"/>
  <c r="G59" i="48"/>
  <c r="G89" i="48" s="1"/>
  <c r="F59" i="48"/>
  <c r="F74" i="48" s="1"/>
  <c r="E59" i="48"/>
  <c r="E74" i="48" s="1"/>
  <c r="U57" i="48"/>
  <c r="T57" i="48"/>
  <c r="S57" i="48"/>
  <c r="R57" i="48"/>
  <c r="Q57" i="48"/>
  <c r="P57" i="48"/>
  <c r="O57" i="48"/>
  <c r="L57" i="48"/>
  <c r="L63" i="48" s="1"/>
  <c r="K57" i="48"/>
  <c r="J57" i="48"/>
  <c r="I57" i="48"/>
  <c r="H57" i="48"/>
  <c r="M56" i="48"/>
  <c r="M87" i="48" s="1"/>
  <c r="AJ51" i="48"/>
  <c r="AI51" i="48"/>
  <c r="AH51" i="48"/>
  <c r="AJ48" i="48"/>
  <c r="AI48" i="48"/>
  <c r="AH48" i="48"/>
  <c r="AG48" i="48"/>
  <c r="AF48" i="48"/>
  <c r="AE48" i="48"/>
  <c r="AD48" i="48"/>
  <c r="AC48" i="48"/>
  <c r="AB48" i="48"/>
  <c r="AA48" i="48"/>
  <c r="Z48" i="48"/>
  <c r="Y48" i="48"/>
  <c r="J27" i="48"/>
  <c r="AB25" i="48"/>
  <c r="AB133" i="48" s="1"/>
  <c r="AC133" i="48" s="1"/>
  <c r="AA25" i="48"/>
  <c r="AA133" i="48" s="1"/>
  <c r="Z25" i="48"/>
  <c r="Z133" i="48" s="1"/>
  <c r="Y25" i="48"/>
  <c r="X25" i="48"/>
  <c r="X133" i="48" s="1"/>
  <c r="W25" i="48"/>
  <c r="W133" i="48" s="1"/>
  <c r="V25" i="48"/>
  <c r="V133" i="48" s="1"/>
  <c r="U25" i="48"/>
  <c r="T25" i="48"/>
  <c r="S25" i="48"/>
  <c r="R25" i="48"/>
  <c r="R133" i="48" s="1"/>
  <c r="Q25" i="48"/>
  <c r="P25" i="48"/>
  <c r="O25" i="48"/>
  <c r="O133" i="48" s="1"/>
  <c r="N25" i="48"/>
  <c r="N133" i="48" s="1"/>
  <c r="M25" i="48"/>
  <c r="M133" i="48" s="1"/>
  <c r="L25" i="48"/>
  <c r="L133" i="48" s="1"/>
  <c r="K25" i="48"/>
  <c r="J25" i="48"/>
  <c r="J133" i="48" s="1"/>
  <c r="I25" i="48"/>
  <c r="I133" i="48" s="1"/>
  <c r="H25" i="48"/>
  <c r="H133" i="48" s="1"/>
  <c r="G25" i="48"/>
  <c r="F25" i="48"/>
  <c r="AC24" i="48"/>
  <c r="AB24" i="48"/>
  <c r="AB132" i="48" s="1"/>
  <c r="AA24" i="48"/>
  <c r="Z24" i="48"/>
  <c r="Y24" i="48"/>
  <c r="Y132" i="48" s="1"/>
  <c r="X24" i="48"/>
  <c r="X132" i="48" s="1"/>
  <c r="W24" i="48"/>
  <c r="W132" i="48" s="1"/>
  <c r="V24" i="48"/>
  <c r="V132" i="48" s="1"/>
  <c r="U24" i="48"/>
  <c r="T24" i="48"/>
  <c r="T132" i="48" s="1"/>
  <c r="S24" i="48"/>
  <c r="S132" i="48" s="1"/>
  <c r="R24" i="48"/>
  <c r="R132" i="48" s="1"/>
  <c r="Q24" i="48"/>
  <c r="P24" i="48"/>
  <c r="O24" i="48"/>
  <c r="N24" i="48"/>
  <c r="N132" i="48" s="1"/>
  <c r="M24" i="48"/>
  <c r="M132" i="48" s="1"/>
  <c r="L24" i="48"/>
  <c r="K24" i="48"/>
  <c r="K132" i="48" s="1"/>
  <c r="J24" i="48"/>
  <c r="J132" i="48" s="1"/>
  <c r="I24" i="48"/>
  <c r="I132" i="48" s="1"/>
  <c r="H24" i="48"/>
  <c r="H132" i="48" s="1"/>
  <c r="G24" i="48"/>
  <c r="F24" i="48"/>
  <c r="F132" i="48" s="1"/>
  <c r="AB23" i="48"/>
  <c r="AA23" i="48"/>
  <c r="Z23" i="48"/>
  <c r="Y23" i="48"/>
  <c r="X23" i="48"/>
  <c r="W23" i="48"/>
  <c r="V23" i="48"/>
  <c r="U23" i="48"/>
  <c r="T23" i="48"/>
  <c r="T131" i="48" s="1"/>
  <c r="S23" i="48"/>
  <c r="R23" i="48"/>
  <c r="Q23" i="48"/>
  <c r="Q131" i="48" s="1"/>
  <c r="P23" i="48"/>
  <c r="P131" i="48" s="1"/>
  <c r="O23" i="48"/>
  <c r="N23" i="48"/>
  <c r="M23" i="48"/>
  <c r="L23" i="48"/>
  <c r="K23" i="48"/>
  <c r="J23" i="48"/>
  <c r="I23" i="48"/>
  <c r="H23" i="48"/>
  <c r="G23" i="48"/>
  <c r="F23" i="48"/>
  <c r="F131" i="48" s="1"/>
  <c r="AN22" i="48"/>
  <c r="AM22" i="48"/>
  <c r="AL22" i="48"/>
  <c r="AK22" i="48"/>
  <c r="AJ22" i="48"/>
  <c r="AI22" i="48"/>
  <c r="AH22" i="48"/>
  <c r="AF22" i="48"/>
  <c r="AE22" i="48"/>
  <c r="AD22" i="48"/>
  <c r="AC22" i="48"/>
  <c r="AB22" i="48"/>
  <c r="AA22" i="48"/>
  <c r="Z22" i="48"/>
  <c r="AB21" i="48"/>
  <c r="AB19" i="48" s="1"/>
  <c r="AA21" i="48"/>
  <c r="Z21" i="48"/>
  <c r="Y21" i="48"/>
  <c r="X21" i="48"/>
  <c r="W21" i="48"/>
  <c r="V21" i="48"/>
  <c r="U21" i="48"/>
  <c r="T21" i="48"/>
  <c r="S21" i="48"/>
  <c r="R21" i="48"/>
  <c r="Q21" i="48"/>
  <c r="P21" i="48"/>
  <c r="O21" i="48"/>
  <c r="O19" i="48" s="1"/>
  <c r="N21" i="48"/>
  <c r="N19" i="48" s="1"/>
  <c r="M21" i="48"/>
  <c r="L21" i="48"/>
  <c r="K21" i="48"/>
  <c r="J21" i="48"/>
  <c r="I21" i="48"/>
  <c r="H21" i="48"/>
  <c r="G21" i="48"/>
  <c r="F21" i="48"/>
  <c r="AC19" i="48"/>
  <c r="C20" i="35" s="1"/>
  <c r="D22" i="55" s="1"/>
  <c r="D86" i="55" s="1"/>
  <c r="AA19" i="48"/>
  <c r="Z19" i="48"/>
  <c r="J19" i="48"/>
  <c r="AB16" i="48"/>
  <c r="AA16" i="48"/>
  <c r="AA118" i="48" s="1"/>
  <c r="Z16" i="48"/>
  <c r="Y16" i="48"/>
  <c r="X16" i="48"/>
  <c r="X118" i="48" s="1"/>
  <c r="W16" i="48"/>
  <c r="W118" i="48" s="1"/>
  <c r="V16" i="48"/>
  <c r="V118" i="48" s="1"/>
  <c r="U16" i="48"/>
  <c r="T16" i="48"/>
  <c r="S16" i="48"/>
  <c r="R16" i="48"/>
  <c r="R118" i="48" s="1"/>
  <c r="Q16" i="48"/>
  <c r="Q118" i="48" s="1"/>
  <c r="P16" i="48"/>
  <c r="P118" i="48" s="1"/>
  <c r="O16" i="48"/>
  <c r="O118" i="48" s="1"/>
  <c r="N16" i="48"/>
  <c r="M16" i="48"/>
  <c r="M118" i="48" s="1"/>
  <c r="H98" i="48" s="1"/>
  <c r="L16" i="48"/>
  <c r="K16" i="48"/>
  <c r="J16" i="48"/>
  <c r="J118" i="48" s="1"/>
  <c r="I16" i="48"/>
  <c r="I118" i="48" s="1"/>
  <c r="H16" i="48"/>
  <c r="H118" i="48" s="1"/>
  <c r="G16" i="48"/>
  <c r="F16" i="48"/>
  <c r="AC14" i="48"/>
  <c r="AB14" i="48"/>
  <c r="AB117" i="48" s="1"/>
  <c r="AA14" i="48"/>
  <c r="AA117" i="48" s="1"/>
  <c r="Z14" i="48"/>
  <c r="Z117" i="48" s="1"/>
  <c r="Y14" i="48"/>
  <c r="Y117" i="48" s="1"/>
  <c r="X14" i="48"/>
  <c r="W14" i="48"/>
  <c r="W117" i="48" s="1"/>
  <c r="V14" i="48"/>
  <c r="U14" i="48"/>
  <c r="T14" i="48"/>
  <c r="T117" i="48" s="1"/>
  <c r="S14" i="48"/>
  <c r="S117" i="48" s="1"/>
  <c r="R14" i="48"/>
  <c r="R117" i="48" s="1"/>
  <c r="Q14" i="48"/>
  <c r="P14" i="48"/>
  <c r="O14" i="48"/>
  <c r="N14" i="48"/>
  <c r="N117" i="48" s="1"/>
  <c r="H97" i="48" s="1"/>
  <c r="M14" i="48"/>
  <c r="M117" i="48" s="1"/>
  <c r="L14" i="48"/>
  <c r="K14" i="48"/>
  <c r="K117" i="48" s="1"/>
  <c r="J14" i="48"/>
  <c r="I14" i="48"/>
  <c r="I117" i="48" s="1"/>
  <c r="H14" i="48"/>
  <c r="G14" i="48"/>
  <c r="F14" i="48"/>
  <c r="AC12" i="48"/>
  <c r="AB12" i="48"/>
  <c r="AA12" i="48"/>
  <c r="Z12" i="48"/>
  <c r="Y12" i="48"/>
  <c r="X12" i="48"/>
  <c r="W12" i="48"/>
  <c r="W116" i="48" s="1"/>
  <c r="V12" i="48"/>
  <c r="V116" i="48" s="1"/>
  <c r="U12" i="48"/>
  <c r="U28" i="48" s="1"/>
  <c r="T12" i="48"/>
  <c r="S12" i="48"/>
  <c r="R12" i="48"/>
  <c r="Q12" i="48"/>
  <c r="P12" i="48"/>
  <c r="P116" i="48" s="1"/>
  <c r="O12" i="48"/>
  <c r="N12" i="48"/>
  <c r="M12" i="48"/>
  <c r="L12" i="48"/>
  <c r="K12" i="48"/>
  <c r="J12" i="48"/>
  <c r="I12" i="48"/>
  <c r="I116" i="48" s="1"/>
  <c r="H12" i="48"/>
  <c r="G33" i="48" s="1"/>
  <c r="G66" i="48" s="1"/>
  <c r="G73" i="48" s="1"/>
  <c r="G96" i="48" s="1"/>
  <c r="G12" i="48"/>
  <c r="G28" i="48" s="1"/>
  <c r="F12" i="48"/>
  <c r="AC10" i="48"/>
  <c r="AB10" i="48"/>
  <c r="AA10" i="48"/>
  <c r="Z10" i="48"/>
  <c r="Y10" i="48"/>
  <c r="X10" i="48"/>
  <c r="X27" i="48" s="1"/>
  <c r="W10" i="48"/>
  <c r="W27" i="48" s="1"/>
  <c r="V10" i="48"/>
  <c r="U10" i="48"/>
  <c r="T10" i="48"/>
  <c r="S10" i="48"/>
  <c r="S27" i="48" s="1"/>
  <c r="R10" i="48"/>
  <c r="Q10" i="48"/>
  <c r="P10" i="48"/>
  <c r="O10" i="48"/>
  <c r="N10" i="48"/>
  <c r="M10" i="48"/>
  <c r="L10" i="48"/>
  <c r="K10" i="48"/>
  <c r="J10" i="48"/>
  <c r="I10" i="48"/>
  <c r="I27" i="48" s="1"/>
  <c r="H10" i="48"/>
  <c r="G10" i="48"/>
  <c r="F10" i="48"/>
  <c r="AB9" i="48"/>
  <c r="V9" i="48"/>
  <c r="F81" i="78"/>
  <c r="N41" i="78" s="1"/>
  <c r="F66" i="78"/>
  <c r="F63" i="78"/>
  <c r="F60" i="78"/>
  <c r="F57" i="78"/>
  <c r="F54" i="78"/>
  <c r="J52" i="78"/>
  <c r="K51" i="78"/>
  <c r="L51" i="78" s="1"/>
  <c r="F51" i="78"/>
  <c r="L50" i="78"/>
  <c r="K50" i="78"/>
  <c r="K49" i="78"/>
  <c r="L49" i="78" s="1"/>
  <c r="N48" i="78"/>
  <c r="K48" i="78"/>
  <c r="M48" i="78" s="1"/>
  <c r="F48" i="78"/>
  <c r="M47" i="78"/>
  <c r="N47" i="78" s="1"/>
  <c r="L47" i="78"/>
  <c r="K47" i="78"/>
  <c r="K46" i="78"/>
  <c r="K45" i="78"/>
  <c r="F45" i="78"/>
  <c r="L44" i="78"/>
  <c r="K44" i="78"/>
  <c r="M44" i="78" s="1"/>
  <c r="N44" i="78" s="1"/>
  <c r="M43" i="78"/>
  <c r="N43" i="78" s="1"/>
  <c r="K43" i="78"/>
  <c r="L43" i="78" s="1"/>
  <c r="K42" i="78"/>
  <c r="M42" i="78" s="1"/>
  <c r="N42" i="78" s="1"/>
  <c r="F42" i="78"/>
  <c r="M41" i="78"/>
  <c r="L41" i="78"/>
  <c r="K41" i="78"/>
  <c r="K40" i="78"/>
  <c r="M40" i="78" s="1"/>
  <c r="N40" i="78" s="1"/>
  <c r="M39" i="78"/>
  <c r="N39" i="78" s="1"/>
  <c r="L39" i="78"/>
  <c r="K39" i="78"/>
  <c r="F39" i="78"/>
  <c r="M38" i="78"/>
  <c r="L38" i="78"/>
  <c r="K38" i="78"/>
  <c r="K37" i="78"/>
  <c r="M37" i="78" s="1"/>
  <c r="N37" i="78" s="1"/>
  <c r="L36" i="78"/>
  <c r="K36" i="78"/>
  <c r="M36" i="78" s="1"/>
  <c r="N36" i="78" s="1"/>
  <c r="F36" i="78"/>
  <c r="K35" i="78"/>
  <c r="N34" i="78"/>
  <c r="M34" i="78"/>
  <c r="B34" i="78"/>
  <c r="B35" i="78" s="1"/>
  <c r="B36" i="78" s="1"/>
  <c r="B37" i="78" s="1"/>
  <c r="B38" i="78" s="1"/>
  <c r="B39" i="78" s="1"/>
  <c r="B40" i="78" s="1"/>
  <c r="B41" i="78" s="1"/>
  <c r="B42" i="78" s="1"/>
  <c r="B43" i="78" s="1"/>
  <c r="B44" i="78" s="1"/>
  <c r="B45" i="78" s="1"/>
  <c r="B46" i="78" s="1"/>
  <c r="B47" i="78" s="1"/>
  <c r="B48" i="78" s="1"/>
  <c r="B49" i="78" s="1"/>
  <c r="B50" i="78" s="1"/>
  <c r="B51" i="78" s="1"/>
  <c r="B52" i="78" s="1"/>
  <c r="B53" i="78" s="1"/>
  <c r="B54" i="78" s="1"/>
  <c r="B55" i="78" s="1"/>
  <c r="B56" i="78" s="1"/>
  <c r="B57" i="78" s="1"/>
  <c r="N33" i="78"/>
  <c r="M33" i="78"/>
  <c r="F33" i="78"/>
  <c r="N32" i="78"/>
  <c r="N31" i="78"/>
  <c r="M30" i="78"/>
  <c r="N30" i="78" s="1"/>
  <c r="F30" i="78"/>
  <c r="B30" i="78"/>
  <c r="B31" i="78" s="1"/>
  <c r="B32" i="78" s="1"/>
  <c r="B33" i="78" s="1"/>
  <c r="M29" i="78"/>
  <c r="N29" i="78" s="1"/>
  <c r="B29" i="78"/>
  <c r="M28" i="78"/>
  <c r="N28" i="78" s="1"/>
  <c r="B28" i="78"/>
  <c r="N27" i="78"/>
  <c r="M27" i="78"/>
  <c r="F27" i="78"/>
  <c r="B27" i="78"/>
  <c r="AK18" i="78"/>
  <c r="AL18" i="78" s="1"/>
  <c r="AM18" i="78" s="1"/>
  <c r="AN18" i="78" s="1"/>
  <c r="AI18" i="78"/>
  <c r="AJ18" i="78" s="1"/>
  <c r="AH18" i="78"/>
  <c r="AI14" i="78"/>
  <c r="I24" i="35" s="1"/>
  <c r="AK13" i="78"/>
  <c r="AK14" i="78" s="1"/>
  <c r="K24" i="35" s="1"/>
  <c r="AI13" i="78"/>
  <c r="AH13" i="78"/>
  <c r="AH14" i="78" s="1"/>
  <c r="H24" i="35" s="1"/>
  <c r="AC13" i="78"/>
  <c r="AC14" i="78" s="1"/>
  <c r="V13" i="78"/>
  <c r="V14" i="78" s="1"/>
  <c r="U13" i="78"/>
  <c r="U14" i="78" s="1"/>
  <c r="N10" i="50" s="1"/>
  <c r="T13" i="78"/>
  <c r="T14" i="78" s="1"/>
  <c r="M10" i="50" s="1"/>
  <c r="S13" i="78"/>
  <c r="S14" i="78" s="1"/>
  <c r="L10" i="50" s="1"/>
  <c r="AA19" i="77"/>
  <c r="X16" i="77"/>
  <c r="X19" i="77" s="1"/>
  <c r="X15" i="77"/>
  <c r="AA7" i="77"/>
  <c r="Z7" i="77"/>
  <c r="Z19" i="77" s="1"/>
  <c r="X7" i="77"/>
  <c r="Q7" i="77"/>
  <c r="D133" i="75"/>
  <c r="D137" i="75" s="1"/>
  <c r="F130" i="75"/>
  <c r="V105" i="75"/>
  <c r="U105" i="75"/>
  <c r="T105" i="75"/>
  <c r="S105" i="75"/>
  <c r="R105" i="75"/>
  <c r="Q105" i="75"/>
  <c r="P105" i="75"/>
  <c r="O105" i="75"/>
  <c r="N105" i="75"/>
  <c r="M105" i="75"/>
  <c r="L105" i="75"/>
  <c r="K105" i="75"/>
  <c r="J105" i="75"/>
  <c r="I105" i="75"/>
  <c r="H105" i="75"/>
  <c r="G105" i="75"/>
  <c r="F105" i="75"/>
  <c r="E105" i="75"/>
  <c r="D105" i="75"/>
  <c r="X104" i="75"/>
  <c r="X106" i="75" s="1"/>
  <c r="W104" i="75"/>
  <c r="W106" i="75" s="1"/>
  <c r="W105" i="75" s="1"/>
  <c r="V104" i="75"/>
  <c r="V106" i="75" s="1"/>
  <c r="U104" i="75"/>
  <c r="U106" i="75" s="1"/>
  <c r="AG99" i="75"/>
  <c r="AF99" i="75"/>
  <c r="AE99" i="75"/>
  <c r="AD99" i="75"/>
  <c r="D99" i="75"/>
  <c r="V96" i="75"/>
  <c r="U96" i="75"/>
  <c r="T96" i="75"/>
  <c r="S96" i="75"/>
  <c r="R96" i="75"/>
  <c r="Q96" i="75"/>
  <c r="P96" i="75"/>
  <c r="O96" i="75"/>
  <c r="N96" i="75"/>
  <c r="M96" i="75"/>
  <c r="L96" i="75"/>
  <c r="K96" i="75"/>
  <c r="J96" i="75"/>
  <c r="I96" i="75"/>
  <c r="H96" i="75"/>
  <c r="G96" i="75"/>
  <c r="F96" i="75"/>
  <c r="E96" i="75"/>
  <c r="D96" i="75"/>
  <c r="V87" i="75"/>
  <c r="U87" i="75"/>
  <c r="L87" i="75"/>
  <c r="J87" i="75"/>
  <c r="V86" i="75"/>
  <c r="U86" i="75"/>
  <c r="T86" i="75"/>
  <c r="S86" i="75"/>
  <c r="R86" i="75"/>
  <c r="Q86" i="75"/>
  <c r="P86" i="75"/>
  <c r="O86" i="75"/>
  <c r="O87" i="75" s="1"/>
  <c r="N86" i="75"/>
  <c r="M86" i="75"/>
  <c r="M87" i="75" s="1"/>
  <c r="L86" i="75"/>
  <c r="K86" i="75"/>
  <c r="K87" i="75" s="1"/>
  <c r="J86" i="75"/>
  <c r="I86" i="75"/>
  <c r="H86" i="75"/>
  <c r="P87" i="75" s="1"/>
  <c r="G86" i="75"/>
  <c r="F86" i="75"/>
  <c r="E86" i="75"/>
  <c r="D86" i="75"/>
  <c r="K85" i="75"/>
  <c r="M45" i="75"/>
  <c r="V44" i="75"/>
  <c r="U44" i="75"/>
  <c r="T44" i="75"/>
  <c r="S44" i="75"/>
  <c r="R44" i="75"/>
  <c r="Q44" i="75"/>
  <c r="P44" i="75"/>
  <c r="O44" i="75"/>
  <c r="N44" i="75"/>
  <c r="M44" i="75"/>
  <c r="L44" i="75"/>
  <c r="K44" i="75"/>
  <c r="J44" i="75"/>
  <c r="I44" i="75"/>
  <c r="H44" i="75"/>
  <c r="G44" i="75"/>
  <c r="F44" i="75"/>
  <c r="E44" i="75"/>
  <c r="D44" i="75"/>
  <c r="AC40" i="75"/>
  <c r="AB40" i="75"/>
  <c r="AA40" i="75"/>
  <c r="Z40" i="75"/>
  <c r="Y40" i="75"/>
  <c r="X40" i="75"/>
  <c r="W40" i="75"/>
  <c r="V40" i="75"/>
  <c r="U40" i="75"/>
  <c r="T40" i="75"/>
  <c r="S40" i="75"/>
  <c r="AA38" i="75"/>
  <c r="P38" i="75"/>
  <c r="L38" i="75"/>
  <c r="K38" i="75"/>
  <c r="J38" i="75"/>
  <c r="AC36" i="75"/>
  <c r="AB36" i="75"/>
  <c r="AA36" i="75"/>
  <c r="Z36" i="75"/>
  <c r="Y36" i="75"/>
  <c r="X36" i="75"/>
  <c r="W36" i="75"/>
  <c r="V36" i="75"/>
  <c r="U36" i="75"/>
  <c r="T36" i="75"/>
  <c r="S36" i="75"/>
  <c r="R36" i="75"/>
  <c r="Q36" i="75"/>
  <c r="P36" i="75"/>
  <c r="O36" i="75"/>
  <c r="N36" i="75"/>
  <c r="M36" i="75"/>
  <c r="L36" i="75"/>
  <c r="K36" i="75"/>
  <c r="J36" i="75"/>
  <c r="T35" i="75"/>
  <c r="S35" i="75"/>
  <c r="R35" i="75"/>
  <c r="Q35" i="75"/>
  <c r="P35" i="75"/>
  <c r="O35" i="75"/>
  <c r="N35" i="75"/>
  <c r="M35" i="75"/>
  <c r="H34" i="75"/>
  <c r="G34" i="75"/>
  <c r="F34" i="75"/>
  <c r="E34" i="75"/>
  <c r="D34" i="75"/>
  <c r="AA33" i="75"/>
  <c r="Q33" i="75"/>
  <c r="Q38" i="75" s="1"/>
  <c r="P33" i="75"/>
  <c r="H28" i="75"/>
  <c r="F28" i="75"/>
  <c r="E28" i="75"/>
  <c r="D28" i="75"/>
  <c r="V25" i="75"/>
  <c r="U25" i="75"/>
  <c r="T25" i="75"/>
  <c r="S25" i="75"/>
  <c r="R25" i="75"/>
  <c r="Q25" i="75"/>
  <c r="P25" i="75"/>
  <c r="O25" i="75"/>
  <c r="N25" i="75"/>
  <c r="M25" i="75"/>
  <c r="L25" i="75"/>
  <c r="K25" i="75"/>
  <c r="J25" i="75"/>
  <c r="I25" i="75"/>
  <c r="H25" i="75"/>
  <c r="G25" i="75"/>
  <c r="F25" i="75"/>
  <c r="E25" i="75"/>
  <c r="D25" i="75"/>
  <c r="H24" i="75"/>
  <c r="G24" i="75"/>
  <c r="G28" i="75" s="1"/>
  <c r="F24" i="75"/>
  <c r="E24" i="75"/>
  <c r="D24" i="75"/>
  <c r="AA23" i="75"/>
  <c r="Q23" i="75"/>
  <c r="P23" i="75"/>
  <c r="AC22" i="75"/>
  <c r="AB22" i="75"/>
  <c r="AA22" i="75"/>
  <c r="Z22" i="75"/>
  <c r="Y22" i="75"/>
  <c r="X22" i="75"/>
  <c r="W22" i="75"/>
  <c r="V22" i="75"/>
  <c r="U22" i="75"/>
  <c r="T22" i="75"/>
  <c r="S22" i="75"/>
  <c r="R22" i="75"/>
  <c r="Q22" i="75"/>
  <c r="P22" i="75"/>
  <c r="O22" i="75"/>
  <c r="N22" i="75"/>
  <c r="M22" i="75"/>
  <c r="L22" i="75"/>
  <c r="K22" i="75"/>
  <c r="J22" i="75"/>
  <c r="T21" i="75"/>
  <c r="S21" i="75"/>
  <c r="R21" i="75"/>
  <c r="Q21" i="75"/>
  <c r="P21" i="75"/>
  <c r="O21" i="75"/>
  <c r="N21" i="75"/>
  <c r="M21" i="75"/>
  <c r="L21" i="75"/>
  <c r="K21" i="75"/>
  <c r="J21" i="75"/>
  <c r="I21" i="75"/>
  <c r="I38" i="75" s="1"/>
  <c r="H21" i="75"/>
  <c r="H38" i="75" s="1"/>
  <c r="G21" i="75"/>
  <c r="F21" i="75"/>
  <c r="E21" i="75"/>
  <c r="D21" i="75"/>
  <c r="D38" i="75" s="1"/>
  <c r="AC18" i="75"/>
  <c r="AB18" i="75"/>
  <c r="AA18" i="75"/>
  <c r="Z18" i="75"/>
  <c r="Y18" i="75"/>
  <c r="X18" i="75"/>
  <c r="W18" i="75"/>
  <c r="V18" i="75"/>
  <c r="U18" i="75"/>
  <c r="T18" i="75"/>
  <c r="S18" i="75"/>
  <c r="R18" i="75"/>
  <c r="Q18" i="75"/>
  <c r="P18" i="75"/>
  <c r="O18" i="75"/>
  <c r="N18" i="75"/>
  <c r="M18" i="75"/>
  <c r="L18" i="75"/>
  <c r="K18" i="75"/>
  <c r="J18" i="75"/>
  <c r="I18" i="75"/>
  <c r="H18" i="75"/>
  <c r="N17" i="75"/>
  <c r="M17" i="75"/>
  <c r="V15" i="75"/>
  <c r="T13" i="75"/>
  <c r="S13" i="75"/>
  <c r="R13" i="75"/>
  <c r="Q13" i="75"/>
  <c r="P13" i="75"/>
  <c r="O13" i="75"/>
  <c r="N13" i="75"/>
  <c r="M13" i="75"/>
  <c r="V12" i="75"/>
  <c r="U12" i="75"/>
  <c r="T12" i="75"/>
  <c r="S12" i="75"/>
  <c r="R12" i="75"/>
  <c r="Q12" i="75"/>
  <c r="P12" i="75"/>
  <c r="O12" i="75"/>
  <c r="N12" i="75"/>
  <c r="M12" i="75"/>
  <c r="L12" i="75"/>
  <c r="K12" i="75"/>
  <c r="J12" i="75"/>
  <c r="I12" i="75"/>
  <c r="H12" i="75"/>
  <c r="G12" i="75"/>
  <c r="F12" i="75"/>
  <c r="E12" i="75"/>
  <c r="D12" i="75"/>
  <c r="N97" i="59"/>
  <c r="M97" i="59"/>
  <c r="L97" i="59"/>
  <c r="K97" i="59"/>
  <c r="J97" i="59"/>
  <c r="I97" i="59"/>
  <c r="H97" i="59"/>
  <c r="G97" i="59"/>
  <c r="F97" i="59"/>
  <c r="E97" i="59"/>
  <c r="D97" i="59"/>
  <c r="C97" i="59"/>
  <c r="K93" i="59"/>
  <c r="J93" i="59"/>
  <c r="I93" i="59"/>
  <c r="H93" i="59"/>
  <c r="G93" i="59"/>
  <c r="F93" i="59"/>
  <c r="E93" i="59"/>
  <c r="D93" i="59"/>
  <c r="C93" i="59"/>
  <c r="D90" i="59"/>
  <c r="E90" i="59" s="1"/>
  <c r="F90" i="59" s="1"/>
  <c r="G90" i="59" s="1"/>
  <c r="H90" i="59" s="1"/>
  <c r="I90" i="59" s="1"/>
  <c r="J90" i="59" s="1"/>
  <c r="K90" i="59" s="1"/>
  <c r="L90" i="59" s="1"/>
  <c r="M90" i="59" s="1"/>
  <c r="N90" i="59" s="1"/>
  <c r="O90" i="59" s="1"/>
  <c r="P90" i="59" s="1"/>
  <c r="Q90" i="59" s="1"/>
  <c r="R90" i="59" s="1"/>
  <c r="AD71" i="59"/>
  <c r="AC71" i="59"/>
  <c r="U71" i="59"/>
  <c r="AC70" i="59"/>
  <c r="AB70" i="59"/>
  <c r="AA70" i="59"/>
  <c r="AB69" i="59" s="1"/>
  <c r="AB71" i="59" s="1"/>
  <c r="Z70" i="59"/>
  <c r="AA69" i="59" s="1"/>
  <c r="AA71" i="59" s="1"/>
  <c r="Y70" i="59"/>
  <c r="Z69" i="59" s="1"/>
  <c r="Z71" i="59" s="1"/>
  <c r="X70" i="59"/>
  <c r="Y69" i="59" s="1"/>
  <c r="Y71" i="59" s="1"/>
  <c r="W70" i="59"/>
  <c r="V70" i="59"/>
  <c r="W69" i="59" s="1"/>
  <c r="W71" i="59" s="1"/>
  <c r="U70" i="59"/>
  <c r="T70" i="59"/>
  <c r="S70" i="59"/>
  <c r="R70" i="59"/>
  <c r="Q70" i="59"/>
  <c r="P70" i="59"/>
  <c r="O70" i="59"/>
  <c r="N70" i="59"/>
  <c r="M70" i="59"/>
  <c r="L70" i="59"/>
  <c r="K70" i="59"/>
  <c r="J70" i="59"/>
  <c r="I70" i="59"/>
  <c r="H70" i="59"/>
  <c r="G70" i="59"/>
  <c r="F70" i="59"/>
  <c r="E70" i="59"/>
  <c r="D70" i="59"/>
  <c r="AD69" i="59"/>
  <c r="AC69" i="59"/>
  <c r="X69" i="59"/>
  <c r="X71" i="59" s="1"/>
  <c r="V69" i="59"/>
  <c r="V71" i="59" s="1"/>
  <c r="U69" i="59"/>
  <c r="F64" i="59"/>
  <c r="AC61" i="59"/>
  <c r="AB61" i="59"/>
  <c r="AA61" i="59"/>
  <c r="Z61" i="59"/>
  <c r="Y61" i="59"/>
  <c r="X61" i="59"/>
  <c r="W61" i="59"/>
  <c r="V61" i="59"/>
  <c r="U61" i="59"/>
  <c r="T61" i="59"/>
  <c r="S61" i="59"/>
  <c r="R61" i="59"/>
  <c r="Q61" i="59"/>
  <c r="P61" i="59"/>
  <c r="O61" i="59"/>
  <c r="N61" i="59"/>
  <c r="M61" i="59"/>
  <c r="L61" i="59"/>
  <c r="K61" i="59"/>
  <c r="J61" i="59"/>
  <c r="I61" i="59"/>
  <c r="H61" i="59"/>
  <c r="G61" i="59"/>
  <c r="F61" i="59"/>
  <c r="E61" i="59"/>
  <c r="D61" i="59"/>
  <c r="Z52" i="59"/>
  <c r="W52" i="59"/>
  <c r="V52" i="59"/>
  <c r="U52" i="59"/>
  <c r="T52" i="59"/>
  <c r="S52" i="59"/>
  <c r="AC51" i="59"/>
  <c r="AB51" i="59"/>
  <c r="AA51" i="59"/>
  <c r="AA52" i="59" s="1"/>
  <c r="Z51" i="59"/>
  <c r="Z50" i="59" s="1"/>
  <c r="Z26" i="59" s="1"/>
  <c r="Y51" i="59"/>
  <c r="Y52" i="59" s="1"/>
  <c r="X51" i="59"/>
  <c r="W51" i="59"/>
  <c r="V51" i="59"/>
  <c r="U51" i="59"/>
  <c r="T51" i="59"/>
  <c r="S51" i="59"/>
  <c r="S50" i="59" s="1"/>
  <c r="S26" i="59" s="1"/>
  <c r="R51" i="59"/>
  <c r="Q51" i="59"/>
  <c r="Q52" i="59" s="1"/>
  <c r="P51" i="59"/>
  <c r="P52" i="59" s="1"/>
  <c r="O51" i="59"/>
  <c r="N51" i="59"/>
  <c r="M51" i="59"/>
  <c r="L51" i="59"/>
  <c r="L50" i="59" s="1"/>
  <c r="L26" i="59" s="1"/>
  <c r="K51" i="59"/>
  <c r="K52" i="59" s="1"/>
  <c r="J51" i="59"/>
  <c r="I51" i="59"/>
  <c r="H51" i="59"/>
  <c r="X52" i="59" s="1"/>
  <c r="G51" i="59"/>
  <c r="F51" i="59"/>
  <c r="E51" i="59"/>
  <c r="D51" i="59"/>
  <c r="AA50" i="59"/>
  <c r="AA26" i="59" s="1"/>
  <c r="X50" i="59"/>
  <c r="X26" i="59" s="1"/>
  <c r="W50" i="59"/>
  <c r="W26" i="59" s="1"/>
  <c r="V50" i="59"/>
  <c r="V26" i="59" s="1"/>
  <c r="U50" i="59"/>
  <c r="U26" i="59" s="1"/>
  <c r="T50" i="59"/>
  <c r="J50" i="59"/>
  <c r="J26" i="59" s="1"/>
  <c r="I50" i="59"/>
  <c r="I26" i="59" s="1"/>
  <c r="G37" i="59"/>
  <c r="AC36" i="59"/>
  <c r="AB36" i="59"/>
  <c r="AA36" i="59"/>
  <c r="Z36" i="59"/>
  <c r="Y36" i="59"/>
  <c r="X36" i="59"/>
  <c r="W36" i="59"/>
  <c r="V36" i="59"/>
  <c r="U36" i="59"/>
  <c r="T36" i="59"/>
  <c r="S36" i="59"/>
  <c r="R36" i="59"/>
  <c r="Q36" i="59"/>
  <c r="P36" i="59"/>
  <c r="O36" i="59"/>
  <c r="N36" i="59"/>
  <c r="M36" i="59"/>
  <c r="L36" i="59"/>
  <c r="K36" i="59"/>
  <c r="J36" i="59"/>
  <c r="I36" i="59"/>
  <c r="H36" i="59"/>
  <c r="G36" i="59"/>
  <c r="F36" i="59"/>
  <c r="E36" i="59"/>
  <c r="D36" i="59"/>
  <c r="AN32" i="59"/>
  <c r="AM32" i="59"/>
  <c r="AL32" i="59"/>
  <c r="AK32" i="59"/>
  <c r="AJ32" i="59"/>
  <c r="AI32" i="59"/>
  <c r="AH32" i="59"/>
  <c r="AG32" i="59"/>
  <c r="AF32" i="59"/>
  <c r="AE32" i="59"/>
  <c r="AD32" i="59"/>
  <c r="AC32" i="59"/>
  <c r="AB32" i="59"/>
  <c r="AA32" i="59"/>
  <c r="Z32" i="59"/>
  <c r="Y32" i="59"/>
  <c r="X32" i="59"/>
  <c r="W32" i="59"/>
  <c r="V32" i="59"/>
  <c r="U32" i="59"/>
  <c r="T32" i="59"/>
  <c r="S32" i="59"/>
  <c r="AN30" i="59"/>
  <c r="AM30" i="59"/>
  <c r="AL30" i="59"/>
  <c r="AK30" i="59"/>
  <c r="AJ30" i="59"/>
  <c r="AI30" i="59"/>
  <c r="AH30" i="59"/>
  <c r="AG30" i="59"/>
  <c r="AF30" i="59"/>
  <c r="AA30" i="59"/>
  <c r="L30" i="59"/>
  <c r="K30" i="59"/>
  <c r="D30"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T27" i="59"/>
  <c r="S27" i="59"/>
  <c r="R27" i="59"/>
  <c r="Q27" i="59"/>
  <c r="P27" i="59"/>
  <c r="O27" i="59"/>
  <c r="N27" i="59"/>
  <c r="M27" i="59"/>
  <c r="T26" i="59"/>
  <c r="H26" i="59"/>
  <c r="G26" i="59"/>
  <c r="F26" i="59"/>
  <c r="E26" i="59"/>
  <c r="D26" i="59"/>
  <c r="AF25" i="59"/>
  <c r="AA25" i="59"/>
  <c r="Q25" i="59"/>
  <c r="Q30" i="59" s="1"/>
  <c r="P25" i="59"/>
  <c r="T21" i="59"/>
  <c r="S21" i="59"/>
  <c r="R21" i="59"/>
  <c r="Q21" i="59"/>
  <c r="P21" i="59"/>
  <c r="O21" i="59"/>
  <c r="N21" i="59"/>
  <c r="M21" i="59"/>
  <c r="L21" i="59"/>
  <c r="K21" i="59"/>
  <c r="J21" i="59"/>
  <c r="J30" i="59" s="1"/>
  <c r="I21" i="59"/>
  <c r="I30" i="59" s="1"/>
  <c r="H21" i="59"/>
  <c r="H30" i="59" s="1"/>
  <c r="G21" i="59"/>
  <c r="G30" i="59" s="1"/>
  <c r="F21" i="59"/>
  <c r="F30" i="59" s="1"/>
  <c r="E21" i="59"/>
  <c r="D21" i="59"/>
  <c r="D64" i="59" s="1"/>
  <c r="AN18" i="59"/>
  <c r="AM18" i="59"/>
  <c r="AL18" i="59"/>
  <c r="AK18" i="59"/>
  <c r="AJ18" i="59"/>
  <c r="AI18" i="59"/>
  <c r="AH18" i="59"/>
  <c r="AG18" i="59"/>
  <c r="AF18" i="59"/>
  <c r="AE18" i="59"/>
  <c r="AD18" i="59"/>
  <c r="AC18" i="59"/>
  <c r="AB18" i="59"/>
  <c r="AA18" i="59"/>
  <c r="Z18" i="59"/>
  <c r="Y18" i="59"/>
  <c r="X18" i="59"/>
  <c r="W18" i="59"/>
  <c r="V18" i="59"/>
  <c r="U18" i="59"/>
  <c r="T18" i="59"/>
  <c r="S18" i="59"/>
  <c r="R18" i="59"/>
  <c r="Q18" i="59"/>
  <c r="P18" i="59"/>
  <c r="O18" i="59"/>
  <c r="N18" i="59"/>
  <c r="M18" i="59"/>
  <c r="L18" i="59"/>
  <c r="L64" i="59" s="1"/>
  <c r="K18" i="59"/>
  <c r="J18" i="59"/>
  <c r="J64" i="59" s="1"/>
  <c r="I18" i="59"/>
  <c r="I64" i="59" s="1"/>
  <c r="H18" i="59"/>
  <c r="H64" i="59" s="1"/>
  <c r="S17" i="59"/>
  <c r="O17" i="59"/>
  <c r="M17" i="59"/>
  <c r="E17" i="59"/>
  <c r="AC16" i="59"/>
  <c r="AB16" i="59"/>
  <c r="AA16" i="59"/>
  <c r="Z16" i="59"/>
  <c r="W15" i="59"/>
  <c r="V15" i="59"/>
  <c r="AC12" i="59"/>
  <c r="AB12" i="59"/>
  <c r="AA12" i="59"/>
  <c r="Z12" i="59"/>
  <c r="Y12" i="59"/>
  <c r="X12" i="59"/>
  <c r="W12" i="59"/>
  <c r="V12" i="59"/>
  <c r="U12" i="59"/>
  <c r="T12" i="59"/>
  <c r="S12" i="59"/>
  <c r="R12" i="59"/>
  <c r="Q12" i="59"/>
  <c r="P12" i="59"/>
  <c r="O12" i="59"/>
  <c r="N12" i="59"/>
  <c r="M12" i="59"/>
  <c r="L12" i="59"/>
  <c r="K12" i="59"/>
  <c r="J12" i="59"/>
  <c r="I12" i="59"/>
  <c r="H12" i="59"/>
  <c r="G12" i="59"/>
  <c r="F12" i="59"/>
  <c r="E12" i="59"/>
  <c r="D12" i="59"/>
  <c r="AH20" i="67"/>
  <c r="AG20" i="67"/>
  <c r="AF20" i="67"/>
  <c r="AE20" i="67"/>
  <c r="AD20" i="67"/>
  <c r="AC20" i="67"/>
  <c r="AB20" i="67"/>
  <c r="AA20" i="67"/>
  <c r="Z20" i="67"/>
  <c r="Y20" i="67"/>
  <c r="X20" i="67"/>
  <c r="W20" i="67"/>
  <c r="V20" i="67"/>
  <c r="U20" i="67"/>
  <c r="T20" i="67"/>
  <c r="S20" i="67"/>
  <c r="R20" i="67"/>
  <c r="AH11" i="67"/>
  <c r="AG11" i="67"/>
  <c r="AF11" i="67"/>
  <c r="AE11" i="67"/>
  <c r="AD11" i="67"/>
  <c r="AC11" i="67"/>
  <c r="AB11" i="67"/>
  <c r="AA11" i="67"/>
  <c r="Z11" i="67"/>
  <c r="Y11" i="67"/>
  <c r="X11" i="67"/>
  <c r="W11" i="67"/>
  <c r="E25" i="33"/>
  <c r="K24" i="33"/>
  <c r="K26" i="33" s="1"/>
  <c r="J24" i="33"/>
  <c r="J26" i="33" s="1"/>
  <c r="AG13" i="33" s="1"/>
  <c r="I24" i="33"/>
  <c r="H24" i="33"/>
  <c r="H26" i="33" s="1"/>
  <c r="G24" i="33"/>
  <c r="F24" i="33"/>
  <c r="F26" i="33" s="1"/>
  <c r="E24" i="33"/>
  <c r="J23" i="33"/>
  <c r="H22" i="33"/>
  <c r="F22" i="33"/>
  <c r="E22" i="33"/>
  <c r="AN13" i="33"/>
  <c r="AA13" i="33"/>
  <c r="Z13" i="33"/>
  <c r="Y13" i="33"/>
  <c r="X13" i="33"/>
  <c r="O13" i="33"/>
  <c r="N13" i="33"/>
  <c r="AC12" i="33"/>
  <c r="AC11" i="33"/>
  <c r="AB11" i="33"/>
  <c r="AA11" i="33"/>
  <c r="Z11" i="33"/>
  <c r="Y11" i="33"/>
  <c r="X11" i="33"/>
  <c r="W11" i="33"/>
  <c r="V11" i="33"/>
  <c r="U11" i="33"/>
  <c r="T11" i="33"/>
  <c r="S11" i="33"/>
  <c r="R11" i="33"/>
  <c r="Q11" i="33"/>
  <c r="P11" i="33"/>
  <c r="O11" i="33"/>
  <c r="N11" i="33"/>
  <c r="M11" i="33"/>
  <c r="L11" i="33"/>
  <c r="K11" i="33"/>
  <c r="J11" i="33"/>
  <c r="AC10" i="33"/>
  <c r="AC17" i="75" s="1"/>
  <c r="AB10" i="33"/>
  <c r="AB17" i="75" s="1"/>
  <c r="AA10" i="33"/>
  <c r="AA17" i="75" s="1"/>
  <c r="Z10" i="33"/>
  <c r="Y10" i="33"/>
  <c r="Y17" i="59" s="1"/>
  <c r="X10" i="33"/>
  <c r="W10" i="33"/>
  <c r="V10" i="33"/>
  <c r="U10" i="33"/>
  <c r="T10" i="33"/>
  <c r="S10" i="33"/>
  <c r="S17" i="75" s="1"/>
  <c r="R10" i="33"/>
  <c r="Q10" i="33"/>
  <c r="P10" i="33"/>
  <c r="O10" i="33"/>
  <c r="O17" i="75" s="1"/>
  <c r="N10" i="33"/>
  <c r="N17" i="59" s="1"/>
  <c r="M10" i="33"/>
  <c r="L10" i="33"/>
  <c r="K10" i="33"/>
  <c r="J10" i="33"/>
  <c r="I10" i="33"/>
  <c r="H10" i="33"/>
  <c r="G10" i="33"/>
  <c r="F10" i="33"/>
  <c r="E10" i="33"/>
  <c r="E17" i="75" s="1"/>
  <c r="D10" i="33"/>
  <c r="L51" i="49"/>
  <c r="K51" i="49"/>
  <c r="J51" i="49"/>
  <c r="P50" i="49"/>
  <c r="O50" i="49"/>
  <c r="N50" i="49"/>
  <c r="M50" i="49"/>
  <c r="L50" i="49"/>
  <c r="K50" i="49"/>
  <c r="J50" i="49"/>
  <c r="I50" i="49"/>
  <c r="H50" i="49"/>
  <c r="G50" i="49"/>
  <c r="F50" i="49"/>
  <c r="P49" i="49"/>
  <c r="O49" i="49"/>
  <c r="N49" i="49"/>
  <c r="M49" i="49"/>
  <c r="L49" i="49"/>
  <c r="K49" i="49"/>
  <c r="J49" i="49"/>
  <c r="I49" i="49"/>
  <c r="H49" i="49"/>
  <c r="G49" i="49"/>
  <c r="F49" i="49"/>
  <c r="N30" i="49"/>
  <c r="AC27" i="49"/>
  <c r="AB27" i="49"/>
  <c r="Z27" i="49"/>
  <c r="Y27" i="49"/>
  <c r="U27" i="49"/>
  <c r="U45" i="75" s="1"/>
  <c r="O27" i="49"/>
  <c r="N27" i="49"/>
  <c r="L27" i="49"/>
  <c r="L37" i="59" s="1"/>
  <c r="L38" i="59" s="1"/>
  <c r="K27" i="49"/>
  <c r="G27" i="49"/>
  <c r="G45" i="75" s="1"/>
  <c r="K19" i="49"/>
  <c r="AB12" i="49"/>
  <c r="AA12" i="49"/>
  <c r="Z12" i="49"/>
  <c r="W12" i="49"/>
  <c r="N12" i="49"/>
  <c r="M12" i="49"/>
  <c r="L12" i="49"/>
  <c r="J12" i="49"/>
  <c r="I12" i="49"/>
  <c r="I29" i="49" s="1"/>
  <c r="AC11" i="49"/>
  <c r="AC12" i="49" s="1"/>
  <c r="AB11" i="49"/>
  <c r="AA11" i="49"/>
  <c r="Z11" i="49"/>
  <c r="Y11" i="49"/>
  <c r="Y12" i="49" s="1"/>
  <c r="X11" i="49"/>
  <c r="X12" i="49" s="1"/>
  <c r="G18" i="49" s="1"/>
  <c r="G19" i="49" s="1"/>
  <c r="W11" i="49"/>
  <c r="V11" i="49"/>
  <c r="V12" i="49" s="1"/>
  <c r="V29" i="49" s="1"/>
  <c r="U11" i="49"/>
  <c r="U12" i="49" s="1"/>
  <c r="U29" i="49" s="1"/>
  <c r="U30" i="49" s="1"/>
  <c r="T11" i="49"/>
  <c r="T12" i="49" s="1"/>
  <c r="F18" i="49" s="1"/>
  <c r="F19" i="49" s="1"/>
  <c r="S11" i="49"/>
  <c r="S12" i="49" s="1"/>
  <c r="R11" i="49"/>
  <c r="Q11" i="49"/>
  <c r="P11" i="49"/>
  <c r="P12" i="49" s="1"/>
  <c r="O11" i="49"/>
  <c r="O12" i="49" s="1"/>
  <c r="N11" i="49"/>
  <c r="M11" i="49"/>
  <c r="L11" i="49"/>
  <c r="K11" i="49"/>
  <c r="K12" i="49" s="1"/>
  <c r="K29" i="49" s="1"/>
  <c r="K30" i="49" s="1"/>
  <c r="J11" i="49"/>
  <c r="I11" i="49"/>
  <c r="H11" i="49"/>
  <c r="H12" i="49" s="1"/>
  <c r="G11" i="49"/>
  <c r="G12" i="49" s="1"/>
  <c r="G29" i="49" s="1"/>
  <c r="F11" i="49"/>
  <c r="F12" i="49" s="1"/>
  <c r="E11" i="49"/>
  <c r="E12" i="49" s="1"/>
  <c r="D11" i="49"/>
  <c r="AC10" i="49"/>
  <c r="AB10" i="49"/>
  <c r="AA10" i="49"/>
  <c r="AA27" i="49" s="1"/>
  <c r="Z10" i="49"/>
  <c r="Y10" i="49"/>
  <c r="X10" i="49"/>
  <c r="X27" i="49" s="1"/>
  <c r="W10" i="49"/>
  <c r="W27" i="49" s="1"/>
  <c r="V10" i="49"/>
  <c r="V27" i="49" s="1"/>
  <c r="U10" i="49"/>
  <c r="T10" i="49"/>
  <c r="T27" i="49" s="1"/>
  <c r="S10" i="49"/>
  <c r="S27" i="49" s="1"/>
  <c r="R10" i="49"/>
  <c r="R27" i="49" s="1"/>
  <c r="Q10" i="49"/>
  <c r="P10" i="49"/>
  <c r="P27" i="49" s="1"/>
  <c r="O10" i="49"/>
  <c r="O29" i="49" s="1"/>
  <c r="N10" i="49"/>
  <c r="N29" i="49" s="1"/>
  <c r="M10" i="49"/>
  <c r="M27" i="49" s="1"/>
  <c r="M37" i="59" s="1"/>
  <c r="M38" i="59" s="1"/>
  <c r="L10" i="49"/>
  <c r="K10" i="49"/>
  <c r="J10" i="49"/>
  <c r="J27" i="49" s="1"/>
  <c r="I10" i="49"/>
  <c r="I27" i="49" s="1"/>
  <c r="H10" i="49"/>
  <c r="H27" i="49" s="1"/>
  <c r="G10" i="49"/>
  <c r="F10" i="49"/>
  <c r="E10" i="49"/>
  <c r="D10" i="49"/>
  <c r="AD81" i="30"/>
  <c r="AD79" i="30"/>
  <c r="AD72" i="30"/>
  <c r="AD71" i="30"/>
  <c r="AD70" i="30"/>
  <c r="AD69" i="30"/>
  <c r="AD68" i="30"/>
  <c r="AD67" i="30"/>
  <c r="AD66" i="30"/>
  <c r="AD65" i="30"/>
  <c r="AD62" i="30"/>
  <c r="AD60" i="30"/>
  <c r="AD58" i="30"/>
  <c r="AD55" i="30"/>
  <c r="AD54" i="30"/>
  <c r="AD51" i="30"/>
  <c r="W46" i="30"/>
  <c r="M46" i="30"/>
  <c r="K46" i="30"/>
  <c r="I46" i="30"/>
  <c r="G46" i="30"/>
  <c r="F46" i="30"/>
  <c r="AF45" i="30"/>
  <c r="AD45" i="30"/>
  <c r="AA45" i="30"/>
  <c r="W45" i="30"/>
  <c r="U45" i="30"/>
  <c r="AD82" i="30" s="1"/>
  <c r="N45" i="30"/>
  <c r="M45" i="30"/>
  <c r="AC43" i="30"/>
  <c r="AB43" i="30"/>
  <c r="AC41" i="30"/>
  <c r="AB41" i="30"/>
  <c r="AB24" i="30" s="1"/>
  <c r="AC40" i="30"/>
  <c r="AB40" i="30"/>
  <c r="AA40" i="30"/>
  <c r="Z40" i="30"/>
  <c r="Y40" i="30"/>
  <c r="X40" i="30"/>
  <c r="W40" i="30"/>
  <c r="M40" i="30"/>
  <c r="AC39" i="30"/>
  <c r="AB39" i="30"/>
  <c r="AA39" i="30"/>
  <c r="Z39" i="30"/>
  <c r="Y39" i="30"/>
  <c r="X39" i="30"/>
  <c r="W39" i="30"/>
  <c r="AC38" i="30"/>
  <c r="AB38" i="30"/>
  <c r="AA38" i="30"/>
  <c r="Z38" i="30"/>
  <c r="Y38" i="30"/>
  <c r="X38" i="30"/>
  <c r="AC37" i="30"/>
  <c r="AB37" i="30"/>
  <c r="AA37" i="30"/>
  <c r="AA20" i="30" s="1"/>
  <c r="Z37" i="30"/>
  <c r="Z20" i="30" s="1"/>
  <c r="Y37" i="30"/>
  <c r="Y20" i="30" s="1"/>
  <c r="M37" i="30"/>
  <c r="AC36" i="30"/>
  <c r="AB36" i="30"/>
  <c r="AA36" i="30"/>
  <c r="Z36" i="30"/>
  <c r="Y36" i="30"/>
  <c r="X36" i="30"/>
  <c r="O34" i="30"/>
  <c r="O25" i="30" s="1"/>
  <c r="N34" i="30"/>
  <c r="O33" i="30"/>
  <c r="AH27" i="30"/>
  <c r="AI27" i="30" s="1"/>
  <c r="AJ27" i="30" s="1"/>
  <c r="AK27" i="30" s="1"/>
  <c r="AL27" i="30" s="1"/>
  <c r="AM27" i="30" s="1"/>
  <c r="AN27" i="30" s="1"/>
  <c r="AG27" i="30"/>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T25" i="30"/>
  <c r="AN24" i="30"/>
  <c r="AM24" i="30"/>
  <c r="AL24" i="30"/>
  <c r="AK24" i="30"/>
  <c r="AJ24" i="30"/>
  <c r="AI24" i="30"/>
  <c r="AH24" i="30"/>
  <c r="AG24" i="30"/>
  <c r="AF24" i="30"/>
  <c r="AE24" i="30"/>
  <c r="AD24" i="30"/>
  <c r="AC24" i="30"/>
  <c r="AC23" i="30"/>
  <c r="AD23" i="30" s="1"/>
  <c r="AE23" i="30" s="1"/>
  <c r="AF23" i="30" s="1"/>
  <c r="AG23" i="30" s="1"/>
  <c r="AH23" i="30" s="1"/>
  <c r="AI23" i="30" s="1"/>
  <c r="AJ23" i="30" s="1"/>
  <c r="AK23" i="30" s="1"/>
  <c r="AL23" i="30" s="1"/>
  <c r="AM23" i="30" s="1"/>
  <c r="AN23" i="30" s="1"/>
  <c r="AB23" i="30"/>
  <c r="AA23" i="30"/>
  <c r="Z23" i="30"/>
  <c r="Y23" i="30"/>
  <c r="X23" i="30"/>
  <c r="W23" i="30"/>
  <c r="V23" i="30"/>
  <c r="U23" i="30"/>
  <c r="T23" i="30"/>
  <c r="S23" i="30"/>
  <c r="R23" i="30"/>
  <c r="Q23" i="30"/>
  <c r="P23" i="30"/>
  <c r="O23" i="30"/>
  <c r="N23" i="30"/>
  <c r="AC22" i="30"/>
  <c r="AB22" i="30"/>
  <c r="AA22" i="30"/>
  <c r="Z22" i="30"/>
  <c r="Y22" i="30"/>
  <c r="X22" i="30"/>
  <c r="W22" i="30"/>
  <c r="V22" i="30"/>
  <c r="U22" i="30"/>
  <c r="AD59" i="30" s="1"/>
  <c r="T22" i="30"/>
  <c r="S22" i="30"/>
  <c r="R22" i="30"/>
  <c r="Q22" i="30"/>
  <c r="P22" i="30"/>
  <c r="O22" i="30"/>
  <c r="N22" i="30"/>
  <c r="AL21" i="30"/>
  <c r="AM21" i="30" s="1"/>
  <c r="AN21" i="30" s="1"/>
  <c r="AC21" i="30"/>
  <c r="AD21" i="30" s="1"/>
  <c r="AE21" i="30" s="1"/>
  <c r="AF21" i="30" s="1"/>
  <c r="AG21" i="30" s="1"/>
  <c r="AH21" i="30" s="1"/>
  <c r="AI21" i="30" s="1"/>
  <c r="AJ21" i="30" s="1"/>
  <c r="AK21" i="30" s="1"/>
  <c r="AB21" i="30"/>
  <c r="AA21" i="30"/>
  <c r="Z21" i="30"/>
  <c r="Y21" i="30"/>
  <c r="X21" i="30"/>
  <c r="W21" i="30"/>
  <c r="V21" i="30"/>
  <c r="U21" i="30"/>
  <c r="T21" i="30"/>
  <c r="S21" i="30"/>
  <c r="R21" i="30"/>
  <c r="Q21" i="30"/>
  <c r="P21" i="30"/>
  <c r="O21" i="30"/>
  <c r="N21" i="30"/>
  <c r="M21" i="30"/>
  <c r="L21" i="30"/>
  <c r="K21" i="30"/>
  <c r="J21" i="30"/>
  <c r="I21" i="30"/>
  <c r="H21" i="30"/>
  <c r="AN20" i="30"/>
  <c r="AM20" i="30"/>
  <c r="AL20" i="30"/>
  <c r="AK20" i="30"/>
  <c r="AJ20" i="30"/>
  <c r="AI20" i="30"/>
  <c r="AH20" i="30"/>
  <c r="AG20" i="30"/>
  <c r="AF20" i="30"/>
  <c r="AE20" i="30"/>
  <c r="AD20" i="30"/>
  <c r="AC20" i="30"/>
  <c r="AB20" i="30"/>
  <c r="T20" i="30"/>
  <c r="S20" i="30"/>
  <c r="R20" i="30"/>
  <c r="Q20" i="30"/>
  <c r="P20" i="30"/>
  <c r="O20" i="30"/>
  <c r="N20" i="30"/>
  <c r="M20" i="30"/>
  <c r="L20" i="30"/>
  <c r="K20" i="30"/>
  <c r="J20" i="30"/>
  <c r="I20" i="30"/>
  <c r="H20" i="30"/>
  <c r="AC19" i="30"/>
  <c r="AB19" i="30"/>
  <c r="AA19" i="30"/>
  <c r="Z19" i="30"/>
  <c r="Y19" i="30"/>
  <c r="X19" i="30"/>
  <c r="W19" i="30"/>
  <c r="V19" i="30"/>
  <c r="U19" i="30"/>
  <c r="T19" i="30"/>
  <c r="S19" i="30"/>
  <c r="R19" i="30"/>
  <c r="Q19" i="30"/>
  <c r="P19" i="30"/>
  <c r="O19" i="30"/>
  <c r="N19" i="30"/>
  <c r="M19" i="30"/>
  <c r="L19" i="30"/>
  <c r="K19" i="30"/>
  <c r="J19" i="30"/>
  <c r="I19" i="30"/>
  <c r="H19" i="30"/>
  <c r="AN18" i="30"/>
  <c r="AM18" i="30"/>
  <c r="AL18" i="30"/>
  <c r="AK18" i="30"/>
  <c r="AJ18" i="30"/>
  <c r="AI18" i="30"/>
  <c r="AH18" i="30"/>
  <c r="AG18" i="30"/>
  <c r="AF18" i="30"/>
  <c r="AE18" i="30"/>
  <c r="AD18" i="30"/>
  <c r="AC18" i="30"/>
  <c r="AB18" i="30"/>
  <c r="AA18" i="30"/>
  <c r="Z18" i="30"/>
  <c r="Y18" i="30"/>
  <c r="X18" i="30"/>
  <c r="W18" i="30"/>
  <c r="V18" i="30"/>
  <c r="U18" i="30"/>
  <c r="T18" i="30"/>
  <c r="S18" i="30"/>
  <c r="R18" i="30"/>
  <c r="Q18" i="30"/>
  <c r="P18" i="30"/>
  <c r="O18" i="30"/>
  <c r="N18" i="30"/>
  <c r="M18" i="30"/>
  <c r="O30" i="30" s="1"/>
  <c r="O29" i="30" s="1"/>
  <c r="L18" i="30"/>
  <c r="K18" i="30"/>
  <c r="J18" i="30"/>
  <c r="I18" i="30"/>
  <c r="H18" i="30"/>
  <c r="AC17" i="30"/>
  <c r="AB17" i="30"/>
  <c r="AB15" i="30" s="1"/>
  <c r="AA17" i="30"/>
  <c r="Z17" i="30"/>
  <c r="Y17" i="30"/>
  <c r="X17" i="30"/>
  <c r="W17" i="30"/>
  <c r="V17" i="30"/>
  <c r="U17" i="30"/>
  <c r="T17" i="30"/>
  <c r="S17" i="30"/>
  <c r="R17" i="30"/>
  <c r="Q17" i="30"/>
  <c r="P17" i="30"/>
  <c r="O17" i="30"/>
  <c r="N17" i="30"/>
  <c r="N15" i="30" s="1"/>
  <c r="M17" i="30"/>
  <c r="L17" i="30"/>
  <c r="K17" i="30"/>
  <c r="J17" i="30"/>
  <c r="I17" i="30"/>
  <c r="H17" i="30"/>
  <c r="AC16" i="30"/>
  <c r="AB16" i="30"/>
  <c r="AA16" i="30"/>
  <c r="Z16" i="30"/>
  <c r="Y16" i="30"/>
  <c r="X16" i="30"/>
  <c r="W16" i="30"/>
  <c r="V16" i="30"/>
  <c r="U16" i="30"/>
  <c r="AD53" i="30" s="1"/>
  <c r="T16" i="30"/>
  <c r="S16" i="30"/>
  <c r="R16" i="30"/>
  <c r="Q16" i="30"/>
  <c r="P16" i="30"/>
  <c r="O16" i="30"/>
  <c r="N16" i="30"/>
  <c r="M16" i="30"/>
  <c r="L16" i="30"/>
  <c r="K16" i="30"/>
  <c r="K15" i="30" s="1"/>
  <c r="J16" i="30"/>
  <c r="I16" i="30"/>
  <c r="H16" i="30"/>
  <c r="AC14" i="30"/>
  <c r="AB14" i="30"/>
  <c r="AA14" i="30"/>
  <c r="Z14" i="30"/>
  <c r="Y14" i="30"/>
  <c r="X14" i="30"/>
  <c r="W14" i="30"/>
  <c r="V14" i="30"/>
  <c r="U14" i="30"/>
  <c r="T14" i="30"/>
  <c r="S14" i="30"/>
  <c r="R14" i="30"/>
  <c r="Q14" i="30"/>
  <c r="P14" i="30"/>
  <c r="O14" i="30"/>
  <c r="N14" i="30"/>
  <c r="M14" i="30"/>
  <c r="L14" i="30"/>
  <c r="K14" i="30"/>
  <c r="K13" i="30" s="1"/>
  <c r="J14" i="30"/>
  <c r="J13" i="30" s="1"/>
  <c r="J12" i="30" s="1"/>
  <c r="I14" i="30"/>
  <c r="H14" i="30"/>
  <c r="K12" i="30"/>
  <c r="G12" i="30"/>
  <c r="F12" i="30"/>
  <c r="AC11" i="30"/>
  <c r="AB11" i="30"/>
  <c r="AA11" i="30"/>
  <c r="AA46" i="30" s="1"/>
  <c r="Z11" i="30"/>
  <c r="Y11" i="30"/>
  <c r="X11" i="30"/>
  <c r="W11" i="30"/>
  <c r="V11" i="30"/>
  <c r="U11" i="30"/>
  <c r="AD48" i="30" s="1"/>
  <c r="T11" i="30"/>
  <c r="S11" i="30"/>
  <c r="R11" i="30"/>
  <c r="Q11" i="30"/>
  <c r="P11" i="30"/>
  <c r="O11" i="30"/>
  <c r="N11" i="30"/>
  <c r="N46" i="30" s="1"/>
  <c r="M11" i="30"/>
  <c r="L11" i="30"/>
  <c r="K11" i="30"/>
  <c r="J11" i="30"/>
  <c r="J46" i="30" s="1"/>
  <c r="I11" i="30"/>
  <c r="H11" i="30"/>
  <c r="N53" i="20"/>
  <c r="L53" i="20"/>
  <c r="AE44" i="20"/>
  <c r="BA40" i="20"/>
  <c r="AH85" i="80" s="1"/>
  <c r="AZ40" i="20"/>
  <c r="AY40" i="20"/>
  <c r="AF85" i="80" s="1"/>
  <c r="AX40" i="20"/>
  <c r="AE85" i="80" s="1"/>
  <c r="AW40" i="20"/>
  <c r="AD85" i="80" s="1"/>
  <c r="AV40" i="20"/>
  <c r="AC85" i="80" s="1"/>
  <c r="AU40" i="20"/>
  <c r="AB85" i="80" s="1"/>
  <c r="AT40" i="20"/>
  <c r="AA85" i="80" s="1"/>
  <c r="AS40" i="20"/>
  <c r="Z85" i="80" s="1"/>
  <c r="AR40" i="20"/>
  <c r="Y85" i="80" s="1"/>
  <c r="AQ40" i="20"/>
  <c r="X85" i="80" s="1"/>
  <c r="AP40" i="20"/>
  <c r="AO40" i="20"/>
  <c r="AN40" i="20"/>
  <c r="AM40" i="20"/>
  <c r="AL40" i="20"/>
  <c r="AK40" i="20"/>
  <c r="R85" i="80" s="1"/>
  <c r="AJ40" i="20"/>
  <c r="Q85" i="80" s="1"/>
  <c r="AI40" i="20"/>
  <c r="P85" i="80" s="1"/>
  <c r="AH40" i="20"/>
  <c r="O85" i="80" s="1"/>
  <c r="AG40" i="20"/>
  <c r="N85" i="80" s="1"/>
  <c r="AF40" i="20"/>
  <c r="M85" i="80" s="1"/>
  <c r="AE40" i="20"/>
  <c r="L85" i="80" s="1"/>
  <c r="AD40" i="20"/>
  <c r="K85" i="80" s="1"/>
  <c r="AC40" i="20"/>
  <c r="J85" i="80" s="1"/>
  <c r="AB40" i="20"/>
  <c r="AA40" i="20"/>
  <c r="Z40" i="20"/>
  <c r="G85" i="80" s="1"/>
  <c r="Y40" i="20"/>
  <c r="F85" i="80" s="1"/>
  <c r="X40" i="20"/>
  <c r="E85" i="80" s="1"/>
  <c r="W40" i="20"/>
  <c r="D85" i="80" s="1"/>
  <c r="V40" i="20"/>
  <c r="C85" i="80" s="1"/>
  <c r="AN31" i="20"/>
  <c r="AM31" i="20"/>
  <c r="AL31" i="20"/>
  <c r="AK31" i="20"/>
  <c r="AJ31" i="20"/>
  <c r="AI31" i="20"/>
  <c r="AH31" i="20"/>
  <c r="AG31" i="20"/>
  <c r="AF31" i="20"/>
  <c r="AE31" i="20"/>
  <c r="AD31" i="20"/>
  <c r="AC28" i="20"/>
  <c r="AC32" i="20" s="1"/>
  <c r="AB28" i="20"/>
  <c r="AA28" i="20"/>
  <c r="Z28" i="20"/>
  <c r="Y28" i="20"/>
  <c r="Y32" i="20" s="1"/>
  <c r="X28" i="20"/>
  <c r="W28" i="20"/>
  <c r="W32" i="20" s="1"/>
  <c r="V28" i="20"/>
  <c r="V32" i="20" s="1"/>
  <c r="U28" i="20"/>
  <c r="U32" i="20" s="1"/>
  <c r="T28" i="20"/>
  <c r="S28" i="20"/>
  <c r="R28" i="20"/>
  <c r="Q28" i="20"/>
  <c r="Q32" i="20" s="1"/>
  <c r="P28" i="20"/>
  <c r="P32" i="20" s="1"/>
  <c r="O28" i="20"/>
  <c r="N28" i="20"/>
  <c r="M28" i="20"/>
  <c r="L28" i="20"/>
  <c r="K28" i="20"/>
  <c r="K32" i="20" s="1"/>
  <c r="J28" i="20"/>
  <c r="J32" i="20" s="1"/>
  <c r="I28" i="20"/>
  <c r="I32" i="20" s="1"/>
  <c r="H28" i="20"/>
  <c r="H32" i="20" s="1"/>
  <c r="AD16" i="20"/>
  <c r="AC11" i="20"/>
  <c r="AB11" i="20"/>
  <c r="AA11" i="20"/>
  <c r="AA12" i="20" s="1"/>
  <c r="Z11" i="20"/>
  <c r="Y11" i="20"/>
  <c r="X11" i="20"/>
  <c r="W11" i="20"/>
  <c r="V11" i="20"/>
  <c r="U11" i="20"/>
  <c r="T11" i="20"/>
  <c r="T12" i="20" s="1"/>
  <c r="S11" i="20"/>
  <c r="R11" i="20"/>
  <c r="Q11" i="20"/>
  <c r="P11" i="20"/>
  <c r="O11" i="20"/>
  <c r="N11" i="20"/>
  <c r="M11" i="20"/>
  <c r="L11" i="20"/>
  <c r="K11" i="20"/>
  <c r="J11" i="20"/>
  <c r="I11" i="20"/>
  <c r="H11" i="20"/>
  <c r="AD95" i="26"/>
  <c r="AC95" i="26"/>
  <c r="AB95" i="26"/>
  <c r="AA95" i="26"/>
  <c r="Z95" i="26"/>
  <c r="Y95" i="26"/>
  <c r="X95" i="26"/>
  <c r="W95" i="26"/>
  <c r="W94" i="26" s="1"/>
  <c r="W53" i="20" s="1"/>
  <c r="V95" i="26"/>
  <c r="U95" i="26"/>
  <c r="U94" i="26" s="1"/>
  <c r="U53" i="20" s="1"/>
  <c r="T95" i="26"/>
  <c r="S95" i="26"/>
  <c r="Q94" i="26"/>
  <c r="Q53" i="20" s="1"/>
  <c r="P94" i="26"/>
  <c r="P53" i="20" s="1"/>
  <c r="O94" i="26"/>
  <c r="O53" i="20" s="1"/>
  <c r="N94" i="26"/>
  <c r="M94" i="26"/>
  <c r="M53" i="20" s="1"/>
  <c r="L94" i="26"/>
  <c r="K94" i="26"/>
  <c r="K53" i="20" s="1"/>
  <c r="J94" i="26"/>
  <c r="J53" i="20" s="1"/>
  <c r="I94" i="26"/>
  <c r="AK94" i="26" s="1"/>
  <c r="AK53" i="20" s="1"/>
  <c r="H94" i="26"/>
  <c r="U81" i="26"/>
  <c r="K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C77" i="26"/>
  <c r="AA77" i="26"/>
  <c r="P77" i="26"/>
  <c r="O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AD75" i="26"/>
  <c r="AC75" i="26"/>
  <c r="S75" i="26"/>
  <c r="Q75" i="26"/>
  <c r="P75" i="26"/>
  <c r="O75" i="26"/>
  <c r="C67" i="26"/>
  <c r="C66" i="26"/>
  <c r="C49" i="26" s="1"/>
  <c r="C65" i="26"/>
  <c r="C46" i="26" s="1"/>
  <c r="C64" i="26"/>
  <c r="C63" i="26"/>
  <c r="C61" i="26"/>
  <c r="P32" i="26" s="1"/>
  <c r="P16" i="26" s="1"/>
  <c r="C60" i="26"/>
  <c r="U31" i="26" s="1"/>
  <c r="C59" i="26"/>
  <c r="C58" i="26"/>
  <c r="C56" i="26" s="1"/>
  <c r="C57" i="26"/>
  <c r="C52" i="26"/>
  <c r="C48" i="26"/>
  <c r="E48" i="26" s="1"/>
  <c r="C47" i="26"/>
  <c r="M28" i="26" s="1"/>
  <c r="D44" i="26"/>
  <c r="C44" i="26"/>
  <c r="E44" i="26" s="1"/>
  <c r="AB37" i="26"/>
  <c r="S37" i="26"/>
  <c r="S17" i="26" s="1"/>
  <c r="N37" i="26"/>
  <c r="Z36" i="26"/>
  <c r="U36" i="26"/>
  <c r="O36" i="26"/>
  <c r="AD35" i="26"/>
  <c r="AA35" i="26"/>
  <c r="AA13" i="26" s="1"/>
  <c r="Z35" i="26"/>
  <c r="W35" i="26"/>
  <c r="U35" i="26"/>
  <c r="Q35" i="26"/>
  <c r="Q34" i="26"/>
  <c r="N34" i="26"/>
  <c r="W32" i="26"/>
  <c r="W16" i="26" s="1"/>
  <c r="W77" i="26" s="1"/>
  <c r="U32" i="26"/>
  <c r="T32" i="26"/>
  <c r="S32" i="26"/>
  <c r="S16" i="26" s="1"/>
  <c r="S77" i="26" s="1"/>
  <c r="R32" i="26"/>
  <c r="Q32" i="26"/>
  <c r="O32" i="26"/>
  <c r="O16" i="26" s="1"/>
  <c r="N32" i="26"/>
  <c r="X31" i="26"/>
  <c r="W31" i="26"/>
  <c r="V31" i="26"/>
  <c r="T31" i="26"/>
  <c r="T16" i="26" s="1"/>
  <c r="T77" i="26" s="1"/>
  <c r="S31" i="26"/>
  <c r="R31" i="26"/>
  <c r="Q31" i="26"/>
  <c r="P31" i="26"/>
  <c r="O31" i="26"/>
  <c r="N31" i="26"/>
  <c r="M31" i="26"/>
  <c r="X30" i="26"/>
  <c r="W30" i="26"/>
  <c r="V30" i="26"/>
  <c r="U30" i="26"/>
  <c r="T30" i="26"/>
  <c r="S30" i="26"/>
  <c r="R30" i="26"/>
  <c r="Q30" i="26"/>
  <c r="P30" i="26"/>
  <c r="O30" i="26"/>
  <c r="N30" i="26"/>
  <c r="M30" i="26"/>
  <c r="AD27" i="26"/>
  <c r="AC27" i="26"/>
  <c r="AB27" i="26"/>
  <c r="AA27" i="26"/>
  <c r="Z27" i="26"/>
  <c r="Y27" i="26"/>
  <c r="AO26" i="26"/>
  <c r="AO25" i="26"/>
  <c r="J24" i="26"/>
  <c r="J23" i="26" s="1"/>
  <c r="P23" i="26"/>
  <c r="O23" i="26"/>
  <c r="AO23" i="26" s="1"/>
  <c r="N23" i="26"/>
  <c r="M23" i="26"/>
  <c r="L23" i="26"/>
  <c r="K23" i="26"/>
  <c r="L20" i="26"/>
  <c r="L78" i="26" s="1"/>
  <c r="G20" i="26"/>
  <c r="F20" i="26"/>
  <c r="AD19" i="26"/>
  <c r="AC19" i="26"/>
  <c r="AB19" i="26"/>
  <c r="AA19" i="26"/>
  <c r="Z19" i="26"/>
  <c r="Y19" i="26"/>
  <c r="X19" i="26"/>
  <c r="W19" i="26"/>
  <c r="V19" i="26"/>
  <c r="U19" i="26"/>
  <c r="T19" i="26"/>
  <c r="S19" i="26"/>
  <c r="R19" i="26"/>
  <c r="Q19" i="26"/>
  <c r="P19" i="26"/>
  <c r="O19" i="26"/>
  <c r="N19" i="26"/>
  <c r="M19" i="26"/>
  <c r="L19" i="26"/>
  <c r="K19" i="26"/>
  <c r="S18" i="26"/>
  <c r="Q18" i="26"/>
  <c r="P18" i="26"/>
  <c r="AB17" i="26"/>
  <c r="N17" i="26"/>
  <c r="AD16" i="26"/>
  <c r="AD77" i="26" s="1"/>
  <c r="AC16" i="26"/>
  <c r="AB16" i="26"/>
  <c r="AB77" i="26" s="1"/>
  <c r="AA16" i="26"/>
  <c r="Z16" i="26"/>
  <c r="Z77" i="26" s="1"/>
  <c r="Y16" i="26"/>
  <c r="Y77" i="26" s="1"/>
  <c r="N16" i="26"/>
  <c r="N77" i="26" s="1"/>
  <c r="AD15" i="26"/>
  <c r="AC15" i="26"/>
  <c r="AB15" i="26"/>
  <c r="AA15" i="26"/>
  <c r="Z15" i="26"/>
  <c r="Y15" i="26"/>
  <c r="AD14" i="26"/>
  <c r="AC14" i="26"/>
  <c r="AB14" i="26"/>
  <c r="AB75" i="26" s="1"/>
  <c r="AA14" i="26"/>
  <c r="AA75" i="26" s="1"/>
  <c r="Z14" i="26"/>
  <c r="Z75" i="26" s="1"/>
  <c r="Y14" i="26"/>
  <c r="Y75" i="26" s="1"/>
  <c r="X14" i="26"/>
  <c r="X75" i="26" s="1"/>
  <c r="W14" i="26"/>
  <c r="W75" i="26" s="1"/>
  <c r="V14" i="26"/>
  <c r="V75" i="26" s="1"/>
  <c r="U14" i="26"/>
  <c r="U75" i="26" s="1"/>
  <c r="T14" i="26"/>
  <c r="T75" i="26" s="1"/>
  <c r="S14" i="26"/>
  <c r="R14" i="26"/>
  <c r="R75" i="26" s="1"/>
  <c r="Q14" i="26"/>
  <c r="P14" i="26"/>
  <c r="O14" i="26"/>
  <c r="N14" i="26"/>
  <c r="M14" i="26"/>
  <c r="M75" i="26" s="1"/>
  <c r="L14" i="26"/>
  <c r="L75" i="26" s="1"/>
  <c r="K14" i="26"/>
  <c r="K75" i="26" s="1"/>
  <c r="J14" i="26"/>
  <c r="W13" i="26"/>
  <c r="W81" i="26" s="1"/>
  <c r="U13" i="26"/>
  <c r="T13" i="26"/>
  <c r="T81" i="26" s="1"/>
  <c r="S13" i="26"/>
  <c r="S81" i="26" s="1"/>
  <c r="R13" i="26"/>
  <c r="R81" i="26" s="1"/>
  <c r="Q13" i="26"/>
  <c r="Q81" i="26" s="1"/>
  <c r="P13" i="26"/>
  <c r="P81" i="26" s="1"/>
  <c r="O13" i="26"/>
  <c r="O81" i="26" s="1"/>
  <c r="N13" i="26"/>
  <c r="N81" i="26" s="1"/>
  <c r="M13" i="26"/>
  <c r="M81" i="26" s="1"/>
  <c r="L13" i="26"/>
  <c r="L81" i="26" s="1"/>
  <c r="K13" i="26"/>
  <c r="J13" i="26"/>
  <c r="AO12" i="26"/>
  <c r="J12" i="26"/>
  <c r="AC11" i="26"/>
  <c r="Z11" i="26"/>
  <c r="X11" i="26"/>
  <c r="W11" i="26"/>
  <c r="V11" i="26"/>
  <c r="L11" i="26"/>
  <c r="H11" i="26"/>
  <c r="H20" i="26" s="1"/>
  <c r="H78" i="26" s="1"/>
  <c r="H73" i="26" s="1"/>
  <c r="H54" i="20" s="1"/>
  <c r="F11" i="26"/>
  <c r="D11" i="26"/>
  <c r="D20" i="26" s="1"/>
  <c r="AC10" i="26"/>
  <c r="AB10" i="26"/>
  <c r="AB11" i="26" s="1"/>
  <c r="AA10" i="26"/>
  <c r="Z10" i="26"/>
  <c r="Y10" i="26"/>
  <c r="Y11" i="26" s="1"/>
  <c r="X10" i="26"/>
  <c r="W10" i="26"/>
  <c r="V10" i="26"/>
  <c r="U10" i="26"/>
  <c r="U11" i="26" s="1"/>
  <c r="T10" i="26"/>
  <c r="S10" i="26"/>
  <c r="R10" i="26"/>
  <c r="Q10" i="26"/>
  <c r="P10" i="26"/>
  <c r="O10" i="26"/>
  <c r="N10" i="26"/>
  <c r="M10" i="26"/>
  <c r="L10" i="26"/>
  <c r="K10" i="26"/>
  <c r="K11" i="26" s="1"/>
  <c r="K20" i="26" s="1"/>
  <c r="K78" i="26" s="1"/>
  <c r="J10" i="26"/>
  <c r="I10" i="26"/>
  <c r="H10" i="26"/>
  <c r="G10" i="26"/>
  <c r="G11" i="26" s="1"/>
  <c r="F10" i="26"/>
  <c r="E10" i="26"/>
  <c r="D10" i="26"/>
  <c r="AC9" i="26"/>
  <c r="AB9" i="26"/>
  <c r="AA9" i="26"/>
  <c r="Z9" i="26"/>
  <c r="Y9" i="26"/>
  <c r="X9" i="26"/>
  <c r="W9" i="26"/>
  <c r="V9" i="26"/>
  <c r="U9" i="26"/>
  <c r="T9" i="26"/>
  <c r="T11" i="26" s="1"/>
  <c r="S9" i="26"/>
  <c r="S11" i="26" s="1"/>
  <c r="R9" i="26"/>
  <c r="R11" i="26" s="1"/>
  <c r="Q9" i="26"/>
  <c r="Q11" i="26" s="1"/>
  <c r="P9" i="26"/>
  <c r="O9" i="26"/>
  <c r="O11" i="26" s="1"/>
  <c r="N9" i="26"/>
  <c r="N11" i="26" s="1"/>
  <c r="M9" i="26"/>
  <c r="L9" i="26"/>
  <c r="K9" i="26"/>
  <c r="J9" i="26"/>
  <c r="I9" i="26"/>
  <c r="I11" i="26" s="1"/>
  <c r="I20" i="26" s="1"/>
  <c r="I78" i="26" s="1"/>
  <c r="I73" i="26" s="1"/>
  <c r="I54" i="20" s="1"/>
  <c r="H9" i="26"/>
  <c r="G9" i="26"/>
  <c r="F9" i="26"/>
  <c r="E9" i="26"/>
  <c r="E11" i="26" s="1"/>
  <c r="E20" i="26" s="1"/>
  <c r="D9" i="26"/>
  <c r="I20" i="74"/>
  <c r="H20" i="74"/>
  <c r="G20" i="74"/>
  <c r="F20" i="74"/>
  <c r="F19" i="74" s="1"/>
  <c r="E20" i="74"/>
  <c r="E19" i="74" s="1"/>
  <c r="D20" i="74"/>
  <c r="U19" i="74"/>
  <c r="Q19" i="74"/>
  <c r="P19" i="74"/>
  <c r="D19" i="74"/>
  <c r="U18" i="74"/>
  <c r="T18" i="74"/>
  <c r="S18" i="74"/>
  <c r="R18" i="74"/>
  <c r="Q18" i="74"/>
  <c r="P18" i="74"/>
  <c r="O18" i="74"/>
  <c r="N18" i="74"/>
  <c r="M18" i="74"/>
  <c r="L18" i="74"/>
  <c r="K18" i="74"/>
  <c r="J18" i="74"/>
  <c r="I18" i="74"/>
  <c r="H18" i="74"/>
  <c r="G18" i="74"/>
  <c r="F18" i="74"/>
  <c r="E18" i="74"/>
  <c r="D18" i="74"/>
  <c r="U17" i="74"/>
  <c r="T17" i="74"/>
  <c r="S17" i="74"/>
  <c r="S13" i="74" s="1"/>
  <c r="R17" i="74"/>
  <c r="Q17" i="74"/>
  <c r="P17" i="74"/>
  <c r="O17" i="74"/>
  <c r="N17" i="74"/>
  <c r="M17" i="74"/>
  <c r="L17" i="74"/>
  <c r="K17" i="74"/>
  <c r="J17" i="74"/>
  <c r="I17" i="74"/>
  <c r="H17" i="74"/>
  <c r="G17" i="74"/>
  <c r="F17" i="74"/>
  <c r="E17" i="74"/>
  <c r="D17" i="74"/>
  <c r="U16" i="74"/>
  <c r="T16" i="74"/>
  <c r="S16" i="74"/>
  <c r="R16" i="74"/>
  <c r="Q16" i="74"/>
  <c r="P16" i="74"/>
  <c r="O16" i="74"/>
  <c r="N16" i="74"/>
  <c r="M16" i="74"/>
  <c r="L16" i="74"/>
  <c r="K16" i="74"/>
  <c r="J16" i="74"/>
  <c r="I16" i="74"/>
  <c r="H16" i="74"/>
  <c r="G16" i="74"/>
  <c r="F16" i="74"/>
  <c r="E16" i="74"/>
  <c r="D16" i="74"/>
  <c r="U15" i="74"/>
  <c r="T15" i="74"/>
  <c r="S15" i="74"/>
  <c r="R15" i="74"/>
  <c r="Q15" i="74"/>
  <c r="P15" i="74"/>
  <c r="P13" i="74" s="1"/>
  <c r="O15" i="74"/>
  <c r="N15" i="74"/>
  <c r="M15" i="74"/>
  <c r="L15" i="74"/>
  <c r="K15" i="74"/>
  <c r="J15" i="74"/>
  <c r="I15" i="74"/>
  <c r="H15" i="74"/>
  <c r="G15" i="74"/>
  <c r="F15" i="74"/>
  <c r="E15" i="74"/>
  <c r="D15" i="74"/>
  <c r="U14" i="74"/>
  <c r="U13" i="74" s="1"/>
  <c r="U20" i="74" s="1"/>
  <c r="T14" i="74"/>
  <c r="S14" i="74"/>
  <c r="R14" i="74"/>
  <c r="R13" i="74" s="1"/>
  <c r="Q14" i="74"/>
  <c r="P14" i="74"/>
  <c r="O14" i="74"/>
  <c r="N14" i="74"/>
  <c r="N13" i="74" s="1"/>
  <c r="M14" i="74"/>
  <c r="M13" i="74" s="1"/>
  <c r="L14" i="74"/>
  <c r="K14" i="74"/>
  <c r="J14" i="74"/>
  <c r="I14" i="74"/>
  <c r="I13" i="74" s="1"/>
  <c r="H14" i="74"/>
  <c r="H13" i="74" s="1"/>
  <c r="G14" i="74"/>
  <c r="F14" i="74"/>
  <c r="E14" i="74"/>
  <c r="D14" i="74"/>
  <c r="T13" i="74"/>
  <c r="T20" i="74" s="1"/>
  <c r="T19" i="74" s="1"/>
  <c r="J13" i="74"/>
  <c r="U12" i="74"/>
  <c r="T12" i="74"/>
  <c r="S12" i="74"/>
  <c r="R12" i="74"/>
  <c r="R20" i="74" s="1"/>
  <c r="R19" i="74" s="1"/>
  <c r="Q12" i="74"/>
  <c r="P12" i="74"/>
  <c r="O12" i="74"/>
  <c r="N12" i="74"/>
  <c r="M12" i="74"/>
  <c r="L12" i="74"/>
  <c r="K12" i="74"/>
  <c r="J12" i="74"/>
  <c r="I12" i="74"/>
  <c r="H12" i="74"/>
  <c r="G12" i="74"/>
  <c r="F12" i="74"/>
  <c r="E12" i="74"/>
  <c r="D12" i="74"/>
  <c r="U11" i="74"/>
  <c r="T11" i="74"/>
  <c r="S11" i="74"/>
  <c r="R11" i="74"/>
  <c r="Q11" i="74"/>
  <c r="Q20" i="74" s="1"/>
  <c r="P11" i="74"/>
  <c r="P20" i="74" s="1"/>
  <c r="O11" i="74"/>
  <c r="N11" i="74"/>
  <c r="M11" i="74"/>
  <c r="L11" i="74"/>
  <c r="K11" i="74"/>
  <c r="J11" i="74"/>
  <c r="I11" i="74"/>
  <c r="I19" i="74" s="1"/>
  <c r="H11" i="74"/>
  <c r="G11" i="74"/>
  <c r="G19" i="74" s="1"/>
  <c r="F11" i="74"/>
  <c r="E11" i="74"/>
  <c r="D11" i="74"/>
  <c r="AN24" i="25"/>
  <c r="AM24" i="25"/>
  <c r="AL24" i="25"/>
  <c r="AK24" i="25"/>
  <c r="AJ24" i="25"/>
  <c r="AI24" i="25"/>
  <c r="AH24" i="25"/>
  <c r="AG24" i="25"/>
  <c r="AF24" i="25"/>
  <c r="AE24" i="25"/>
  <c r="AD24" i="25"/>
  <c r="AD16" i="25" s="1"/>
  <c r="AE16" i="25" s="1"/>
  <c r="AF16" i="25" s="1"/>
  <c r="AC24" i="25"/>
  <c r="AB24" i="25"/>
  <c r="AA24" i="25"/>
  <c r="Z24" i="25"/>
  <c r="Y24" i="25"/>
  <c r="X24" i="25"/>
  <c r="H21" i="25"/>
  <c r="G21" i="25"/>
  <c r="F21" i="25"/>
  <c r="E21" i="25"/>
  <c r="D21" i="25"/>
  <c r="AB20" i="25"/>
  <c r="AA20"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D18" i="25"/>
  <c r="AE18" i="25" s="1"/>
  <c r="AF18" i="25" s="1"/>
  <c r="AG18" i="25" s="1"/>
  <c r="AH18" i="25" s="1"/>
  <c r="AI18" i="25" s="1"/>
  <c r="AJ18" i="25" s="1"/>
  <c r="AK18" i="25" s="1"/>
  <c r="AL18" i="25" s="1"/>
  <c r="AC18" i="25"/>
  <c r="AB18" i="25"/>
  <c r="AA18" i="25"/>
  <c r="Z18" i="25"/>
  <c r="Y18" i="25"/>
  <c r="X18" i="25"/>
  <c r="W18" i="25"/>
  <c r="V18" i="25"/>
  <c r="U18" i="25"/>
  <c r="T18" i="25"/>
  <c r="S18" i="25"/>
  <c r="R18" i="25"/>
  <c r="Q18" i="25"/>
  <c r="P18" i="25"/>
  <c r="O18" i="25"/>
  <c r="N18" i="25"/>
  <c r="M18" i="25"/>
  <c r="L18" i="25"/>
  <c r="K18" i="25"/>
  <c r="J18" i="25"/>
  <c r="I18" i="25"/>
  <c r="H18" i="25"/>
  <c r="G18" i="25"/>
  <c r="F18" i="25"/>
  <c r="E18" i="25"/>
  <c r="D18" i="25"/>
  <c r="AC17" i="25"/>
  <c r="AD17" i="25" s="1"/>
  <c r="AE17" i="25" s="1"/>
  <c r="AF17" i="25" s="1"/>
  <c r="AG17" i="25" s="1"/>
  <c r="AH17" i="25" s="1"/>
  <c r="AI17" i="25" s="1"/>
  <c r="AJ17" i="25" s="1"/>
  <c r="AK17" i="25" s="1"/>
  <c r="AL17" i="25" s="1"/>
  <c r="AM17" i="25" s="1"/>
  <c r="AN17" i="25" s="1"/>
  <c r="AB17" i="25"/>
  <c r="AB14" i="25" s="1"/>
  <c r="AA17" i="25"/>
  <c r="AA14" i="25" s="1"/>
  <c r="Z17" i="25"/>
  <c r="Z14" i="25" s="1"/>
  <c r="Y17" i="25"/>
  <c r="Y14" i="25" s="1"/>
  <c r="X17" i="25"/>
  <c r="W17" i="25"/>
  <c r="V17" i="25"/>
  <c r="U17" i="25"/>
  <c r="T17" i="25"/>
  <c r="S17" i="25"/>
  <c r="R17" i="25"/>
  <c r="Q17" i="25"/>
  <c r="P17" i="25"/>
  <c r="O17" i="25"/>
  <c r="N17" i="25"/>
  <c r="N14" i="25" s="1"/>
  <c r="M17" i="25"/>
  <c r="M14" i="25" s="1"/>
  <c r="L17" i="25"/>
  <c r="K17" i="25"/>
  <c r="J17" i="25"/>
  <c r="I17" i="25"/>
  <c r="H17" i="25"/>
  <c r="G17" i="25"/>
  <c r="F17" i="25"/>
  <c r="E17" i="25"/>
  <c r="D17" i="25"/>
  <c r="AC16" i="25"/>
  <c r="AB16" i="25"/>
  <c r="AA16" i="25"/>
  <c r="Z16" i="25"/>
  <c r="Y16" i="25"/>
  <c r="X16" i="25"/>
  <c r="W16" i="25"/>
  <c r="W14" i="25" s="1"/>
  <c r="V16" i="25"/>
  <c r="U16" i="25"/>
  <c r="T16" i="25"/>
  <c r="S16" i="25"/>
  <c r="R16" i="25"/>
  <c r="Q16" i="25"/>
  <c r="P16" i="25"/>
  <c r="O16" i="25"/>
  <c r="N16" i="25"/>
  <c r="M16" i="25"/>
  <c r="L16" i="25"/>
  <c r="K16" i="25"/>
  <c r="J16" i="25"/>
  <c r="I16" i="25"/>
  <c r="H16" i="25"/>
  <c r="G16" i="25"/>
  <c r="F16" i="25"/>
  <c r="E16" i="25"/>
  <c r="D16" i="25"/>
  <c r="AE15" i="25"/>
  <c r="AD15" i="25"/>
  <c r="AD14" i="25" s="1"/>
  <c r="AC15" i="25"/>
  <c r="AC14" i="25" s="1"/>
  <c r="AB15" i="25"/>
  <c r="AA15" i="25"/>
  <c r="Z15" i="25"/>
  <c r="Y15" i="25"/>
  <c r="X15" i="25"/>
  <c r="W15" i="25"/>
  <c r="V15" i="25"/>
  <c r="V14" i="25" s="1"/>
  <c r="U15" i="25"/>
  <c r="U14" i="25" s="1"/>
  <c r="T15" i="25"/>
  <c r="T14" i="25" s="1"/>
  <c r="S15" i="25"/>
  <c r="S14" i="25" s="1"/>
  <c r="S21" i="25" s="1"/>
  <c r="R15" i="25"/>
  <c r="Q15" i="25"/>
  <c r="P15" i="25"/>
  <c r="O15" i="25"/>
  <c r="N15" i="25"/>
  <c r="M15" i="25"/>
  <c r="L15" i="25"/>
  <c r="K15" i="25"/>
  <c r="J15" i="25"/>
  <c r="I15" i="25"/>
  <c r="H15" i="25"/>
  <c r="H14" i="25" s="1"/>
  <c r="G15" i="25"/>
  <c r="F15" i="25"/>
  <c r="E15" i="25"/>
  <c r="D15" i="25"/>
  <c r="X14" i="25"/>
  <c r="O14" i="25"/>
  <c r="L14" i="25"/>
  <c r="K14" i="25"/>
  <c r="J14" i="25"/>
  <c r="I14" i="25"/>
  <c r="AF13" i="25"/>
  <c r="AE13" i="25"/>
  <c r="AD13" i="25"/>
  <c r="AC13" i="25"/>
  <c r="AB13" i="25"/>
  <c r="AA13" i="25"/>
  <c r="Z13" i="25"/>
  <c r="Y13" i="25"/>
  <c r="X13" i="25"/>
  <c r="W13" i="25"/>
  <c r="V13" i="25"/>
  <c r="U13" i="25"/>
  <c r="T13" i="25"/>
  <c r="S13" i="25"/>
  <c r="R13" i="25"/>
  <c r="Q13" i="25"/>
  <c r="Q21" i="25" s="1"/>
  <c r="P13" i="25"/>
  <c r="O13" i="25"/>
  <c r="N13" i="25"/>
  <c r="M13" i="25"/>
  <c r="L13" i="25"/>
  <c r="K13" i="25"/>
  <c r="J13" i="25"/>
  <c r="I13" i="25"/>
  <c r="H13" i="25"/>
  <c r="G13" i="25"/>
  <c r="F13" i="25"/>
  <c r="E13" i="25"/>
  <c r="D13" i="25"/>
  <c r="AC11" i="25"/>
  <c r="AC20" i="25" s="1"/>
  <c r="AB11" i="25"/>
  <c r="AA11" i="25"/>
  <c r="Z11" i="25"/>
  <c r="Z20" i="25" s="1"/>
  <c r="Y11" i="25"/>
  <c r="X11" i="25"/>
  <c r="W11" i="25"/>
  <c r="V11" i="25"/>
  <c r="U11" i="25"/>
  <c r="T11" i="25"/>
  <c r="S11" i="25"/>
  <c r="S20" i="25" s="1"/>
  <c r="R11" i="25"/>
  <c r="Q11" i="25"/>
  <c r="P11" i="25"/>
  <c r="O11" i="25"/>
  <c r="N11" i="25"/>
  <c r="M11" i="25"/>
  <c r="L11" i="25"/>
  <c r="K11" i="25"/>
  <c r="J11" i="25"/>
  <c r="I11" i="25"/>
  <c r="H11" i="25"/>
  <c r="H20" i="25" s="1"/>
  <c r="G11" i="25"/>
  <c r="G20" i="25" s="1"/>
  <c r="F11" i="25"/>
  <c r="F20" i="25" s="1"/>
  <c r="E11" i="25"/>
  <c r="E20" i="25" s="1"/>
  <c r="D11" i="25"/>
  <c r="O14" i="56"/>
  <c r="O13" i="56"/>
  <c r="O12" i="56"/>
  <c r="O11" i="56"/>
  <c r="O10" i="56"/>
  <c r="O9" i="56"/>
  <c r="O8" i="56"/>
  <c r="O7" i="56"/>
  <c r="O6" i="56"/>
  <c r="O5" i="56"/>
  <c r="O4" i="56"/>
  <c r="O3" i="56"/>
  <c r="E2" i="56"/>
  <c r="F2" i="56" s="1"/>
  <c r="G2" i="56" s="1"/>
  <c r="H2" i="56" s="1"/>
  <c r="I2" i="56" s="1"/>
  <c r="J2" i="56" s="1"/>
  <c r="K2" i="56" s="1"/>
  <c r="L2" i="56" s="1"/>
  <c r="M2" i="56" s="1"/>
  <c r="N2" i="56" s="1"/>
  <c r="D2" i="56"/>
  <c r="J23" i="35"/>
  <c r="I23" i="35"/>
  <c r="J25" i="55" s="1"/>
  <c r="H23" i="35"/>
  <c r="G23" i="35"/>
  <c r="F23" i="35"/>
  <c r="G25" i="55" s="1"/>
  <c r="G121" i="55" s="1"/>
  <c r="E23" i="35"/>
  <c r="D23" i="35"/>
  <c r="C23" i="35"/>
  <c r="J16" i="35"/>
  <c r="I16" i="35"/>
  <c r="H16" i="35"/>
  <c r="I18" i="55" s="1"/>
  <c r="G16" i="35"/>
  <c r="H18" i="55" s="1"/>
  <c r="F16" i="35"/>
  <c r="G18" i="55" s="1"/>
  <c r="J15" i="35"/>
  <c r="I15" i="35"/>
  <c r="H15" i="35"/>
  <c r="G15" i="35"/>
  <c r="J14" i="35"/>
  <c r="K16" i="55" s="1"/>
  <c r="I14" i="35"/>
  <c r="J16" i="55" s="1"/>
  <c r="H14" i="35"/>
  <c r="G14" i="35"/>
  <c r="H16" i="55" s="1"/>
  <c r="F14" i="35"/>
  <c r="G16" i="55" s="1"/>
  <c r="E14" i="35"/>
  <c r="F16" i="55" s="1"/>
  <c r="D14" i="35"/>
  <c r="C14" i="35"/>
  <c r="D16" i="55" s="1"/>
  <c r="J13" i="35"/>
  <c r="K15" i="55" s="1"/>
  <c r="I13" i="35"/>
  <c r="J15" i="55" s="1"/>
  <c r="H13" i="35"/>
  <c r="G13" i="35"/>
  <c r="H15" i="55" s="1"/>
  <c r="H111" i="55" s="1"/>
  <c r="F13" i="35"/>
  <c r="E13" i="35"/>
  <c r="D13" i="35"/>
  <c r="E15" i="55" s="1"/>
  <c r="C13" i="35"/>
  <c r="C12" i="35"/>
  <c r="C11" i="35"/>
  <c r="J9" i="35"/>
  <c r="I9" i="35"/>
  <c r="H9" i="35"/>
  <c r="G9" i="35"/>
  <c r="H11" i="55" s="1"/>
  <c r="F9" i="35"/>
  <c r="G11" i="55" s="1"/>
  <c r="G107" i="55" s="1"/>
  <c r="E9" i="35"/>
  <c r="F11" i="55" s="1"/>
  <c r="F107" i="55" s="1"/>
  <c r="D9" i="35"/>
  <c r="C9" i="35"/>
  <c r="D11" i="55" s="1"/>
  <c r="C8" i="35"/>
  <c r="D10" i="55" s="1"/>
  <c r="D106" i="55" s="1"/>
  <c r="J7" i="35"/>
  <c r="K9" i="55" s="1"/>
  <c r="K105" i="55" s="1"/>
  <c r="I7" i="35"/>
  <c r="J9" i="55" s="1"/>
  <c r="H7" i="35"/>
  <c r="G7" i="35"/>
  <c r="F7" i="35"/>
  <c r="D7" i="35"/>
  <c r="C5" i="35"/>
  <c r="D7" i="55" s="1"/>
  <c r="AH90" i="80"/>
  <c r="AG90" i="80"/>
  <c r="AF90" i="80"/>
  <c r="AE90" i="80"/>
  <c r="AD90" i="80"/>
  <c r="AC90" i="80"/>
  <c r="AB90" i="80"/>
  <c r="AG85" i="80"/>
  <c r="W85" i="80"/>
  <c r="V85" i="80"/>
  <c r="U85" i="80"/>
  <c r="T85" i="80"/>
  <c r="S85" i="80"/>
  <c r="I85" i="80"/>
  <c r="H85" i="80"/>
  <c r="E107" i="55"/>
  <c r="I89" i="55"/>
  <c r="D78" i="55"/>
  <c r="D74" i="55"/>
  <c r="K73" i="55"/>
  <c r="D30" i="55"/>
  <c r="D126" i="55" s="1"/>
  <c r="D29" i="55"/>
  <c r="D93" i="55" s="1"/>
  <c r="D28" i="55"/>
  <c r="D124" i="55" s="1"/>
  <c r="L25" i="55"/>
  <c r="K25" i="55"/>
  <c r="K121" i="55" s="1"/>
  <c r="I25" i="55"/>
  <c r="I121" i="55" s="1"/>
  <c r="H25" i="55"/>
  <c r="H121" i="55" s="1"/>
  <c r="F25" i="55"/>
  <c r="E25" i="55"/>
  <c r="D25" i="55"/>
  <c r="D121" i="55" s="1"/>
  <c r="C25" i="55"/>
  <c r="B25" i="55"/>
  <c r="C24" i="55"/>
  <c r="B24" i="55"/>
  <c r="C23" i="55"/>
  <c r="B23" i="55"/>
  <c r="C22" i="55"/>
  <c r="B22" i="55"/>
  <c r="C21" i="55"/>
  <c r="B21" i="55"/>
  <c r="L20" i="55"/>
  <c r="C20" i="55"/>
  <c r="B20" i="55"/>
  <c r="L19" i="55"/>
  <c r="C19" i="55"/>
  <c r="B19" i="55"/>
  <c r="L18" i="55"/>
  <c r="K18" i="55"/>
  <c r="K114" i="55" s="1"/>
  <c r="J18" i="55"/>
  <c r="J114" i="55" s="1"/>
  <c r="C18" i="55"/>
  <c r="B18" i="55"/>
  <c r="K17" i="55"/>
  <c r="K81" i="55" s="1"/>
  <c r="J17" i="55"/>
  <c r="J81" i="55" s="1"/>
  <c r="I17" i="55"/>
  <c r="I81" i="55" s="1"/>
  <c r="H17" i="55"/>
  <c r="H113" i="55" s="1"/>
  <c r="C17" i="55"/>
  <c r="B17" i="55"/>
  <c r="I16" i="55"/>
  <c r="I80" i="55" s="1"/>
  <c r="E16" i="55"/>
  <c r="E80" i="55" s="1"/>
  <c r="C16" i="55"/>
  <c r="B16" i="55"/>
  <c r="I15" i="55"/>
  <c r="I111" i="55" s="1"/>
  <c r="G15" i="55"/>
  <c r="G111" i="55" s="1"/>
  <c r="F15" i="55"/>
  <c r="F111" i="55" s="1"/>
  <c r="D15" i="55"/>
  <c r="D111" i="55" s="1"/>
  <c r="C15" i="55"/>
  <c r="B15" i="55"/>
  <c r="D14" i="55"/>
  <c r="D110" i="55" s="1"/>
  <c r="C14" i="55"/>
  <c r="B14" i="55"/>
  <c r="D13" i="55"/>
  <c r="C13" i="55"/>
  <c r="B13" i="55"/>
  <c r="C12" i="55"/>
  <c r="B12" i="55"/>
  <c r="L11" i="55"/>
  <c r="K11" i="55"/>
  <c r="K107" i="55" s="1"/>
  <c r="J11" i="55"/>
  <c r="I11" i="55"/>
  <c r="I107" i="55" s="1"/>
  <c r="E11" i="55"/>
  <c r="E75" i="55" s="1"/>
  <c r="C11" i="55"/>
  <c r="B11" i="55"/>
  <c r="L10" i="55"/>
  <c r="C10" i="55"/>
  <c r="B10" i="55"/>
  <c r="L9" i="55"/>
  <c r="I9" i="55"/>
  <c r="I105" i="55" s="1"/>
  <c r="H9" i="55"/>
  <c r="H73" i="55" s="1"/>
  <c r="G9" i="55"/>
  <c r="E9" i="55"/>
  <c r="E73" i="55" s="1"/>
  <c r="C9" i="55"/>
  <c r="B9" i="55"/>
  <c r="L8" i="55"/>
  <c r="C8" i="55"/>
  <c r="B8" i="55"/>
  <c r="C7" i="55"/>
  <c r="B7" i="55"/>
  <c r="C6" i="55"/>
  <c r="B6" i="55"/>
  <c r="L5" i="55"/>
  <c r="C5" i="55"/>
  <c r="B5" i="55"/>
  <c r="L4" i="55"/>
  <c r="C4" i="55"/>
  <c r="B4" i="55"/>
  <c r="C3" i="55"/>
  <c r="B3" i="55"/>
  <c r="V11" i="50"/>
  <c r="U11" i="50"/>
  <c r="T11" i="50"/>
  <c r="S11" i="50"/>
  <c r="R11" i="50"/>
  <c r="Q11" i="50"/>
  <c r="P11" i="50"/>
  <c r="O11" i="50"/>
  <c r="N11" i="50"/>
  <c r="M11" i="50"/>
  <c r="L11" i="50"/>
  <c r="K11" i="50"/>
  <c r="J11" i="50"/>
  <c r="I11" i="50"/>
  <c r="H11" i="50"/>
  <c r="G11" i="50"/>
  <c r="F11" i="50"/>
  <c r="E11" i="50"/>
  <c r="D11" i="50"/>
  <c r="O10" i="50"/>
  <c r="K10" i="50"/>
  <c r="P9" i="50"/>
  <c r="N9" i="50"/>
  <c r="J9" i="50"/>
  <c r="I9" i="50"/>
  <c r="H9" i="50"/>
  <c r="G9" i="50"/>
  <c r="F9" i="50"/>
  <c r="E9" i="50"/>
  <c r="D9" i="50"/>
  <c r="V8" i="50"/>
  <c r="U8" i="50"/>
  <c r="T8" i="50"/>
  <c r="S8" i="50"/>
  <c r="R8" i="50"/>
  <c r="Q8" i="50"/>
  <c r="P8" i="50"/>
  <c r="O8" i="50"/>
  <c r="N8" i="50"/>
  <c r="V7" i="50"/>
  <c r="U7" i="50"/>
  <c r="T7" i="50"/>
  <c r="S7" i="50"/>
  <c r="R7" i="50"/>
  <c r="Q7" i="50"/>
  <c r="P7" i="50"/>
  <c r="O7" i="50"/>
  <c r="N7" i="50"/>
  <c r="M7" i="50"/>
  <c r="L7" i="50"/>
  <c r="K7" i="50"/>
  <c r="J7" i="50"/>
  <c r="I7" i="50"/>
  <c r="H7" i="50"/>
  <c r="G7" i="50"/>
  <c r="F7" i="50"/>
  <c r="E7" i="50"/>
  <c r="D7" i="50"/>
  <c r="T6" i="50"/>
  <c r="P6" i="50"/>
  <c r="N6" i="50"/>
  <c r="G6" i="50"/>
  <c r="F6" i="50"/>
  <c r="E6" i="50"/>
  <c r="D6" i="50"/>
  <c r="T5" i="50"/>
  <c r="J5" i="50"/>
  <c r="E5" i="50"/>
  <c r="D5" i="50"/>
  <c r="M4" i="50"/>
  <c r="E4" i="50"/>
  <c r="D4" i="50"/>
  <c r="F81" i="46"/>
  <c r="G81" i="46" s="1"/>
  <c r="E81" i="46"/>
  <c r="C81" i="46"/>
  <c r="G80" i="46"/>
  <c r="F80" i="46"/>
  <c r="E80" i="46"/>
  <c r="C80" i="46"/>
  <c r="E79" i="46"/>
  <c r="F79" i="46" s="1"/>
  <c r="G79" i="46" s="1"/>
  <c r="C79" i="46"/>
  <c r="G78" i="46"/>
  <c r="F78" i="46"/>
  <c r="E78" i="46"/>
  <c r="C78" i="46"/>
  <c r="E77" i="46"/>
  <c r="F77" i="46" s="1"/>
  <c r="G77" i="46" s="1"/>
  <c r="C77" i="46"/>
  <c r="G76" i="46"/>
  <c r="F76" i="46"/>
  <c r="E76" i="46"/>
  <c r="C76" i="46"/>
  <c r="G75" i="46"/>
  <c r="F75" i="46"/>
  <c r="E75" i="46"/>
  <c r="C75" i="46"/>
  <c r="F74" i="46"/>
  <c r="G74" i="46" s="1"/>
  <c r="E74" i="46"/>
  <c r="C74" i="46"/>
  <c r="E73" i="46"/>
  <c r="F73" i="46" s="1"/>
  <c r="G73" i="46" s="1"/>
  <c r="C73" i="46"/>
  <c r="E72" i="46"/>
  <c r="F72" i="46" s="1"/>
  <c r="G72" i="46" s="1"/>
  <c r="C72" i="46"/>
  <c r="G71" i="46"/>
  <c r="F71" i="46"/>
  <c r="E71" i="46"/>
  <c r="C71" i="46"/>
  <c r="E70" i="46"/>
  <c r="F70" i="46" s="1"/>
  <c r="G70" i="46" s="1"/>
  <c r="C70" i="46"/>
  <c r="F69" i="46"/>
  <c r="G69" i="46" s="1"/>
  <c r="E69" i="46"/>
  <c r="C69" i="46"/>
  <c r="G68" i="46"/>
  <c r="F68" i="46"/>
  <c r="E68" i="46"/>
  <c r="C68" i="46"/>
  <c r="F67" i="46"/>
  <c r="G67" i="46" s="1"/>
  <c r="E67" i="46"/>
  <c r="C67" i="46"/>
  <c r="E66" i="46"/>
  <c r="F66" i="46" s="1"/>
  <c r="G66" i="46" s="1"/>
  <c r="C66" i="46"/>
  <c r="E65" i="46"/>
  <c r="F65" i="46" s="1"/>
  <c r="G65" i="46" s="1"/>
  <c r="C65" i="46"/>
  <c r="G64" i="46"/>
  <c r="F64" i="46"/>
  <c r="E64" i="46"/>
  <c r="C64" i="46"/>
  <c r="E63" i="46"/>
  <c r="F63" i="46" s="1"/>
  <c r="G63" i="46" s="1"/>
  <c r="C63" i="46"/>
  <c r="G62" i="46"/>
  <c r="F62" i="46"/>
  <c r="E62" i="46"/>
  <c r="C62" i="46"/>
  <c r="G61" i="46"/>
  <c r="F61" i="46"/>
  <c r="E61" i="46"/>
  <c r="C61" i="46"/>
  <c r="F60" i="46"/>
  <c r="G60" i="46" s="1"/>
  <c r="E60" i="46"/>
  <c r="C60" i="46"/>
  <c r="F59" i="46"/>
  <c r="G59" i="46" s="1"/>
  <c r="E59" i="46"/>
  <c r="C59" i="46"/>
  <c r="E58" i="46"/>
  <c r="F58" i="46" s="1"/>
  <c r="G58" i="46" s="1"/>
  <c r="C58" i="46"/>
  <c r="F57" i="46"/>
  <c r="E57" i="46"/>
  <c r="C57" i="46"/>
  <c r="E56" i="46"/>
  <c r="F56" i="46" s="1"/>
  <c r="G56" i="46" s="1"/>
  <c r="C56" i="46"/>
  <c r="F55" i="46"/>
  <c r="G55" i="46" s="1"/>
  <c r="E55" i="46"/>
  <c r="C55" i="46"/>
  <c r="F54" i="46"/>
  <c r="G54" i="46" s="1"/>
  <c r="E54" i="46"/>
  <c r="C54" i="46"/>
  <c r="E53" i="46"/>
  <c r="F53" i="46" s="1"/>
  <c r="G53" i="46" s="1"/>
  <c r="C53" i="46"/>
  <c r="E52" i="46"/>
  <c r="F52" i="46" s="1"/>
  <c r="G52" i="46" s="1"/>
  <c r="C52" i="46"/>
  <c r="G51" i="46"/>
  <c r="F51" i="46"/>
  <c r="E51" i="46"/>
  <c r="C51" i="46"/>
  <c r="G50" i="46"/>
  <c r="F50" i="46"/>
  <c r="E50" i="46"/>
  <c r="C50" i="46"/>
  <c r="E49" i="46"/>
  <c r="F49" i="46" s="1"/>
  <c r="G49" i="46" s="1"/>
  <c r="C49" i="46"/>
  <c r="E48" i="46"/>
  <c r="F48" i="46" s="1"/>
  <c r="G48" i="46" s="1"/>
  <c r="C48" i="46"/>
  <c r="F47" i="46"/>
  <c r="G47" i="46" s="1"/>
  <c r="E47" i="46"/>
  <c r="C47" i="46"/>
  <c r="E46" i="46"/>
  <c r="F46" i="46" s="1"/>
  <c r="G46" i="46" s="1"/>
  <c r="C46" i="46"/>
  <c r="E45" i="46"/>
  <c r="F45" i="46" s="1"/>
  <c r="G45" i="46" s="1"/>
  <c r="C45" i="46"/>
  <c r="G44" i="46"/>
  <c r="F44" i="46"/>
  <c r="E44" i="46"/>
  <c r="C44" i="46"/>
  <c r="G43" i="46"/>
  <c r="F43" i="46"/>
  <c r="E43" i="46"/>
  <c r="C43" i="46"/>
  <c r="E42" i="46"/>
  <c r="F42" i="46" s="1"/>
  <c r="G42" i="46" s="1"/>
  <c r="C42" i="46"/>
  <c r="E41" i="46"/>
  <c r="F41" i="46" s="1"/>
  <c r="G41" i="46" s="1"/>
  <c r="C41" i="46"/>
  <c r="F40" i="46"/>
  <c r="G40" i="46" s="1"/>
  <c r="E40" i="46"/>
  <c r="C40" i="46"/>
  <c r="E39" i="46"/>
  <c r="F39" i="46" s="1"/>
  <c r="G39" i="46" s="1"/>
  <c r="C39" i="46"/>
  <c r="E38" i="46"/>
  <c r="F38" i="46" s="1"/>
  <c r="G38" i="46" s="1"/>
  <c r="C38" i="46"/>
  <c r="G37" i="46"/>
  <c r="F37" i="46"/>
  <c r="E37" i="46"/>
  <c r="C37" i="46"/>
  <c r="G36" i="46"/>
  <c r="F36" i="46"/>
  <c r="E36" i="46"/>
  <c r="C36" i="46"/>
  <c r="E35" i="46"/>
  <c r="F35" i="46" s="1"/>
  <c r="G35" i="46" s="1"/>
  <c r="C35" i="46"/>
  <c r="E34" i="46"/>
  <c r="F34" i="46" s="1"/>
  <c r="G34" i="46" s="1"/>
  <c r="C34" i="46"/>
  <c r="F33" i="46"/>
  <c r="G33" i="46" s="1"/>
  <c r="E33" i="46"/>
  <c r="C33" i="46"/>
  <c r="E32" i="46"/>
  <c r="F32" i="46" s="1"/>
  <c r="G32" i="46" s="1"/>
  <c r="C32" i="46"/>
  <c r="F31" i="46"/>
  <c r="G31" i="46" s="1"/>
  <c r="E31" i="46"/>
  <c r="F30" i="46"/>
  <c r="G30" i="46" s="1"/>
  <c r="E30" i="46"/>
  <c r="F29" i="46"/>
  <c r="G29" i="46" s="1"/>
  <c r="E29" i="46"/>
  <c r="G28" i="46"/>
  <c r="F28" i="46"/>
  <c r="E28" i="46"/>
  <c r="E27" i="46"/>
  <c r="F27" i="46" s="1"/>
  <c r="G27" i="46" s="1"/>
  <c r="C27" i="46"/>
  <c r="F26" i="46"/>
  <c r="G26" i="46" s="1"/>
  <c r="E26" i="46"/>
  <c r="C26" i="46"/>
  <c r="F25" i="46"/>
  <c r="G25" i="46" s="1"/>
  <c r="E25" i="46"/>
  <c r="C25" i="46"/>
  <c r="E24" i="46"/>
  <c r="F24" i="46" s="1"/>
  <c r="G24" i="46" s="1"/>
  <c r="C24" i="46"/>
  <c r="F23" i="46"/>
  <c r="G23" i="46" s="1"/>
  <c r="E23" i="46"/>
  <c r="C23" i="46"/>
  <c r="G22" i="46"/>
  <c r="F22" i="46"/>
  <c r="E22" i="46"/>
  <c r="C22" i="46"/>
  <c r="G21" i="46"/>
  <c r="F21" i="46"/>
  <c r="E21" i="46"/>
  <c r="C21" i="46"/>
  <c r="E20" i="46"/>
  <c r="F20" i="46" s="1"/>
  <c r="G20" i="46" s="1"/>
  <c r="C20" i="46"/>
  <c r="F19" i="46"/>
  <c r="G19" i="46" s="1"/>
  <c r="E19" i="46"/>
  <c r="C19" i="46"/>
  <c r="F18" i="46"/>
  <c r="G18" i="46" s="1"/>
  <c r="E18" i="46"/>
  <c r="C18" i="46"/>
  <c r="E17" i="46"/>
  <c r="F17" i="46" s="1"/>
  <c r="G17" i="46" s="1"/>
  <c r="C17" i="46"/>
  <c r="F16" i="46"/>
  <c r="G16" i="46" s="1"/>
  <c r="E16" i="46"/>
  <c r="C16" i="46"/>
  <c r="G15" i="46"/>
  <c r="F15" i="46"/>
  <c r="E15" i="46"/>
  <c r="C15" i="46"/>
  <c r="G14" i="46"/>
  <c r="F14" i="46"/>
  <c r="E14" i="46"/>
  <c r="C14" i="46"/>
  <c r="E13" i="46"/>
  <c r="F13" i="46" s="1"/>
  <c r="G13" i="46" s="1"/>
  <c r="C13" i="46"/>
  <c r="G12" i="46"/>
  <c r="F12" i="46"/>
  <c r="E12" i="46"/>
  <c r="C12" i="46"/>
  <c r="F11" i="46"/>
  <c r="G11" i="46" s="1"/>
  <c r="E11" i="46"/>
  <c r="C11" i="46"/>
  <c r="E10" i="46"/>
  <c r="F10" i="46" s="1"/>
  <c r="G10" i="46" s="1"/>
  <c r="C10" i="46"/>
  <c r="E9" i="46"/>
  <c r="F9" i="46" s="1"/>
  <c r="G9" i="46" s="1"/>
  <c r="C9" i="46"/>
  <c r="G8" i="46"/>
  <c r="F8" i="46"/>
  <c r="E8" i="46"/>
  <c r="C8" i="46"/>
  <c r="G7" i="46"/>
  <c r="F7" i="46"/>
  <c r="E7" i="46"/>
  <c r="C7" i="46"/>
  <c r="E6" i="46"/>
  <c r="F6" i="46" s="1"/>
  <c r="G6" i="46" s="1"/>
  <c r="C6" i="46"/>
  <c r="E5" i="46"/>
  <c r="F5" i="46" s="1"/>
  <c r="G5" i="46" s="1"/>
  <c r="C5" i="46"/>
  <c r="F4" i="46"/>
  <c r="G4" i="46" s="1"/>
  <c r="E4" i="46"/>
  <c r="C4" i="46"/>
  <c r="E3" i="46"/>
  <c r="F3" i="46" s="1"/>
  <c r="G3" i="46" s="1"/>
  <c r="C3" i="46"/>
  <c r="C2" i="46"/>
  <c r="U23" i="74"/>
  <c r="S23" i="74"/>
  <c r="P24" i="25"/>
  <c r="R23" i="74"/>
  <c r="O24" i="25"/>
  <c r="Q23" i="74"/>
  <c r="N24" i="25"/>
  <c r="P23" i="74"/>
  <c r="M24" i="25"/>
  <c r="O23" i="74"/>
  <c r="N23" i="74"/>
  <c r="M23" i="74"/>
  <c r="U24" i="25"/>
  <c r="T24" i="25"/>
  <c r="S24" i="25"/>
  <c r="R24" i="25"/>
  <c r="Q24" i="25"/>
  <c r="T23" i="74"/>
  <c r="H9" i="48" l="1"/>
  <c r="E95" i="48"/>
  <c r="X19" i="48"/>
  <c r="AB26" i="48"/>
  <c r="P146" i="48"/>
  <c r="M145" i="48"/>
  <c r="Q146" i="48"/>
  <c r="L143" i="48"/>
  <c r="G19" i="48"/>
  <c r="U19" i="48"/>
  <c r="L19" i="48"/>
  <c r="O143" i="48"/>
  <c r="K9" i="48"/>
  <c r="Y9" i="48"/>
  <c r="Y26" i="48" s="1"/>
  <c r="V19" i="48"/>
  <c r="S145" i="48"/>
  <c r="M57" i="48"/>
  <c r="T116" i="48"/>
  <c r="J146" i="48"/>
  <c r="O145" i="48"/>
  <c r="N57" i="48"/>
  <c r="U116" i="48"/>
  <c r="S143" i="48"/>
  <c r="G145" i="48"/>
  <c r="K146" i="48"/>
  <c r="V131" i="48"/>
  <c r="L145" i="48"/>
  <c r="N145" i="48"/>
  <c r="O140" i="48"/>
  <c r="S146" i="48"/>
  <c r="P9" i="48"/>
  <c r="T28" i="48"/>
  <c r="J117" i="48"/>
  <c r="X117" i="48"/>
  <c r="N118" i="48"/>
  <c r="I98" i="48" s="1"/>
  <c r="J98" i="48" s="1"/>
  <c r="K98" i="48" s="1"/>
  <c r="L98" i="48" s="1"/>
  <c r="AB118" i="48"/>
  <c r="M19" i="48"/>
  <c r="R19" i="48"/>
  <c r="U121" i="48"/>
  <c r="U114" i="48" s="1"/>
  <c r="W130" i="48"/>
  <c r="N116" i="48"/>
  <c r="H96" i="48" s="1"/>
  <c r="I96" i="48" s="1"/>
  <c r="J96" i="48" s="1"/>
  <c r="K96" i="48" s="1"/>
  <c r="L96" i="48" s="1"/>
  <c r="AB116" i="48"/>
  <c r="N28" i="48"/>
  <c r="O126" i="48"/>
  <c r="O116" i="48" s="1"/>
  <c r="G140" i="48"/>
  <c r="K141" i="48"/>
  <c r="R146" i="48"/>
  <c r="AB114" i="48"/>
  <c r="H117" i="48"/>
  <c r="V117" i="48"/>
  <c r="H35" i="48"/>
  <c r="H68" i="48" s="1"/>
  <c r="H75" i="48" s="1"/>
  <c r="Z118" i="48"/>
  <c r="Q27" i="48"/>
  <c r="H131" i="48"/>
  <c r="L132" i="48"/>
  <c r="Z132" i="48"/>
  <c r="P133" i="48"/>
  <c r="AB28" i="48"/>
  <c r="AB121" i="48"/>
  <c r="AB130" i="48" s="1"/>
  <c r="V121" i="48"/>
  <c r="V130" i="48" s="1"/>
  <c r="P140" i="48"/>
  <c r="V26" i="48"/>
  <c r="AA27" i="48"/>
  <c r="K118" i="48"/>
  <c r="AA132" i="48"/>
  <c r="Q133" i="48"/>
  <c r="G34" i="48"/>
  <c r="G67" i="48" s="1"/>
  <c r="G74" i="48" s="1"/>
  <c r="G97" i="48" s="1"/>
  <c r="AC121" i="48"/>
  <c r="AC130" i="48" s="1"/>
  <c r="AD130" i="48" s="1"/>
  <c r="W121" i="48"/>
  <c r="Z9" i="48"/>
  <c r="Z26" i="48" s="1"/>
  <c r="U117" i="48"/>
  <c r="V28" i="48"/>
  <c r="M141" i="48"/>
  <c r="N9" i="48"/>
  <c r="N26" i="48" s="1"/>
  <c r="F9" i="48"/>
  <c r="T9" i="48"/>
  <c r="Z121" i="48"/>
  <c r="Z114" i="48" s="1"/>
  <c r="F121" i="48"/>
  <c r="F130" i="48" s="1"/>
  <c r="T121" i="48"/>
  <c r="T114" i="48" s="1"/>
  <c r="L9" i="48"/>
  <c r="L26" i="48" s="1"/>
  <c r="E98" i="48"/>
  <c r="AD24" i="48"/>
  <c r="I140" i="48"/>
  <c r="M27" i="48"/>
  <c r="Y118" i="48"/>
  <c r="G143" i="48"/>
  <c r="AA121" i="48"/>
  <c r="AA114" i="48" s="1"/>
  <c r="Q121" i="48"/>
  <c r="Q114" i="48" s="1"/>
  <c r="I130" i="48"/>
  <c r="N131" i="48"/>
  <c r="AB131" i="48"/>
  <c r="P144" i="48"/>
  <c r="J142" i="48"/>
  <c r="N143" i="48"/>
  <c r="I145" i="48"/>
  <c r="M146" i="48"/>
  <c r="S141" i="48"/>
  <c r="O131" i="48"/>
  <c r="Z27" i="48"/>
  <c r="F95" i="48"/>
  <c r="G121" i="48"/>
  <c r="L27" i="48"/>
  <c r="AD23" i="48"/>
  <c r="I142" i="48"/>
  <c r="M143" i="48"/>
  <c r="L146" i="48"/>
  <c r="H27" i="48"/>
  <c r="V27" i="48"/>
  <c r="H33" i="48"/>
  <c r="H66" i="48" s="1"/>
  <c r="H73" i="48" s="1"/>
  <c r="Z28" i="48"/>
  <c r="P117" i="48"/>
  <c r="I121" i="48"/>
  <c r="R144" i="48"/>
  <c r="H141" i="48"/>
  <c r="L142" i="48"/>
  <c r="G126" i="48"/>
  <c r="G144" i="48" s="1"/>
  <c r="K145" i="48"/>
  <c r="Z130" i="48"/>
  <c r="G132" i="48"/>
  <c r="U132" i="48"/>
  <c r="K133" i="48"/>
  <c r="Y133" i="48"/>
  <c r="H28" i="48"/>
  <c r="R143" i="48"/>
  <c r="AH46" i="70"/>
  <c r="AH45" i="70" s="1"/>
  <c r="AH12" i="70" s="1"/>
  <c r="AH23" i="70" s="1"/>
  <c r="G2" i="71" s="1"/>
  <c r="AK48" i="70"/>
  <c r="AK14" i="70" s="1"/>
  <c r="AK24" i="70" s="1"/>
  <c r="J3" i="71" s="1"/>
  <c r="Z77" i="70"/>
  <c r="AN77" i="70"/>
  <c r="X79" i="70"/>
  <c r="AE46" i="70"/>
  <c r="AE45" i="70" s="1"/>
  <c r="AE12" i="70" s="1"/>
  <c r="AE23" i="70" s="1"/>
  <c r="D2" i="71" s="1"/>
  <c r="AE13" i="78"/>
  <c r="AE14" i="78" s="1"/>
  <c r="E24" i="35" s="1"/>
  <c r="AB12" i="20"/>
  <c r="AF13" i="78"/>
  <c r="AF14" i="78" s="1"/>
  <c r="F24" i="35" s="1"/>
  <c r="T77" i="70"/>
  <c r="U77" i="70"/>
  <c r="AJ77" i="70"/>
  <c r="AC14" i="20"/>
  <c r="U79" i="70"/>
  <c r="AI49" i="70"/>
  <c r="J30" i="55" s="1"/>
  <c r="D94" i="55"/>
  <c r="W79" i="70"/>
  <c r="AJ49" i="70"/>
  <c r="V10" i="50"/>
  <c r="C24" i="35"/>
  <c r="AG78" i="70"/>
  <c r="AN46" i="70"/>
  <c r="AN45" i="70" s="1"/>
  <c r="AN12" i="70" s="1"/>
  <c r="AN23" i="70" s="1"/>
  <c r="AG48" i="70"/>
  <c r="AB77" i="70"/>
  <c r="T14" i="20"/>
  <c r="AH14" i="20"/>
  <c r="Z79" i="70"/>
  <c r="AN79" i="70"/>
  <c r="AN49" i="70"/>
  <c r="AH48" i="70"/>
  <c r="AC46" i="70"/>
  <c r="AC12" i="70" s="1"/>
  <c r="AC23" i="70" s="1"/>
  <c r="U78" i="70"/>
  <c r="U14" i="20"/>
  <c r="AI14" i="20"/>
  <c r="AA79" i="70"/>
  <c r="S12" i="20"/>
  <c r="T15" i="20" s="1"/>
  <c r="AJ48" i="70"/>
  <c r="V78" i="70"/>
  <c r="V14" i="20"/>
  <c r="AJ78" i="70"/>
  <c r="AJ14" i="20"/>
  <c r="AB79" i="70"/>
  <c r="AF78" i="70"/>
  <c r="AF14" i="20"/>
  <c r="I28" i="55"/>
  <c r="AM79" i="70"/>
  <c r="AM49" i="70"/>
  <c r="AL79" i="70"/>
  <c r="AL49" i="70"/>
  <c r="AF48" i="70"/>
  <c r="Y79" i="70"/>
  <c r="AH78" i="70"/>
  <c r="J28" i="55"/>
  <c r="J124" i="55" s="1"/>
  <c r="W14" i="20"/>
  <c r="AK14" i="20"/>
  <c r="U12" i="20"/>
  <c r="U15" i="20" s="1"/>
  <c r="AL48" i="70"/>
  <c r="AL14" i="70" s="1"/>
  <c r="AL24" i="70" s="1"/>
  <c r="X14" i="20"/>
  <c r="AL14" i="20"/>
  <c r="AD49" i="70"/>
  <c r="AD51" i="70" s="1"/>
  <c r="AA77" i="70"/>
  <c r="AC79" i="70"/>
  <c r="AM48" i="70"/>
  <c r="AM14" i="70" s="1"/>
  <c r="AM24" i="70" s="1"/>
  <c r="Y78" i="70"/>
  <c r="Y14" i="20"/>
  <c r="AM78" i="70"/>
  <c r="AM14" i="20"/>
  <c r="AE79" i="70"/>
  <c r="AE49" i="70"/>
  <c r="AH77" i="70"/>
  <c r="L29" i="55"/>
  <c r="X12" i="20"/>
  <c r="Z46" i="70"/>
  <c r="AA14" i="20"/>
  <c r="AG49" i="70"/>
  <c r="AA46" i="70"/>
  <c r="W77" i="70"/>
  <c r="AK46" i="70"/>
  <c r="AK45" i="70" s="1"/>
  <c r="AB14" i="20"/>
  <c r="AH49" i="70"/>
  <c r="T78" i="70"/>
  <c r="Z12" i="20"/>
  <c r="Z13" i="78"/>
  <c r="Z14" i="78" s="1"/>
  <c r="S10" i="50" s="1"/>
  <c r="AN13" i="78"/>
  <c r="AN14" i="78" s="1"/>
  <c r="AB46" i="70"/>
  <c r="Z78" i="70"/>
  <c r="W12" i="20"/>
  <c r="AF79" i="70"/>
  <c r="AF49" i="70"/>
  <c r="F28" i="55"/>
  <c r="AF46" i="70"/>
  <c r="AF45" i="70" s="1"/>
  <c r="AD78" i="70"/>
  <c r="AD14" i="20"/>
  <c r="AA78" i="70"/>
  <c r="AB15" i="20"/>
  <c r="AB13" i="78"/>
  <c r="AB14" i="78" s="1"/>
  <c r="U10" i="50" s="1"/>
  <c r="AG46" i="70"/>
  <c r="AG45" i="70" s="1"/>
  <c r="AK49" i="70"/>
  <c r="AB78" i="70"/>
  <c r="X15" i="20"/>
  <c r="S31" i="20"/>
  <c r="U31" i="20"/>
  <c r="X31" i="20"/>
  <c r="X32" i="20"/>
  <c r="C4" i="35"/>
  <c r="D6" i="55" s="1"/>
  <c r="D70" i="55" s="1"/>
  <c r="AC12" i="20"/>
  <c r="AC15" i="20" s="1"/>
  <c r="T32" i="20"/>
  <c r="O31" i="20"/>
  <c r="V31" i="20"/>
  <c r="Q31" i="20"/>
  <c r="R31" i="20"/>
  <c r="W31" i="20"/>
  <c r="Y31" i="20"/>
  <c r="AD11" i="20"/>
  <c r="AC31" i="20"/>
  <c r="R32" i="20"/>
  <c r="S32" i="20"/>
  <c r="AE131" i="48"/>
  <c r="AE23" i="48" s="1"/>
  <c r="D92" i="55"/>
  <c r="G114" i="55"/>
  <c r="G82" i="55"/>
  <c r="H75" i="55"/>
  <c r="H107" i="55"/>
  <c r="J105" i="55"/>
  <c r="J73" i="55"/>
  <c r="K112" i="55"/>
  <c r="K80" i="55"/>
  <c r="J121" i="55"/>
  <c r="J89" i="55"/>
  <c r="D75" i="55"/>
  <c r="D107" i="55"/>
  <c r="D79" i="55"/>
  <c r="I113" i="55"/>
  <c r="J113" i="55"/>
  <c r="K113" i="55"/>
  <c r="K82" i="55"/>
  <c r="D89" i="55"/>
  <c r="H89" i="55"/>
  <c r="I73" i="55"/>
  <c r="E105" i="55"/>
  <c r="V15" i="74"/>
  <c r="W15" i="74" s="1"/>
  <c r="X15" i="74" s="1"/>
  <c r="Y15" i="74" s="1"/>
  <c r="Z15" i="74" s="1"/>
  <c r="AA15" i="74" s="1"/>
  <c r="AB15" i="74" s="1"/>
  <c r="AC15" i="74" s="1"/>
  <c r="V16" i="74"/>
  <c r="W16" i="74" s="1"/>
  <c r="X16" i="74" s="1"/>
  <c r="Y16" i="74" s="1"/>
  <c r="Z16" i="74" s="1"/>
  <c r="AA16" i="74" s="1"/>
  <c r="AB16" i="74" s="1"/>
  <c r="AC16" i="74" s="1"/>
  <c r="V12" i="74"/>
  <c r="E89" i="55"/>
  <c r="E121" i="55"/>
  <c r="F89" i="55"/>
  <c r="F121" i="55"/>
  <c r="D125" i="55"/>
  <c r="D80" i="55"/>
  <c r="D112" i="55"/>
  <c r="J107" i="55"/>
  <c r="J75" i="55"/>
  <c r="H82" i="55"/>
  <c r="H114" i="55"/>
  <c r="U21" i="25"/>
  <c r="I114" i="55"/>
  <c r="I82" i="55"/>
  <c r="K75" i="55"/>
  <c r="F80" i="55"/>
  <c r="F112" i="55"/>
  <c r="G73" i="55"/>
  <c r="G105" i="55"/>
  <c r="D109" i="55"/>
  <c r="D77" i="55"/>
  <c r="G80" i="55"/>
  <c r="G112" i="55"/>
  <c r="V20" i="74"/>
  <c r="W20" i="74" s="1"/>
  <c r="X20" i="74" s="1"/>
  <c r="Y20" i="74" s="1"/>
  <c r="Z20" i="74" s="1"/>
  <c r="AA20" i="74" s="1"/>
  <c r="AB20" i="74" s="1"/>
  <c r="AC20" i="74" s="1"/>
  <c r="C62" i="26"/>
  <c r="C51" i="26" s="1"/>
  <c r="C45" i="26"/>
  <c r="H80" i="55"/>
  <c r="H112" i="55"/>
  <c r="AM18" i="25"/>
  <c r="AN18" i="25" s="1"/>
  <c r="I21" i="25"/>
  <c r="P37" i="59"/>
  <c r="P45" i="75"/>
  <c r="P46" i="75" s="1"/>
  <c r="D18" i="49"/>
  <c r="D19" i="49" s="1"/>
  <c r="L29" i="49"/>
  <c r="L30" i="49" s="1"/>
  <c r="Q29" i="49"/>
  <c r="Q12" i="49"/>
  <c r="Q27" i="49"/>
  <c r="E111" i="55"/>
  <c r="E79" i="55"/>
  <c r="J80" i="55"/>
  <c r="J112" i="55"/>
  <c r="J21" i="25"/>
  <c r="J20" i="25" s="1"/>
  <c r="J111" i="55"/>
  <c r="J79" i="55"/>
  <c r="D103" i="55"/>
  <c r="D71" i="55"/>
  <c r="K21" i="25"/>
  <c r="K20" i="25" s="1"/>
  <c r="K13" i="74"/>
  <c r="K79" i="55"/>
  <c r="K111" i="55"/>
  <c r="J94" i="55"/>
  <c r="J126" i="55"/>
  <c r="G89" i="55"/>
  <c r="Z14" i="75"/>
  <c r="Z15" i="59"/>
  <c r="Z14" i="59" s="1"/>
  <c r="Z63" i="59" s="1"/>
  <c r="L13" i="74"/>
  <c r="L20" i="74" s="1"/>
  <c r="L19" i="74" s="1"/>
  <c r="H105" i="55"/>
  <c r="M21" i="25"/>
  <c r="M20" i="25" s="1"/>
  <c r="L21" i="25"/>
  <c r="L20" i="25" s="1"/>
  <c r="H81" i="55"/>
  <c r="K89" i="55"/>
  <c r="E112" i="55"/>
  <c r="N21" i="25"/>
  <c r="V17" i="74"/>
  <c r="W17" i="74" s="1"/>
  <c r="X17" i="74" s="1"/>
  <c r="Y17" i="74" s="1"/>
  <c r="Z17" i="74" s="1"/>
  <c r="AA17" i="74" s="1"/>
  <c r="AB17" i="74" s="1"/>
  <c r="AC17" i="74" s="1"/>
  <c r="R37" i="59"/>
  <c r="R38" i="59" s="1"/>
  <c r="R45" i="75"/>
  <c r="R46" i="75" s="1"/>
  <c r="F79" i="55"/>
  <c r="D118" i="55"/>
  <c r="O21" i="25"/>
  <c r="AC14" i="75"/>
  <c r="AC15" i="59"/>
  <c r="AC14" i="59" s="1"/>
  <c r="H14" i="75"/>
  <c r="H14" i="59"/>
  <c r="AG16" i="25"/>
  <c r="AH16" i="25" s="1"/>
  <c r="AI16" i="25" s="1"/>
  <c r="AJ16" i="25" s="1"/>
  <c r="AK16" i="25" s="1"/>
  <c r="AL16" i="25" s="1"/>
  <c r="AM16" i="25" s="1"/>
  <c r="AN16" i="25" s="1"/>
  <c r="G79" i="55"/>
  <c r="J11" i="26"/>
  <c r="J20" i="26" s="1"/>
  <c r="J78" i="26" s="1"/>
  <c r="N75" i="26"/>
  <c r="AO14" i="26"/>
  <c r="AD13" i="26"/>
  <c r="AI94" i="26"/>
  <c r="T29" i="49"/>
  <c r="H79" i="55"/>
  <c r="Q20" i="25"/>
  <c r="Q14" i="75" s="1"/>
  <c r="O20" i="25"/>
  <c r="F75" i="55"/>
  <c r="I79" i="55"/>
  <c r="I112" i="55"/>
  <c r="D20" i="25"/>
  <c r="D14" i="75" s="1"/>
  <c r="AD11" i="25"/>
  <c r="AD20" i="25" s="1"/>
  <c r="J20" i="74"/>
  <c r="J19" i="74" s="1"/>
  <c r="G75" i="55"/>
  <c r="J82" i="55"/>
  <c r="P14" i="25"/>
  <c r="P21" i="25" s="1"/>
  <c r="K20" i="74"/>
  <c r="K19" i="74" s="1"/>
  <c r="D27" i="49"/>
  <c r="AG13" i="25"/>
  <c r="AE14" i="25"/>
  <c r="AE11" i="25" s="1"/>
  <c r="AE20" i="25" s="1"/>
  <c r="AA14" i="75"/>
  <c r="AA15" i="59"/>
  <c r="AA14" i="59" s="1"/>
  <c r="S20" i="74"/>
  <c r="S19" i="74" s="1"/>
  <c r="I75" i="55"/>
  <c r="U20" i="25"/>
  <c r="R14" i="25"/>
  <c r="R21" i="25" s="1"/>
  <c r="AF15" i="25"/>
  <c r="AF14" i="25" s="1"/>
  <c r="AF11" i="25" s="1"/>
  <c r="AF20" i="25" s="1"/>
  <c r="O13" i="74"/>
  <c r="O20" i="74" s="1"/>
  <c r="O19" i="74" s="1"/>
  <c r="AN94" i="26"/>
  <c r="AN53" i="20" s="1"/>
  <c r="Z94" i="26"/>
  <c r="I53" i="20"/>
  <c r="I55" i="20" s="1"/>
  <c r="I33" i="20" s="1"/>
  <c r="AG94" i="26"/>
  <c r="S94" i="26"/>
  <c r="AF94" i="26"/>
  <c r="R94" i="26"/>
  <c r="AE94" i="26"/>
  <c r="AD94" i="26"/>
  <c r="AC94" i="26"/>
  <c r="T21" i="25"/>
  <c r="T20" i="25" s="1"/>
  <c r="S14" i="75"/>
  <c r="S98" i="75" s="1"/>
  <c r="S14" i="59"/>
  <c r="S63" i="59" s="1"/>
  <c r="P11" i="26"/>
  <c r="L73" i="26"/>
  <c r="H15" i="30"/>
  <c r="H13" i="30"/>
  <c r="AB14" i="75"/>
  <c r="AB15" i="59"/>
  <c r="AB14" i="59" s="1"/>
  <c r="E14" i="75"/>
  <c r="E14" i="59"/>
  <c r="E63" i="59" s="1"/>
  <c r="Z13" i="26"/>
  <c r="E46" i="26"/>
  <c r="T94" i="26"/>
  <c r="I15" i="30"/>
  <c r="I13" i="30"/>
  <c r="I12" i="30" s="1"/>
  <c r="AD17" i="30"/>
  <c r="AC15" i="30"/>
  <c r="E27" i="49"/>
  <c r="E29" i="49"/>
  <c r="S45" i="75"/>
  <c r="S37" i="59"/>
  <c r="S30" i="49"/>
  <c r="F14" i="75"/>
  <c r="F14" i="59"/>
  <c r="N20" i="74"/>
  <c r="N19" i="74" s="1"/>
  <c r="D45" i="26"/>
  <c r="J81" i="26"/>
  <c r="M15" i="26"/>
  <c r="M76" i="26"/>
  <c r="N28" i="26"/>
  <c r="F29" i="49"/>
  <c r="T37" i="59"/>
  <c r="T45" i="75"/>
  <c r="T46" i="75" s="1"/>
  <c r="T30" i="49"/>
  <c r="C18" i="49"/>
  <c r="C19" i="49" s="1"/>
  <c r="H29" i="49"/>
  <c r="H30" i="49" s="1"/>
  <c r="N20" i="25"/>
  <c r="G14" i="75"/>
  <c r="G14" i="59"/>
  <c r="AO24" i="26"/>
  <c r="AP12" i="26" s="1"/>
  <c r="V94" i="26"/>
  <c r="H46" i="30"/>
  <c r="H12" i="30"/>
  <c r="G20" i="49"/>
  <c r="M20" i="74"/>
  <c r="M19" i="74" s="1"/>
  <c r="AO19" i="26"/>
  <c r="X94" i="26"/>
  <c r="L32" i="20"/>
  <c r="Z32" i="20"/>
  <c r="Z31" i="20"/>
  <c r="I45" i="75"/>
  <c r="I30" i="49"/>
  <c r="I37" i="59"/>
  <c r="I38" i="59" s="1"/>
  <c r="I40" i="59" s="1"/>
  <c r="W45" i="75"/>
  <c r="W37" i="59"/>
  <c r="W29" i="49"/>
  <c r="W30" i="49" s="1"/>
  <c r="H18" i="49"/>
  <c r="H19" i="49" s="1"/>
  <c r="H20" i="49" s="1"/>
  <c r="AD27" i="49" s="1"/>
  <c r="Y29" i="49"/>
  <c r="Y30" i="49" s="1"/>
  <c r="Q16" i="26"/>
  <c r="Q77" i="26" s="1"/>
  <c r="Y94" i="26"/>
  <c r="M32" i="20"/>
  <c r="M31" i="20"/>
  <c r="AA32" i="20"/>
  <c r="AA31" i="20"/>
  <c r="U46" i="30"/>
  <c r="AD83" i="30" s="1"/>
  <c r="AO31" i="26"/>
  <c r="R16" i="26"/>
  <c r="R77" i="26" s="1"/>
  <c r="AO34" i="26"/>
  <c r="AP19" i="26" s="1"/>
  <c r="N32" i="20"/>
  <c r="N31" i="20"/>
  <c r="AB32" i="20"/>
  <c r="AB31" i="20"/>
  <c r="M11" i="26"/>
  <c r="AA11" i="26"/>
  <c r="AQ13" i="26"/>
  <c r="AA94" i="26"/>
  <c r="N13" i="30"/>
  <c r="AB13" i="30"/>
  <c r="AB12" i="30" s="1"/>
  <c r="AD56" i="30"/>
  <c r="N30" i="30"/>
  <c r="N29" i="30" s="1"/>
  <c r="AB45" i="75"/>
  <c r="AB37" i="59"/>
  <c r="AB29" i="49"/>
  <c r="AB30" i="49"/>
  <c r="D46" i="26"/>
  <c r="J75" i="26"/>
  <c r="AO30" i="26"/>
  <c r="N29" i="26"/>
  <c r="M29" i="26"/>
  <c r="AO29" i="26" s="1"/>
  <c r="AB94" i="26"/>
  <c r="AC13" i="30"/>
  <c r="M40" i="59"/>
  <c r="AA30" i="49"/>
  <c r="R85" i="75"/>
  <c r="R87" i="75"/>
  <c r="H19" i="74"/>
  <c r="K73" i="26"/>
  <c r="U16" i="26"/>
  <c r="U77" i="26" s="1"/>
  <c r="J15" i="30"/>
  <c r="AM94" i="26"/>
  <c r="AM53" i="20" s="1"/>
  <c r="M13" i="30"/>
  <c r="M12" i="30" s="1"/>
  <c r="S29" i="49"/>
  <c r="H53" i="20"/>
  <c r="H55" i="20" s="1"/>
  <c r="H17" i="20" s="1"/>
  <c r="F27" i="49"/>
  <c r="AC45" i="75"/>
  <c r="AC37" i="59"/>
  <c r="AC29" i="49"/>
  <c r="C10" i="35" s="1"/>
  <c r="D12" i="55" s="1"/>
  <c r="AC30" i="49"/>
  <c r="R28" i="48"/>
  <c r="R9" i="48"/>
  <c r="R116" i="48"/>
  <c r="L13" i="30"/>
  <c r="L15" i="30"/>
  <c r="S13" i="33"/>
  <c r="R13" i="33"/>
  <c r="Q13" i="33"/>
  <c r="P13" i="33"/>
  <c r="E30" i="59"/>
  <c r="E64" i="59"/>
  <c r="O27" i="48"/>
  <c r="O9" i="48"/>
  <c r="O26" i="48" s="1"/>
  <c r="AD10" i="48"/>
  <c r="AC27" i="48"/>
  <c r="AC9" i="48"/>
  <c r="V32" i="26"/>
  <c r="V16" i="26" s="1"/>
  <c r="V77" i="26" s="1"/>
  <c r="AH94" i="26"/>
  <c r="L46" i="30"/>
  <c r="L12" i="30"/>
  <c r="M15" i="30"/>
  <c r="H45" i="75"/>
  <c r="H46" i="75" s="1"/>
  <c r="H48" i="75" s="1"/>
  <c r="H37" i="59"/>
  <c r="V45" i="75"/>
  <c r="V30" i="49"/>
  <c r="V37" i="59"/>
  <c r="K34" i="75"/>
  <c r="K24" i="75"/>
  <c r="X32" i="26"/>
  <c r="X16" i="26" s="1"/>
  <c r="X77" i="26" s="1"/>
  <c r="AJ94" i="26"/>
  <c r="P31" i="20"/>
  <c r="J45" i="75"/>
  <c r="J46" i="75" s="1"/>
  <c r="J37" i="59"/>
  <c r="X45" i="75"/>
  <c r="X37" i="59"/>
  <c r="X29" i="49"/>
  <c r="X30" i="49" s="1"/>
  <c r="N37" i="59"/>
  <c r="N38" i="59" s="1"/>
  <c r="N40" i="59" s="1"/>
  <c r="N45" i="75"/>
  <c r="N46" i="75" s="1"/>
  <c r="F38" i="75"/>
  <c r="F99" i="75"/>
  <c r="AC12" i="30"/>
  <c r="AD12" i="30" s="1"/>
  <c r="O37" i="59"/>
  <c r="O38" i="59" s="1"/>
  <c r="O45" i="75"/>
  <c r="O46" i="75" s="1"/>
  <c r="O30" i="49"/>
  <c r="E134" i="75"/>
  <c r="E131" i="75"/>
  <c r="E132" i="75" s="1"/>
  <c r="P17" i="59"/>
  <c r="P38" i="59"/>
  <c r="AL94" i="26"/>
  <c r="AL53" i="20" s="1"/>
  <c r="Q17" i="75"/>
  <c r="Q17" i="59"/>
  <c r="AM13" i="33"/>
  <c r="AL13" i="33"/>
  <c r="AK13" i="33"/>
  <c r="AJ13" i="33"/>
  <c r="M32" i="26"/>
  <c r="M27" i="26" s="1"/>
  <c r="N12" i="30"/>
  <c r="AA45" i="75"/>
  <c r="AA37" i="59"/>
  <c r="AA29" i="49"/>
  <c r="AD12" i="49"/>
  <c r="AE12" i="49" s="1"/>
  <c r="Z29" i="49"/>
  <c r="Z30" i="49" s="1"/>
  <c r="F51" i="49"/>
  <c r="G51" i="49" s="1"/>
  <c r="H51" i="49" s="1"/>
  <c r="I51" i="49" s="1"/>
  <c r="D17" i="75"/>
  <c r="D17" i="59"/>
  <c r="R17" i="59"/>
  <c r="R17" i="75"/>
  <c r="C25" i="33"/>
  <c r="M52" i="59"/>
  <c r="M50" i="59"/>
  <c r="M26" i="59" s="1"/>
  <c r="P17" i="75"/>
  <c r="T31" i="20"/>
  <c r="O32" i="20"/>
  <c r="AD32" i="20"/>
  <c r="E18" i="49"/>
  <c r="E19" i="49" s="1"/>
  <c r="E20" i="49" s="1"/>
  <c r="N52" i="59"/>
  <c r="N50" i="59"/>
  <c r="N26" i="59" s="1"/>
  <c r="AB52" i="59"/>
  <c r="AB50" i="59"/>
  <c r="AB26" i="59" s="1"/>
  <c r="F17" i="75"/>
  <c r="F101" i="75" s="1"/>
  <c r="F39" i="75" s="1"/>
  <c r="F17" i="59"/>
  <c r="F131" i="75"/>
  <c r="F134" i="75"/>
  <c r="T17" i="75"/>
  <c r="T17" i="59"/>
  <c r="G22" i="33"/>
  <c r="O52" i="59"/>
  <c r="O50" i="59"/>
  <c r="O26" i="59" s="1"/>
  <c r="AC52" i="59"/>
  <c r="AC50" i="59"/>
  <c r="P29" i="49"/>
  <c r="P30" i="49" s="1"/>
  <c r="D12" i="49"/>
  <c r="D29" i="49" s="1"/>
  <c r="R12" i="49"/>
  <c r="R29" i="49" s="1"/>
  <c r="R30" i="49" s="1"/>
  <c r="J29" i="49"/>
  <c r="J30" i="49" s="1"/>
  <c r="L52" i="59"/>
  <c r="Y17" i="75"/>
  <c r="L45" i="75"/>
  <c r="L46" i="75" s="1"/>
  <c r="Q87" i="75"/>
  <c r="Q85" i="75"/>
  <c r="Q116" i="48"/>
  <c r="Q28" i="48"/>
  <c r="G17" i="75"/>
  <c r="G17" i="59"/>
  <c r="U17" i="75"/>
  <c r="U17" i="59"/>
  <c r="S38" i="59"/>
  <c r="S40" i="59" s="1"/>
  <c r="R52" i="59"/>
  <c r="R50" i="59"/>
  <c r="R26" i="59" s="1"/>
  <c r="S27" i="75"/>
  <c r="O85" i="75"/>
  <c r="N85" i="75"/>
  <c r="J85" i="75"/>
  <c r="V85" i="75"/>
  <c r="M85" i="75"/>
  <c r="I85" i="75"/>
  <c r="S87" i="75"/>
  <c r="S85" i="75"/>
  <c r="P26" i="48"/>
  <c r="M29" i="49"/>
  <c r="M30" i="49" s="1"/>
  <c r="H17" i="75"/>
  <c r="H17" i="59"/>
  <c r="H66" i="59" s="1"/>
  <c r="D25" i="33"/>
  <c r="V17" i="75"/>
  <c r="V17" i="59"/>
  <c r="T38" i="59"/>
  <c r="M46" i="75"/>
  <c r="M48" i="75" s="1"/>
  <c r="T87" i="75"/>
  <c r="T85" i="75"/>
  <c r="Q9" i="48"/>
  <c r="Q26" i="48" s="1"/>
  <c r="I17" i="75"/>
  <c r="I17" i="59"/>
  <c r="W17" i="75"/>
  <c r="W17" i="59"/>
  <c r="AF13" i="33"/>
  <c r="F66" i="59"/>
  <c r="F31" i="59" s="1"/>
  <c r="AA17" i="59"/>
  <c r="G38" i="59"/>
  <c r="U37" i="59"/>
  <c r="U85" i="75"/>
  <c r="J17" i="75"/>
  <c r="J17" i="59"/>
  <c r="G131" i="75"/>
  <c r="G134" i="75"/>
  <c r="X17" i="59"/>
  <c r="X17" i="75"/>
  <c r="AH13" i="33"/>
  <c r="G66" i="59"/>
  <c r="G31" i="59" s="1"/>
  <c r="AB17" i="59"/>
  <c r="H38" i="59"/>
  <c r="H40" i="59" s="1"/>
  <c r="K45" i="75"/>
  <c r="K46" i="75" s="1"/>
  <c r="K48" i="75" s="1"/>
  <c r="K37" i="59"/>
  <c r="Y45" i="75"/>
  <c r="Y37" i="59"/>
  <c r="G30" i="49"/>
  <c r="K17" i="75"/>
  <c r="K17" i="59"/>
  <c r="AI13" i="33"/>
  <c r="AC17" i="59"/>
  <c r="Z45" i="75"/>
  <c r="Z37" i="59"/>
  <c r="D131" i="75"/>
  <c r="D132" i="75" s="1"/>
  <c r="D134" i="75"/>
  <c r="L17" i="59"/>
  <c r="Z17" i="59"/>
  <c r="Z17" i="75"/>
  <c r="G26" i="33"/>
  <c r="J38" i="59"/>
  <c r="K38" i="59"/>
  <c r="L40" i="59" s="1"/>
  <c r="H101" i="75"/>
  <c r="I26" i="33"/>
  <c r="I19" i="48"/>
  <c r="I131" i="48"/>
  <c r="I28" i="48"/>
  <c r="W19" i="48"/>
  <c r="W28" i="48"/>
  <c r="W131" i="48"/>
  <c r="P30" i="59"/>
  <c r="I5" i="50" s="1"/>
  <c r="L17" i="75"/>
  <c r="K50" i="59"/>
  <c r="K26" i="59" s="1"/>
  <c r="K64" i="59" s="1"/>
  <c r="Y50" i="59"/>
  <c r="Y26" i="59" s="1"/>
  <c r="J52" i="59"/>
  <c r="X105" i="75"/>
  <c r="J70" i="38"/>
  <c r="E38" i="75"/>
  <c r="E99" i="75"/>
  <c r="M46" i="78"/>
  <c r="N46" i="78" s="1"/>
  <c r="L46" i="78"/>
  <c r="K89" i="48"/>
  <c r="K63" i="48"/>
  <c r="L15" i="38"/>
  <c r="S16" i="38"/>
  <c r="K19" i="48"/>
  <c r="K27" i="48"/>
  <c r="Y27" i="48"/>
  <c r="G64" i="59"/>
  <c r="G99" i="75"/>
  <c r="G38" i="75"/>
  <c r="AD133" i="48"/>
  <c r="AC25" i="48"/>
  <c r="C22" i="35" s="1"/>
  <c r="D24" i="55" s="1"/>
  <c r="M94" i="59"/>
  <c r="L94" i="59"/>
  <c r="G27" i="48"/>
  <c r="G9" i="48"/>
  <c r="U27" i="48"/>
  <c r="U9" i="48"/>
  <c r="P145" i="48"/>
  <c r="U131" i="48"/>
  <c r="P50" i="59"/>
  <c r="P26" i="59" s="1"/>
  <c r="N94" i="59"/>
  <c r="E133" i="75"/>
  <c r="E137" i="75" s="1"/>
  <c r="S46" i="75"/>
  <c r="S48" i="75" s="1"/>
  <c r="L85" i="75"/>
  <c r="J126" i="48"/>
  <c r="J144" i="48" s="1"/>
  <c r="J140" i="48"/>
  <c r="J121" i="48"/>
  <c r="J139" i="48" s="1"/>
  <c r="X126" i="48"/>
  <c r="X131" i="48" s="1"/>
  <c r="X121" i="48"/>
  <c r="X130" i="48" s="1"/>
  <c r="N121" i="48"/>
  <c r="N114" i="48" s="1"/>
  <c r="H95" i="48" s="1"/>
  <c r="I95" i="48" s="1"/>
  <c r="J95" i="48" s="1"/>
  <c r="K95" i="48" s="1"/>
  <c r="L95" i="48" s="1"/>
  <c r="N141" i="48"/>
  <c r="R121" i="48"/>
  <c r="R142" i="48"/>
  <c r="H143" i="48"/>
  <c r="H121" i="48"/>
  <c r="I139" i="48" s="1"/>
  <c r="Q145" i="48"/>
  <c r="Q117" i="48"/>
  <c r="G146" i="48"/>
  <c r="Q50" i="59"/>
  <c r="Q26" i="59" s="1"/>
  <c r="AD70" i="59"/>
  <c r="H99" i="75"/>
  <c r="Y19" i="48"/>
  <c r="G46" i="75"/>
  <c r="L37" i="78"/>
  <c r="L42" i="78"/>
  <c r="K28" i="75"/>
  <c r="I46" i="75"/>
  <c r="I48" i="75" s="1"/>
  <c r="P85" i="75"/>
  <c r="O117" i="48"/>
  <c r="F132" i="75"/>
  <c r="G130" i="75"/>
  <c r="G132" i="75" s="1"/>
  <c r="R114" i="48"/>
  <c r="S28" i="48"/>
  <c r="S9" i="48"/>
  <c r="K140" i="48"/>
  <c r="K121" i="48"/>
  <c r="K126" i="48"/>
  <c r="Y121" i="48"/>
  <c r="Y130" i="48" s="1"/>
  <c r="O141" i="48"/>
  <c r="S142" i="48"/>
  <c r="I143" i="48"/>
  <c r="H146" i="48"/>
  <c r="AI16" i="70"/>
  <c r="AI25" i="70" s="1"/>
  <c r="H4" i="71" s="1"/>
  <c r="AI51" i="70"/>
  <c r="S118" i="48"/>
  <c r="Y131" i="48"/>
  <c r="L140" i="48"/>
  <c r="L121" i="48"/>
  <c r="L114" i="48" s="1"/>
  <c r="L126" i="48"/>
  <c r="L131" i="48" s="1"/>
  <c r="P121" i="48"/>
  <c r="P141" i="48"/>
  <c r="J143" i="48"/>
  <c r="O30" i="38"/>
  <c r="Q30" i="38" s="1"/>
  <c r="S31" i="38"/>
  <c r="K52" i="78"/>
  <c r="F27" i="48"/>
  <c r="T27" i="48"/>
  <c r="T118" i="48"/>
  <c r="Z131" i="48"/>
  <c r="M121" i="48"/>
  <c r="M130" i="48" s="1"/>
  <c r="M126" i="48"/>
  <c r="N144" i="48" s="1"/>
  <c r="N140" i="48"/>
  <c r="M140" i="48"/>
  <c r="G142" i="48"/>
  <c r="K143" i="48"/>
  <c r="Q141" i="48"/>
  <c r="G35" i="48"/>
  <c r="G68" i="48" s="1"/>
  <c r="G75" i="48" s="1"/>
  <c r="G98" i="48" s="1"/>
  <c r="V114" i="48"/>
  <c r="P33" i="38"/>
  <c r="N87" i="75"/>
  <c r="K99" i="75"/>
  <c r="I9" i="48"/>
  <c r="I114" i="48"/>
  <c r="W9" i="48"/>
  <c r="W114" i="48"/>
  <c r="X116" i="48"/>
  <c r="Q19" i="48"/>
  <c r="F98" i="48"/>
  <c r="AC16" i="70"/>
  <c r="AC25" i="70" s="1"/>
  <c r="I67" i="38"/>
  <c r="M56" i="38"/>
  <c r="O48" i="38"/>
  <c r="J9" i="48"/>
  <c r="J26" i="48" s="1"/>
  <c r="X9" i="48"/>
  <c r="X26" i="48" s="1"/>
  <c r="K28" i="48"/>
  <c r="Y116" i="48"/>
  <c r="Y28" i="48"/>
  <c r="E96" i="48"/>
  <c r="O121" i="48"/>
  <c r="O130" i="48" s="1"/>
  <c r="P48" i="38"/>
  <c r="J67" i="38"/>
  <c r="S19" i="48"/>
  <c r="P132" i="48"/>
  <c r="P19" i="48"/>
  <c r="G32" i="48"/>
  <c r="G65" i="48" s="1"/>
  <c r="G72" i="48" s="1"/>
  <c r="G95" i="48" s="1"/>
  <c r="M45" i="78"/>
  <c r="N45" i="78" s="1"/>
  <c r="L45" i="78"/>
  <c r="M9" i="48"/>
  <c r="M26" i="48" s="1"/>
  <c r="AA9" i="48"/>
  <c r="AA26" i="48" s="1"/>
  <c r="L117" i="48"/>
  <c r="H34" i="48"/>
  <c r="F19" i="48"/>
  <c r="F26" i="48" s="1"/>
  <c r="T19" i="48"/>
  <c r="Q132" i="48"/>
  <c r="F28" i="48"/>
  <c r="S121" i="48"/>
  <c r="U118" i="48"/>
  <c r="AA131" i="48"/>
  <c r="J28" i="48"/>
  <c r="X28" i="48"/>
  <c r="H32" i="48"/>
  <c r="H116" i="48"/>
  <c r="L118" i="48"/>
  <c r="R141" i="48"/>
  <c r="H142" i="48"/>
  <c r="R145" i="48"/>
  <c r="Y46" i="70"/>
  <c r="X77" i="70"/>
  <c r="AM46" i="70"/>
  <c r="AM45" i="70" s="1"/>
  <c r="AM12" i="70" s="1"/>
  <c r="AM23" i="70" s="1"/>
  <c r="AL46" i="70"/>
  <c r="AL45" i="70" s="1"/>
  <c r="AL12" i="70" s="1"/>
  <c r="AL23" i="70" s="1"/>
  <c r="AL77" i="70"/>
  <c r="AD48" i="70"/>
  <c r="AK79" i="70"/>
  <c r="M16" i="38"/>
  <c r="N22" i="38"/>
  <c r="Q28" i="38"/>
  <c r="P40" i="38"/>
  <c r="T41" i="38"/>
  <c r="Q16" i="40"/>
  <c r="Q15" i="40"/>
  <c r="L40" i="78"/>
  <c r="AC117" i="48"/>
  <c r="AD117" i="48" s="1"/>
  <c r="AE117" i="48" s="1"/>
  <c r="AF117" i="48" s="1"/>
  <c r="AG117" i="48" s="1"/>
  <c r="AH117" i="48" s="1"/>
  <c r="AI117" i="48" s="1"/>
  <c r="AJ117" i="48" s="1"/>
  <c r="AK117" i="48" s="1"/>
  <c r="AL117" i="48" s="1"/>
  <c r="AM117" i="48" s="1"/>
  <c r="AN117" i="48" s="1"/>
  <c r="N27" i="48"/>
  <c r="AB27" i="48"/>
  <c r="I32" i="48"/>
  <c r="I34" i="48"/>
  <c r="I146" i="48"/>
  <c r="Y77" i="70"/>
  <c r="AM77" i="70"/>
  <c r="AE78" i="70"/>
  <c r="AJ79" i="70"/>
  <c r="L35" i="78"/>
  <c r="L48" i="78"/>
  <c r="L28" i="48"/>
  <c r="E89" i="48"/>
  <c r="E97" i="48" s="1"/>
  <c r="N11" i="38"/>
  <c r="P28" i="38"/>
  <c r="L66" i="38"/>
  <c r="L71" i="38" s="1"/>
  <c r="L69" i="38"/>
  <c r="L67" i="38"/>
  <c r="S16" i="40"/>
  <c r="S14" i="40"/>
  <c r="M35" i="78"/>
  <c r="N35" i="78" s="1"/>
  <c r="P27" i="48"/>
  <c r="M28" i="48"/>
  <c r="AA28" i="48"/>
  <c r="M63" i="48"/>
  <c r="F89" i="48"/>
  <c r="F97" i="48" s="1"/>
  <c r="R131" i="48"/>
  <c r="R27" i="48"/>
  <c r="O28" i="48"/>
  <c r="AC28" i="48"/>
  <c r="AA116" i="48"/>
  <c r="S126" i="48"/>
  <c r="S140" i="48"/>
  <c r="AI48" i="70"/>
  <c r="AI78" i="70"/>
  <c r="O24" i="38"/>
  <c r="N24" i="38"/>
  <c r="M24" i="38"/>
  <c r="N56" i="38"/>
  <c r="L70" i="38"/>
  <c r="N38" i="78"/>
  <c r="S133" i="48"/>
  <c r="P28" i="48"/>
  <c r="N142" i="48"/>
  <c r="J141" i="48"/>
  <c r="AD46" i="70"/>
  <c r="AD45" i="70" s="1"/>
  <c r="AD77" i="70"/>
  <c r="Q17" i="40"/>
  <c r="N130" i="48"/>
  <c r="F133" i="48"/>
  <c r="T133" i="48"/>
  <c r="AC116" i="48"/>
  <c r="AD116" i="48" s="1"/>
  <c r="AE116" i="48" s="1"/>
  <c r="AF116" i="48" s="1"/>
  <c r="AG116" i="48" s="1"/>
  <c r="AH116" i="48" s="1"/>
  <c r="AI116" i="48" s="1"/>
  <c r="AJ116" i="48" s="1"/>
  <c r="AK116" i="48" s="1"/>
  <c r="AL116" i="48" s="1"/>
  <c r="AM116" i="48" s="1"/>
  <c r="AN116" i="48" s="1"/>
  <c r="AE48" i="70"/>
  <c r="AE77" i="70"/>
  <c r="W78" i="70"/>
  <c r="AK78" i="70"/>
  <c r="N13" i="38"/>
  <c r="M13" i="38"/>
  <c r="M46" i="38" s="1"/>
  <c r="M47" i="38" s="1"/>
  <c r="Q44" i="38"/>
  <c r="M14" i="40"/>
  <c r="M15" i="40" s="1"/>
  <c r="H19" i="48"/>
  <c r="H26" i="48" s="1"/>
  <c r="G133" i="48"/>
  <c r="U133" i="48"/>
  <c r="I33" i="48"/>
  <c r="I35" i="48"/>
  <c r="H144" i="48"/>
  <c r="X78" i="70"/>
  <c r="AL78" i="70"/>
  <c r="AD79" i="70"/>
  <c r="L13" i="38"/>
  <c r="M19" i="38"/>
  <c r="R39" i="38"/>
  <c r="K14" i="40"/>
  <c r="K16" i="40" s="1"/>
  <c r="N14" i="40"/>
  <c r="O132" i="48"/>
  <c r="AC132" i="48"/>
  <c r="AD132" i="48" s="1"/>
  <c r="I144" i="48"/>
  <c r="O144" i="48"/>
  <c r="AC77" i="70"/>
  <c r="N14" i="38"/>
  <c r="N25" i="38"/>
  <c r="O25" i="38" s="1"/>
  <c r="C8" i="21"/>
  <c r="I16" i="5"/>
  <c r="F8" i="5"/>
  <c r="N3" i="21"/>
  <c r="U5" i="21"/>
  <c r="AE24" i="59" s="1"/>
  <c r="T5" i="21"/>
  <c r="AD24" i="59" s="1"/>
  <c r="S5" i="21"/>
  <c r="I13" i="21"/>
  <c r="I14" i="21" s="1"/>
  <c r="H13" i="21"/>
  <c r="H14" i="21" s="1"/>
  <c r="F13" i="21"/>
  <c r="F77" i="21"/>
  <c r="Q140" i="48"/>
  <c r="AK77" i="70"/>
  <c r="M16" i="40"/>
  <c r="L16" i="5"/>
  <c r="C11" i="21"/>
  <c r="K19" i="21"/>
  <c r="U37" i="30" s="1"/>
  <c r="J19" i="21"/>
  <c r="T37" i="30" s="1"/>
  <c r="E7" i="5"/>
  <c r="M19" i="21"/>
  <c r="W37" i="30" s="1"/>
  <c r="W20" i="30" s="1"/>
  <c r="R140" i="48"/>
  <c r="P38" i="38"/>
  <c r="R38" i="38" s="1"/>
  <c r="D12" i="21"/>
  <c r="C12" i="21"/>
  <c r="M5" i="21"/>
  <c r="L5" i="21"/>
  <c r="K5" i="21"/>
  <c r="J5" i="21"/>
  <c r="B16" i="5"/>
  <c r="G82" i="21"/>
  <c r="AJ46" i="70"/>
  <c r="AJ45" i="70" s="1"/>
  <c r="L15" i="40"/>
  <c r="O16" i="40"/>
  <c r="R17" i="40"/>
  <c r="D24" i="21"/>
  <c r="N42" i="30" s="1"/>
  <c r="D18" i="21"/>
  <c r="D21" i="21"/>
  <c r="G13" i="21"/>
  <c r="G14" i="21" s="1"/>
  <c r="K55" i="38"/>
  <c r="M48" i="38" s="1"/>
  <c r="J23" i="21"/>
  <c r="T41" i="30" s="1"/>
  <c r="T24" i="30" s="1"/>
  <c r="T13" i="30" s="1"/>
  <c r="T12" i="30" s="1"/>
  <c r="T41" i="21"/>
  <c r="E6" i="21"/>
  <c r="L56" i="38"/>
  <c r="L55" i="38"/>
  <c r="N48" i="38" s="1"/>
  <c r="K67" i="38"/>
  <c r="K70" i="38" s="1"/>
  <c r="I5" i="21"/>
  <c r="H5" i="21"/>
  <c r="G5" i="21"/>
  <c r="F5" i="21"/>
  <c r="Q10" i="21"/>
  <c r="AA37" i="26" s="1"/>
  <c r="AA17" i="26" s="1"/>
  <c r="P10" i="21"/>
  <c r="S41" i="21" s="1"/>
  <c r="O10" i="21"/>
  <c r="Y37" i="26" s="1"/>
  <c r="Y17" i="26" s="1"/>
  <c r="H140" i="48"/>
  <c r="L11" i="38"/>
  <c r="Q42" i="38"/>
  <c r="D8" i="21"/>
  <c r="S42" i="21"/>
  <c r="C16" i="5"/>
  <c r="T38" i="21"/>
  <c r="S38" i="21"/>
  <c r="R38" i="21"/>
  <c r="Q38" i="21"/>
  <c r="P38" i="21"/>
  <c r="O38" i="21"/>
  <c r="N38" i="21"/>
  <c r="V38" i="21"/>
  <c r="V3" i="21"/>
  <c r="F10" i="5"/>
  <c r="V5" i="21" s="1"/>
  <c r="AF24" i="59" s="1"/>
  <c r="F15" i="35" s="1"/>
  <c r="G17" i="55" s="1"/>
  <c r="Q43" i="38"/>
  <c r="O17" i="40"/>
  <c r="O15" i="40"/>
  <c r="D16" i="5"/>
  <c r="I24" i="21"/>
  <c r="I18" i="21"/>
  <c r="F6" i="21"/>
  <c r="H18" i="21"/>
  <c r="G24" i="21"/>
  <c r="G18" i="21"/>
  <c r="G23" i="21"/>
  <c r="Q41" i="30" s="1"/>
  <c r="Q24" i="30" s="1"/>
  <c r="Q15" i="30" s="1"/>
  <c r="I19" i="21"/>
  <c r="S37" i="30" s="1"/>
  <c r="F18" i="21"/>
  <c r="H19" i="21"/>
  <c r="R37" i="30" s="1"/>
  <c r="I20" i="21"/>
  <c r="S38" i="30" s="1"/>
  <c r="G19" i="21"/>
  <c r="Q37" i="30" s="1"/>
  <c r="G20" i="21"/>
  <c r="Q38" i="30" s="1"/>
  <c r="I6" i="21"/>
  <c r="H6" i="21"/>
  <c r="H24" i="21" s="1"/>
  <c r="G6" i="21"/>
  <c r="M10" i="21"/>
  <c r="W37" i="26" s="1"/>
  <c r="W17" i="26" s="1"/>
  <c r="L10" i="21"/>
  <c r="V37" i="26" s="1"/>
  <c r="V17" i="26" s="1"/>
  <c r="K10" i="21"/>
  <c r="U36" i="21" s="1"/>
  <c r="J10" i="21"/>
  <c r="R5" i="21"/>
  <c r="O27" i="38"/>
  <c r="R37" i="38"/>
  <c r="R40" i="38"/>
  <c r="P56" i="38"/>
  <c r="J14" i="40"/>
  <c r="P14" i="40"/>
  <c r="P16" i="40" s="1"/>
  <c r="F5" i="5"/>
  <c r="M12" i="21"/>
  <c r="L12" i="21"/>
  <c r="K12" i="21"/>
  <c r="J12" i="21"/>
  <c r="E82" i="21" s="1"/>
  <c r="O3" i="21"/>
  <c r="K21" i="21"/>
  <c r="K23" i="21"/>
  <c r="U41" i="30" s="1"/>
  <c r="N10" i="21"/>
  <c r="G81" i="21"/>
  <c r="AF77" i="70"/>
  <c r="M15" i="38"/>
  <c r="N15" i="38" s="1"/>
  <c r="P27" i="38"/>
  <c r="Q27" i="38" s="1"/>
  <c r="P32" i="38"/>
  <c r="C21" i="21"/>
  <c r="M39" i="30" s="1"/>
  <c r="C23" i="21"/>
  <c r="M41" i="30" s="1"/>
  <c r="P3" i="21"/>
  <c r="V49" i="21"/>
  <c r="S17" i="6"/>
  <c r="T15" i="40"/>
  <c r="L17" i="40"/>
  <c r="H16" i="5"/>
  <c r="C7" i="21"/>
  <c r="I9" i="21"/>
  <c r="H9" i="21"/>
  <c r="F9" i="21"/>
  <c r="T4" i="21"/>
  <c r="AD25" i="59" s="1"/>
  <c r="AD30" i="59" s="1"/>
  <c r="S4" i="21"/>
  <c r="R4" i="21"/>
  <c r="U4" i="21"/>
  <c r="AE25" i="59" s="1"/>
  <c r="AE30" i="59" s="1"/>
  <c r="Q3" i="21"/>
  <c r="Q13" i="21"/>
  <c r="Q14" i="21" s="1"/>
  <c r="D7" i="21"/>
  <c r="D81" i="21"/>
  <c r="U6" i="21"/>
  <c r="AE45" i="30" s="1"/>
  <c r="E7" i="35" s="1"/>
  <c r="F9" i="55" s="1"/>
  <c r="C13" i="21"/>
  <c r="T42" i="21"/>
  <c r="H4" i="21"/>
  <c r="O7" i="21"/>
  <c r="D9" i="21"/>
  <c r="R9" i="21"/>
  <c r="D11" i="21"/>
  <c r="D13" i="21"/>
  <c r="D14" i="21" s="1"/>
  <c r="R13" i="21"/>
  <c r="K18" i="21"/>
  <c r="L23" i="21"/>
  <c r="V41" i="30" s="1"/>
  <c r="V24" i="30" s="1"/>
  <c r="K24" i="21"/>
  <c r="P36" i="21"/>
  <c r="U42" i="21"/>
  <c r="T51" i="21"/>
  <c r="E1" i="21"/>
  <c r="E3" i="21" s="1"/>
  <c r="W3" i="21" s="1"/>
  <c r="I4" i="21"/>
  <c r="P7" i="21"/>
  <c r="S9" i="21"/>
  <c r="S13" i="21"/>
  <c r="S14" i="21" s="1"/>
  <c r="C20" i="21"/>
  <c r="M38" i="30" s="1"/>
  <c r="M23" i="21"/>
  <c r="W41" i="30" s="1"/>
  <c r="W24" i="30" s="1"/>
  <c r="L24" i="21"/>
  <c r="J6" i="21"/>
  <c r="T13" i="21"/>
  <c r="T14" i="21" s="1"/>
  <c r="M18" i="21"/>
  <c r="D20" i="21"/>
  <c r="N38" i="30" s="1"/>
  <c r="M24" i="21"/>
  <c r="R36" i="21"/>
  <c r="L6" i="21"/>
  <c r="S7" i="21"/>
  <c r="G77" i="21" s="1"/>
  <c r="O12" i="21"/>
  <c r="F82" i="21" s="1"/>
  <c r="V13" i="21"/>
  <c r="V14" i="21" s="1"/>
  <c r="V15" i="21" s="1"/>
  <c r="D19" i="21"/>
  <c r="N37" i="30" s="1"/>
  <c r="O24" i="21"/>
  <c r="Q23" i="21"/>
  <c r="P24" i="21"/>
  <c r="R14" i="40"/>
  <c r="V16" i="6"/>
  <c r="N4" i="21"/>
  <c r="N6" i="21"/>
  <c r="G7" i="21"/>
  <c r="D77" i="21" s="1"/>
  <c r="J9" i="21"/>
  <c r="J13" i="21"/>
  <c r="C18" i="21"/>
  <c r="D23" i="21"/>
  <c r="N41" i="30" s="1"/>
  <c r="C24" i="21"/>
  <c r="M42" i="30" s="1"/>
  <c r="Q24" i="21"/>
  <c r="H3" i="21"/>
  <c r="O4" i="21"/>
  <c r="O6" i="21"/>
  <c r="R17" i="6"/>
  <c r="P4" i="21"/>
  <c r="P6" i="21"/>
  <c r="Z45" i="30" s="1"/>
  <c r="S6" i="50" s="1"/>
  <c r="L9" i="21"/>
  <c r="S10" i="21"/>
  <c r="AC37" i="26" s="1"/>
  <c r="AC17" i="26" s="1"/>
  <c r="S12" i="21"/>
  <c r="L13" i="21"/>
  <c r="L14" i="21" s="1"/>
  <c r="J20" i="21"/>
  <c r="T38" i="30" s="1"/>
  <c r="J7" i="21"/>
  <c r="F10" i="21"/>
  <c r="T10" i="21"/>
  <c r="AD37" i="26" s="1"/>
  <c r="AD17" i="26" s="1"/>
  <c r="F12" i="21"/>
  <c r="T12" i="21"/>
  <c r="M13" i="21"/>
  <c r="M14" i="21" s="1"/>
  <c r="K20" i="21"/>
  <c r="U38" i="30" s="1"/>
  <c r="AD75" i="30" s="1"/>
  <c r="E5" i="5"/>
  <c r="R6" i="21"/>
  <c r="K7" i="21"/>
  <c r="N9" i="21"/>
  <c r="G10" i="21"/>
  <c r="Q37" i="26" s="1"/>
  <c r="Q17" i="26" s="1"/>
  <c r="G12" i="21"/>
  <c r="N13" i="21"/>
  <c r="L20" i="21"/>
  <c r="V38" i="30" s="1"/>
  <c r="S6" i="21"/>
  <c r="AC45" i="30" s="1"/>
  <c r="L7" i="21"/>
  <c r="O9" i="21"/>
  <c r="H10" i="21"/>
  <c r="R37" i="26" s="1"/>
  <c r="R17" i="26" s="1"/>
  <c r="H12" i="21"/>
  <c r="O13" i="21"/>
  <c r="O14" i="21" s="1"/>
  <c r="M20" i="21"/>
  <c r="W38" i="30" s="1"/>
  <c r="R42" i="21"/>
  <c r="J114" i="48" l="1"/>
  <c r="T26" i="48"/>
  <c r="J97" i="48"/>
  <c r="K97" i="48" s="1"/>
  <c r="L97" i="48" s="1"/>
  <c r="R26" i="48"/>
  <c r="U130" i="48"/>
  <c r="T130" i="48"/>
  <c r="AC114" i="48"/>
  <c r="AD114" i="48" s="1"/>
  <c r="AE114" i="48" s="1"/>
  <c r="AF114" i="48" s="1"/>
  <c r="AG114" i="48" s="1"/>
  <c r="AH114" i="48" s="1"/>
  <c r="AI114" i="48" s="1"/>
  <c r="AJ114" i="48" s="1"/>
  <c r="AK114" i="48" s="1"/>
  <c r="AL114" i="48" s="1"/>
  <c r="AM114" i="48" s="1"/>
  <c r="AN114" i="48" s="1"/>
  <c r="G139" i="48"/>
  <c r="H38" i="48"/>
  <c r="O49" i="48" s="1"/>
  <c r="K26" i="48"/>
  <c r="U26" i="48"/>
  <c r="I97" i="48"/>
  <c r="H40" i="48"/>
  <c r="N51" i="48" s="1"/>
  <c r="J130" i="48"/>
  <c r="K139" i="48"/>
  <c r="G26" i="48"/>
  <c r="G130" i="48"/>
  <c r="G131" i="48"/>
  <c r="AA130" i="48"/>
  <c r="R139" i="48"/>
  <c r="R130" i="48"/>
  <c r="Q130" i="48"/>
  <c r="Q139" i="48"/>
  <c r="AD21" i="48"/>
  <c r="AD27" i="48" s="1"/>
  <c r="H130" i="48"/>
  <c r="P139" i="48"/>
  <c r="K144" i="48"/>
  <c r="O114" i="48"/>
  <c r="W26" i="48"/>
  <c r="M144" i="48"/>
  <c r="X114" i="48"/>
  <c r="S26" i="48"/>
  <c r="E31" i="55"/>
  <c r="E127" i="55" s="1"/>
  <c r="AD52" i="70"/>
  <c r="AD18" i="70"/>
  <c r="AD26" i="70" s="1"/>
  <c r="C5" i="71" s="1"/>
  <c r="J92" i="55"/>
  <c r="AN14" i="20"/>
  <c r="AH14" i="70"/>
  <c r="AH24" i="70" s="1"/>
  <c r="G3" i="71" s="1"/>
  <c r="I29" i="55"/>
  <c r="AN51" i="70"/>
  <c r="AN16" i="70"/>
  <c r="AN25" i="70" s="1"/>
  <c r="AD12" i="20"/>
  <c r="AD15" i="20" s="1"/>
  <c r="AA15" i="20"/>
  <c r="AH51" i="70"/>
  <c r="AH16" i="70"/>
  <c r="AH25" i="70" s="1"/>
  <c r="G4" i="71" s="1"/>
  <c r="I30" i="55"/>
  <c r="AF12" i="70"/>
  <c r="AF23" i="70" s="1"/>
  <c r="E2" i="71" s="1"/>
  <c r="G28" i="55"/>
  <c r="F124" i="55"/>
  <c r="F92" i="55"/>
  <c r="AG14" i="70"/>
  <c r="AG24" i="70" s="1"/>
  <c r="F3" i="71" s="1"/>
  <c r="H29" i="55"/>
  <c r="I92" i="55"/>
  <c r="I124" i="55"/>
  <c r="E95" i="55"/>
  <c r="Y12" i="20"/>
  <c r="Y15" i="20" s="1"/>
  <c r="G30" i="55"/>
  <c r="AF16" i="70"/>
  <c r="AF25" i="70" s="1"/>
  <c r="E4" i="71" s="1"/>
  <c r="AF51" i="70"/>
  <c r="V12" i="20"/>
  <c r="V15" i="20" s="1"/>
  <c r="Z14" i="20"/>
  <c r="H30" i="55"/>
  <c r="AG51" i="70"/>
  <c r="AG16" i="70"/>
  <c r="AG25" i="70" s="1"/>
  <c r="F4" i="71" s="1"/>
  <c r="AL51" i="70"/>
  <c r="AL16" i="70"/>
  <c r="AL25" i="70" s="1"/>
  <c r="AG14" i="20"/>
  <c r="AJ14" i="70"/>
  <c r="AJ24" i="70" s="1"/>
  <c r="I3" i="71" s="1"/>
  <c r="K29" i="55"/>
  <c r="AF14" i="70"/>
  <c r="AF24" i="70" s="1"/>
  <c r="E3" i="71" s="1"/>
  <c r="G29" i="55"/>
  <c r="AK12" i="70"/>
  <c r="AK23" i="70" s="1"/>
  <c r="J2" i="71" s="1"/>
  <c r="L28" i="55"/>
  <c r="AE14" i="20"/>
  <c r="E30" i="55"/>
  <c r="AD16" i="70"/>
  <c r="AD25" i="70" s="1"/>
  <c r="C4" i="71" s="1"/>
  <c r="AM16" i="70"/>
  <c r="AM25" i="70" s="1"/>
  <c r="AM51" i="70"/>
  <c r="AG12" i="70"/>
  <c r="AG23" i="70" s="1"/>
  <c r="F2" i="71" s="1"/>
  <c r="H28" i="55"/>
  <c r="D102" i="55"/>
  <c r="I17" i="20"/>
  <c r="AE11" i="20"/>
  <c r="AE12" i="20" s="1"/>
  <c r="D4" i="35"/>
  <c r="E6" i="55" s="1"/>
  <c r="AF131" i="48"/>
  <c r="AF23" i="48" s="1"/>
  <c r="AE130" i="48"/>
  <c r="P20" i="25"/>
  <c r="P14" i="59" s="1"/>
  <c r="P63" i="59" s="1"/>
  <c r="Q98" i="75"/>
  <c r="Q27" i="75"/>
  <c r="AE14" i="59"/>
  <c r="E8" i="35"/>
  <c r="F10" i="55" s="1"/>
  <c r="H31" i="59"/>
  <c r="I18" i="49"/>
  <c r="I19" i="49" s="1"/>
  <c r="I20" i="49" s="1"/>
  <c r="AF14" i="59"/>
  <c r="F8" i="35"/>
  <c r="G10" i="55" s="1"/>
  <c r="R14" i="59"/>
  <c r="R63" i="59" s="1"/>
  <c r="R20" i="25"/>
  <c r="R14" i="75" s="1"/>
  <c r="D27" i="75"/>
  <c r="D26" i="75" s="1"/>
  <c r="D29" i="75" s="1"/>
  <c r="D98" i="75"/>
  <c r="D97" i="75" s="1"/>
  <c r="D100" i="75" s="1"/>
  <c r="D101" i="75"/>
  <c r="D39" i="75" s="1"/>
  <c r="AE13" i="33"/>
  <c r="AD13" i="33"/>
  <c r="AD10" i="33" s="1"/>
  <c r="AJ31" i="80" s="1"/>
  <c r="AB13" i="33"/>
  <c r="AC13" i="33"/>
  <c r="J40" i="59"/>
  <c r="G32" i="21"/>
  <c r="C25" i="21"/>
  <c r="M43" i="30" s="1"/>
  <c r="M36" i="30"/>
  <c r="H20" i="21"/>
  <c r="R38" i="30" s="1"/>
  <c r="R41" i="21"/>
  <c r="N16" i="40"/>
  <c r="N15" i="40"/>
  <c r="J35" i="48"/>
  <c r="I68" i="48"/>
  <c r="I75" i="48" s="1"/>
  <c r="I40" i="48"/>
  <c r="L52" i="78"/>
  <c r="K131" i="48"/>
  <c r="W13" i="33"/>
  <c r="V13" i="33"/>
  <c r="U13" i="33"/>
  <c r="T13" i="33"/>
  <c r="M34" i="75"/>
  <c r="M24" i="75"/>
  <c r="H32" i="21"/>
  <c r="AJ53" i="20"/>
  <c r="J3" i="35"/>
  <c r="K5" i="55" s="1"/>
  <c r="Z46" i="30"/>
  <c r="G98" i="75"/>
  <c r="G97" i="75" s="1"/>
  <c r="G100" i="75" s="1"/>
  <c r="G27" i="75"/>
  <c r="G26" i="75" s="1"/>
  <c r="G29" i="75" s="1"/>
  <c r="T53" i="20"/>
  <c r="M9" i="50"/>
  <c r="L54" i="20"/>
  <c r="L55" i="20" s="1"/>
  <c r="E2" i="50"/>
  <c r="N36" i="30"/>
  <c r="AD14" i="70"/>
  <c r="AD24" i="70" s="1"/>
  <c r="C3" i="71" s="1"/>
  <c r="E29" i="55"/>
  <c r="P51" i="48"/>
  <c r="O51" i="48"/>
  <c r="L48" i="75"/>
  <c r="L15" i="21"/>
  <c r="V36" i="26"/>
  <c r="Q36" i="21"/>
  <c r="O15" i="21"/>
  <c r="Y36" i="26"/>
  <c r="G76" i="21"/>
  <c r="AB45" i="30"/>
  <c r="E83" i="21"/>
  <c r="J14" i="21"/>
  <c r="U36" i="30"/>
  <c r="AD73" i="30" s="1"/>
  <c r="Q15" i="21"/>
  <c r="AA36" i="26"/>
  <c r="AA33" i="26" s="1"/>
  <c r="F80" i="21"/>
  <c r="X37" i="26"/>
  <c r="X17" i="26" s="1"/>
  <c r="D76" i="21"/>
  <c r="F21" i="21"/>
  <c r="P45" i="30"/>
  <c r="N36" i="21"/>
  <c r="AE51" i="70"/>
  <c r="AE16" i="70"/>
  <c r="AE25" i="70" s="1"/>
  <c r="D4" i="71" s="1"/>
  <c r="F30" i="55"/>
  <c r="Q5" i="21"/>
  <c r="P5" i="21"/>
  <c r="O5" i="21"/>
  <c r="N5" i="21"/>
  <c r="N17" i="40"/>
  <c r="J33" i="48"/>
  <c r="I38" i="48"/>
  <c r="I66" i="48"/>
  <c r="I73" i="48" s="1"/>
  <c r="AD12" i="70"/>
  <c r="E28" i="55"/>
  <c r="E92" i="55" s="1"/>
  <c r="AJ16" i="70"/>
  <c r="AJ25" i="70" s="1"/>
  <c r="I4" i="71" s="1"/>
  <c r="AJ51" i="70"/>
  <c r="K30" i="55"/>
  <c r="J66" i="38"/>
  <c r="J69" i="38"/>
  <c r="Y104" i="75"/>
  <c r="Y106" i="75" s="1"/>
  <c r="Y105" i="75" s="1"/>
  <c r="W85" i="75"/>
  <c r="V34" i="75"/>
  <c r="V24" i="75"/>
  <c r="V32" i="21"/>
  <c r="N76" i="26"/>
  <c r="O28" i="26"/>
  <c r="N27" i="26"/>
  <c r="N15" i="26"/>
  <c r="N20" i="26" s="1"/>
  <c r="N78" i="26" s="1"/>
  <c r="Z53" i="20"/>
  <c r="S9" i="50"/>
  <c r="AD14" i="59"/>
  <c r="D8" i="35"/>
  <c r="E10" i="55" s="1"/>
  <c r="Q45" i="75"/>
  <c r="Q46" i="75" s="1"/>
  <c r="Q48" i="75" s="1"/>
  <c r="Q37" i="59"/>
  <c r="Q38" i="59" s="1"/>
  <c r="Q40" i="59" s="1"/>
  <c r="Q30" i="49"/>
  <c r="E23" i="21"/>
  <c r="O41" i="30" s="1"/>
  <c r="E19" i="21"/>
  <c r="O37" i="30" s="1"/>
  <c r="E21" i="21"/>
  <c r="E20" i="21"/>
  <c r="O38" i="30" s="1"/>
  <c r="O45" i="30"/>
  <c r="AD78" i="30"/>
  <c r="U24" i="30"/>
  <c r="AD61" i="30" s="1"/>
  <c r="E66" i="59"/>
  <c r="E31" i="59" s="1"/>
  <c r="J34" i="75"/>
  <c r="J99" i="75" s="1"/>
  <c r="J24" i="75"/>
  <c r="J28" i="75" s="1"/>
  <c r="I32" i="21"/>
  <c r="Q13" i="30"/>
  <c r="Q12" i="30" s="1"/>
  <c r="E45" i="75"/>
  <c r="E46" i="75" s="1"/>
  <c r="E48" i="75" s="1"/>
  <c r="E37" i="59"/>
  <c r="E38" i="59" s="1"/>
  <c r="E30" i="49"/>
  <c r="D45" i="75"/>
  <c r="D46" i="75" s="1"/>
  <c r="D37" i="59"/>
  <c r="D38" i="59" s="1"/>
  <c r="D30" i="49"/>
  <c r="F20" i="49"/>
  <c r="T42" i="38"/>
  <c r="P41" i="38"/>
  <c r="R41" i="38" s="1"/>
  <c r="S139" i="48"/>
  <c r="S114" i="48"/>
  <c r="S130" i="48"/>
  <c r="O139" i="48"/>
  <c r="I26" i="48"/>
  <c r="L34" i="75"/>
  <c r="L99" i="75" s="1"/>
  <c r="L24" i="75"/>
  <c r="L28" i="75" s="1"/>
  <c r="H39" i="75"/>
  <c r="U103" i="75"/>
  <c r="U102" i="75" s="1"/>
  <c r="N24" i="75"/>
  <c r="N34" i="75"/>
  <c r="J32" i="21"/>
  <c r="P40" i="59"/>
  <c r="AH53" i="20"/>
  <c r="H3" i="35"/>
  <c r="I5" i="55" s="1"/>
  <c r="D108" i="55"/>
  <c r="D76" i="55"/>
  <c r="AA20" i="26"/>
  <c r="AA78" i="26" s="1"/>
  <c r="D47" i="26"/>
  <c r="E47" i="26" s="1"/>
  <c r="AI53" i="20"/>
  <c r="I3" i="35"/>
  <c r="J5" i="55" s="1"/>
  <c r="K36" i="21"/>
  <c r="Q37" i="21"/>
  <c r="P37" i="21"/>
  <c r="O37" i="21"/>
  <c r="N37" i="21"/>
  <c r="M37" i="21"/>
  <c r="L37" i="21"/>
  <c r="U37" i="21"/>
  <c r="T37" i="21"/>
  <c r="S37" i="21"/>
  <c r="R37" i="21"/>
  <c r="V37" i="21"/>
  <c r="V35" i="26"/>
  <c r="D15" i="21"/>
  <c r="N36" i="26"/>
  <c r="V51" i="21"/>
  <c r="V50" i="21"/>
  <c r="G75" i="21"/>
  <c r="AB32" i="75"/>
  <c r="AB24" i="59"/>
  <c r="P41" i="21"/>
  <c r="Z37" i="26"/>
  <c r="U41" i="21"/>
  <c r="C78" i="21"/>
  <c r="R40" i="21"/>
  <c r="Q40" i="21"/>
  <c r="P40" i="21"/>
  <c r="O40" i="21"/>
  <c r="V40" i="21"/>
  <c r="U40" i="21"/>
  <c r="T40" i="21"/>
  <c r="S40" i="21"/>
  <c r="Y35" i="26"/>
  <c r="F76" i="21"/>
  <c r="N24" i="21"/>
  <c r="X45" i="30"/>
  <c r="L21" i="21"/>
  <c r="V45" i="30"/>
  <c r="L18" i="21"/>
  <c r="E16" i="35"/>
  <c r="F18" i="55" s="1"/>
  <c r="K22" i="21"/>
  <c r="U40" i="30" s="1"/>
  <c r="AD77" i="30" s="1"/>
  <c r="U39" i="30"/>
  <c r="AD76" i="30" s="1"/>
  <c r="E80" i="21"/>
  <c r="T37" i="26"/>
  <c r="T17" i="26" s="1"/>
  <c r="F23" i="21"/>
  <c r="P41" i="30" s="1"/>
  <c r="P24" i="30" s="1"/>
  <c r="V41" i="21"/>
  <c r="AJ12" i="70"/>
  <c r="AJ23" i="70" s="1"/>
  <c r="I2" i="71" s="1"/>
  <c r="K28" i="55"/>
  <c r="W13" i="30"/>
  <c r="W12" i="30" s="1"/>
  <c r="F14" i="21"/>
  <c r="D83" i="21"/>
  <c r="AI14" i="70"/>
  <c r="AI24" i="70" s="1"/>
  <c r="H3" i="71" s="1"/>
  <c r="J29" i="55"/>
  <c r="K40" i="59"/>
  <c r="O34" i="75"/>
  <c r="O24" i="75"/>
  <c r="Q32" i="21"/>
  <c r="K32" i="21"/>
  <c r="M16" i="26"/>
  <c r="M20" i="26" s="1"/>
  <c r="M78" i="26" s="1"/>
  <c r="AO32" i="26"/>
  <c r="N48" i="75"/>
  <c r="AD37" i="59"/>
  <c r="AD29" i="49"/>
  <c r="AD30" i="49"/>
  <c r="AE27" i="49"/>
  <c r="D11" i="35"/>
  <c r="AD15" i="30"/>
  <c r="AE17" i="30"/>
  <c r="AD13" i="30"/>
  <c r="R48" i="75"/>
  <c r="L14" i="59"/>
  <c r="L63" i="59" s="1"/>
  <c r="L62" i="59" s="1"/>
  <c r="L65" i="59" s="1"/>
  <c r="L14" i="75"/>
  <c r="Q14" i="59"/>
  <c r="Q63" i="59" s="1"/>
  <c r="AB53" i="20"/>
  <c r="U9" i="50"/>
  <c r="X53" i="20"/>
  <c r="Q9" i="50"/>
  <c r="D43" i="26"/>
  <c r="E62" i="59"/>
  <c r="E65" i="59" s="1"/>
  <c r="E74" i="59" s="1"/>
  <c r="E29" i="59" s="1"/>
  <c r="T14" i="75"/>
  <c r="T14" i="59"/>
  <c r="T63" i="59" s="1"/>
  <c r="C43" i="26"/>
  <c r="E45" i="26"/>
  <c r="E43" i="26" s="1"/>
  <c r="E101" i="75"/>
  <c r="E39" i="75" s="1"/>
  <c r="E98" i="75"/>
  <c r="E97" i="75" s="1"/>
  <c r="E100" i="75" s="1"/>
  <c r="E27" i="75"/>
  <c r="E26" i="75" s="1"/>
  <c r="E29" i="75" s="1"/>
  <c r="F74" i="21"/>
  <c r="X25" i="59"/>
  <c r="X30" i="59" s="1"/>
  <c r="Q5" i="50" s="1"/>
  <c r="X33" i="75"/>
  <c r="X38" i="75" s="1"/>
  <c r="X23" i="75"/>
  <c r="S15" i="21"/>
  <c r="AC36" i="26"/>
  <c r="D75" i="21"/>
  <c r="P32" i="75"/>
  <c r="P99" i="75" s="1"/>
  <c r="P24" i="59"/>
  <c r="H15" i="21"/>
  <c r="R36" i="26"/>
  <c r="O31" i="38"/>
  <c r="Q31" i="38" s="1"/>
  <c r="S32" i="38"/>
  <c r="L32" i="21"/>
  <c r="C7" i="35"/>
  <c r="D9" i="55" s="1"/>
  <c r="V6" i="50"/>
  <c r="U29" i="21"/>
  <c r="G29" i="21"/>
  <c r="T29" i="21"/>
  <c r="F29" i="21"/>
  <c r="S29" i="21"/>
  <c r="E29" i="21"/>
  <c r="R29" i="21"/>
  <c r="D29" i="21"/>
  <c r="D28" i="21" s="1"/>
  <c r="Q29" i="21"/>
  <c r="P29" i="21"/>
  <c r="O29" i="21"/>
  <c r="N29" i="21"/>
  <c r="M29" i="21"/>
  <c r="K29" i="21"/>
  <c r="J29" i="21"/>
  <c r="I29" i="21"/>
  <c r="V29" i="21"/>
  <c r="H29" i="21"/>
  <c r="L29" i="21"/>
  <c r="N35" i="26"/>
  <c r="N32" i="21"/>
  <c r="Q42" i="21"/>
  <c r="O23" i="21"/>
  <c r="Y45" i="30"/>
  <c r="I67" i="48"/>
  <c r="I74" i="48" s="1"/>
  <c r="J34" i="48"/>
  <c r="I39" i="48"/>
  <c r="AC18" i="70"/>
  <c r="AC26" i="70" s="1"/>
  <c r="D31" i="55"/>
  <c r="D120" i="55"/>
  <c r="D88" i="55"/>
  <c r="S17" i="38"/>
  <c r="L16" i="38"/>
  <c r="N16" i="38" s="1"/>
  <c r="O32" i="21"/>
  <c r="AE10" i="48"/>
  <c r="F63" i="59"/>
  <c r="F62" i="59" s="1"/>
  <c r="F65" i="59" s="1"/>
  <c r="F74" i="59" s="1"/>
  <c r="F29" i="59" s="1"/>
  <c r="F33" i="59" s="1"/>
  <c r="W15" i="30"/>
  <c r="AB63" i="59"/>
  <c r="AC53" i="20"/>
  <c r="C3" i="35"/>
  <c r="D5" i="55" s="1"/>
  <c r="V9" i="50"/>
  <c r="D20" i="49"/>
  <c r="F73" i="55"/>
  <c r="F105" i="55"/>
  <c r="C4" i="21"/>
  <c r="E16" i="5"/>
  <c r="G80" i="21"/>
  <c r="K17" i="40"/>
  <c r="K15" i="40"/>
  <c r="M15" i="21"/>
  <c r="W36" i="26"/>
  <c r="W33" i="26" s="1"/>
  <c r="G74" i="21"/>
  <c r="AB33" i="75"/>
  <c r="AB38" i="75" s="1"/>
  <c r="AB23" i="75"/>
  <c r="AB25" i="59"/>
  <c r="AB30" i="59" s="1"/>
  <c r="P36" i="30"/>
  <c r="AC26" i="48"/>
  <c r="C19" i="35"/>
  <c r="D21" i="55" s="1"/>
  <c r="V17" i="6"/>
  <c r="U51" i="21"/>
  <c r="U50" i="21"/>
  <c r="V44" i="21"/>
  <c r="U44" i="21"/>
  <c r="T44" i="21"/>
  <c r="S44" i="21"/>
  <c r="AC35" i="26"/>
  <c r="C76" i="21"/>
  <c r="Q32" i="75"/>
  <c r="Q99" i="75" s="1"/>
  <c r="Q24" i="59"/>
  <c r="I15" i="21"/>
  <c r="S36" i="26"/>
  <c r="S116" i="48"/>
  <c r="S144" i="48"/>
  <c r="AI52" i="70"/>
  <c r="AI18" i="70"/>
  <c r="AI26" i="70" s="1"/>
  <c r="H5" i="71" s="1"/>
  <c r="J31" i="55"/>
  <c r="K130" i="48"/>
  <c r="F37" i="59"/>
  <c r="F38" i="59" s="1"/>
  <c r="F40" i="59" s="1"/>
  <c r="F30" i="49"/>
  <c r="F45" i="75"/>
  <c r="F46" i="75" s="1"/>
  <c r="F48" i="75" s="1"/>
  <c r="D82" i="21"/>
  <c r="R16" i="40"/>
  <c r="R15" i="40"/>
  <c r="N23" i="21"/>
  <c r="X41" i="30" s="1"/>
  <c r="X24" i="30" s="1"/>
  <c r="D16" i="35"/>
  <c r="E18" i="55" s="1"/>
  <c r="W6" i="21"/>
  <c r="U38" i="21"/>
  <c r="R32" i="75"/>
  <c r="R24" i="59"/>
  <c r="K56" i="38"/>
  <c r="AD74" i="30"/>
  <c r="U20" i="30"/>
  <c r="AE14" i="70"/>
  <c r="AE24" i="70" s="1"/>
  <c r="D3" i="71" s="1"/>
  <c r="F29" i="55"/>
  <c r="L36" i="21"/>
  <c r="Y33" i="75"/>
  <c r="Y38" i="75" s="1"/>
  <c r="Y23" i="75"/>
  <c r="Y25" i="59"/>
  <c r="Y30" i="59" s="1"/>
  <c r="R5" i="50" s="1"/>
  <c r="S33" i="75"/>
  <c r="S38" i="75" s="1"/>
  <c r="S25" i="59"/>
  <c r="S30" i="59" s="1"/>
  <c r="L5" i="50" s="1"/>
  <c r="S23" i="75"/>
  <c r="R33" i="75"/>
  <c r="R38" i="75" s="1"/>
  <c r="R25" i="59"/>
  <c r="R30" i="59" s="1"/>
  <c r="K5" i="50" s="1"/>
  <c r="R23" i="75"/>
  <c r="N19" i="21"/>
  <c r="G21" i="21"/>
  <c r="Q45" i="30"/>
  <c r="F24" i="21"/>
  <c r="D74" i="21"/>
  <c r="S32" i="75"/>
  <c r="S24" i="59"/>
  <c r="E75" i="21"/>
  <c r="L19" i="21"/>
  <c r="V37" i="30" s="1"/>
  <c r="V20" i="30" s="1"/>
  <c r="M17" i="40"/>
  <c r="S131" i="48"/>
  <c r="M116" i="48"/>
  <c r="Y114" i="48"/>
  <c r="I65" i="48"/>
  <c r="I72" i="48" s="1"/>
  <c r="J32" i="48"/>
  <c r="I36" i="48"/>
  <c r="AE133" i="48"/>
  <c r="AD25" i="48"/>
  <c r="D22" i="35" s="1"/>
  <c r="E24" i="55" s="1"/>
  <c r="AF12" i="49"/>
  <c r="P32" i="21"/>
  <c r="O48" i="75"/>
  <c r="F98" i="75"/>
  <c r="F97" i="75" s="1"/>
  <c r="F100" i="75" s="1"/>
  <c r="F109" i="75" s="1"/>
  <c r="F37" i="75" s="1"/>
  <c r="F41" i="75" s="1"/>
  <c r="F27" i="75"/>
  <c r="F26" i="75" s="1"/>
  <c r="F29" i="75" s="1"/>
  <c r="AD53" i="20"/>
  <c r="D3" i="35"/>
  <c r="E5" i="55" s="1"/>
  <c r="D14" i="59"/>
  <c r="J14" i="75"/>
  <c r="J14" i="59"/>
  <c r="J63" i="59" s="1"/>
  <c r="J62" i="59" s="1"/>
  <c r="J65" i="59" s="1"/>
  <c r="U14" i="75"/>
  <c r="U14" i="59"/>
  <c r="U63" i="59" s="1"/>
  <c r="V21" i="25"/>
  <c r="R36" i="30"/>
  <c r="L35" i="21"/>
  <c r="K35" i="21"/>
  <c r="J35" i="21"/>
  <c r="V35" i="21"/>
  <c r="U35" i="21"/>
  <c r="T35" i="21"/>
  <c r="S35" i="21"/>
  <c r="R35" i="21"/>
  <c r="P35" i="21"/>
  <c r="O35" i="21"/>
  <c r="N35" i="21"/>
  <c r="M35" i="21"/>
  <c r="Q35" i="21"/>
  <c r="E79" i="21"/>
  <c r="T35" i="26"/>
  <c r="G83" i="21"/>
  <c r="R14" i="21"/>
  <c r="S36" i="30"/>
  <c r="I66" i="38"/>
  <c r="I69" i="38"/>
  <c r="P34" i="75"/>
  <c r="P24" i="75"/>
  <c r="P28" i="75" s="1"/>
  <c r="M32" i="21"/>
  <c r="AC33" i="75"/>
  <c r="AC38" i="75" s="1"/>
  <c r="AC23" i="75"/>
  <c r="AC25" i="59"/>
  <c r="AC30" i="59" s="1"/>
  <c r="D4" i="21"/>
  <c r="Q36" i="30"/>
  <c r="K69" i="38"/>
  <c r="K66" i="38"/>
  <c r="G15" i="21"/>
  <c r="Q36" i="26"/>
  <c r="Q33" i="26" s="1"/>
  <c r="U32" i="75"/>
  <c r="U24" i="59"/>
  <c r="C81" i="21"/>
  <c r="K114" i="48"/>
  <c r="H65" i="48"/>
  <c r="H72" i="48" s="1"/>
  <c r="H36" i="48"/>
  <c r="P114" i="48"/>
  <c r="R32" i="21"/>
  <c r="O40" i="59"/>
  <c r="K54" i="20"/>
  <c r="K55" i="20" s="1"/>
  <c r="D2" i="50"/>
  <c r="AE53" i="20"/>
  <c r="E3" i="35"/>
  <c r="F5" i="55" s="1"/>
  <c r="AA63" i="59"/>
  <c r="H63" i="59"/>
  <c r="H62" i="59" s="1"/>
  <c r="H65" i="59" s="1"/>
  <c r="H74" i="59" s="1"/>
  <c r="H29" i="59" s="1"/>
  <c r="M14" i="59"/>
  <c r="M63" i="59" s="1"/>
  <c r="M14" i="75"/>
  <c r="P48" i="75"/>
  <c r="V14" i="40"/>
  <c r="J17" i="40"/>
  <c r="D15" i="35"/>
  <c r="E17" i="55" s="1"/>
  <c r="AD20" i="70"/>
  <c r="AD27" i="70" s="1"/>
  <c r="C6" i="71" s="1"/>
  <c r="E32" i="55"/>
  <c r="Z25" i="59"/>
  <c r="Z30" i="59" s="1"/>
  <c r="S5" i="50" s="1"/>
  <c r="Z33" i="75"/>
  <c r="Z38" i="75" s="1"/>
  <c r="Z23" i="75"/>
  <c r="V43" i="21"/>
  <c r="G79" i="21"/>
  <c r="U43" i="21"/>
  <c r="T43" i="21"/>
  <c r="R43" i="21"/>
  <c r="S43" i="21"/>
  <c r="AB35" i="26"/>
  <c r="S36" i="21"/>
  <c r="U37" i="26"/>
  <c r="M4" i="21"/>
  <c r="L4" i="21"/>
  <c r="J4" i="21"/>
  <c r="K4" i="21"/>
  <c r="W9" i="21"/>
  <c r="V32" i="75"/>
  <c r="V24" i="59"/>
  <c r="J16" i="40"/>
  <c r="AK51" i="70"/>
  <c r="AK16" i="70"/>
  <c r="AK25" i="70" s="1"/>
  <c r="J4" i="71" s="1"/>
  <c r="L30" i="55"/>
  <c r="K116" i="48"/>
  <c r="M114" i="48"/>
  <c r="M139" i="48"/>
  <c r="L144" i="48"/>
  <c r="L116" i="48"/>
  <c r="J131" i="48"/>
  <c r="N139" i="48"/>
  <c r="G101" i="75"/>
  <c r="G39" i="75" s="1"/>
  <c r="U34" i="75"/>
  <c r="U24" i="75"/>
  <c r="T34" i="75"/>
  <c r="T24" i="75"/>
  <c r="S32" i="21"/>
  <c r="Q34" i="75"/>
  <c r="Q24" i="75"/>
  <c r="Q28" i="75" s="1"/>
  <c r="AE12" i="30"/>
  <c r="AD11" i="30"/>
  <c r="AD46" i="30" s="1"/>
  <c r="D6" i="35" s="1"/>
  <c r="E8" i="55" s="1"/>
  <c r="J48" i="75"/>
  <c r="J73" i="26"/>
  <c r="J54" i="20" s="1"/>
  <c r="J55" i="20" s="1"/>
  <c r="V53" i="20"/>
  <c r="O9" i="50"/>
  <c r="T15" i="30"/>
  <c r="R53" i="20"/>
  <c r="K9" i="50"/>
  <c r="H27" i="75"/>
  <c r="H26" i="75" s="1"/>
  <c r="H29" i="75" s="1"/>
  <c r="H98" i="75"/>
  <c r="H97" i="75" s="1"/>
  <c r="H100" i="75" s="1"/>
  <c r="H109" i="75" s="1"/>
  <c r="H37" i="75" s="1"/>
  <c r="N14" i="59"/>
  <c r="N63" i="59" s="1"/>
  <c r="N14" i="75"/>
  <c r="H139" i="48"/>
  <c r="H114" i="48"/>
  <c r="D80" i="21"/>
  <c r="P37" i="26"/>
  <c r="P17" i="26" s="1"/>
  <c r="M25" i="21"/>
  <c r="W36" i="30"/>
  <c r="E4" i="21"/>
  <c r="E12" i="21"/>
  <c r="W12" i="21" s="1"/>
  <c r="E10" i="21"/>
  <c r="E7" i="21"/>
  <c r="C77" i="21" s="1"/>
  <c r="E5" i="21"/>
  <c r="E11" i="21"/>
  <c r="W11" i="21" s="1"/>
  <c r="E9" i="21"/>
  <c r="N31" i="21"/>
  <c r="M31" i="21"/>
  <c r="L31" i="21"/>
  <c r="K31" i="21"/>
  <c r="J31" i="21"/>
  <c r="I31" i="21"/>
  <c r="V31" i="21"/>
  <c r="H31" i="21"/>
  <c r="U31" i="21"/>
  <c r="G31" i="21"/>
  <c r="T31" i="21"/>
  <c r="F31" i="21"/>
  <c r="D79" i="21"/>
  <c r="R31" i="21"/>
  <c r="Q31" i="21"/>
  <c r="P31" i="21"/>
  <c r="O31" i="21"/>
  <c r="S31" i="21"/>
  <c r="P35" i="26"/>
  <c r="H21" i="21"/>
  <c r="R45" i="30"/>
  <c r="F83" i="21"/>
  <c r="N14" i="21"/>
  <c r="E77" i="21"/>
  <c r="V36" i="21"/>
  <c r="Q25" i="21"/>
  <c r="AA43" i="30" s="1"/>
  <c r="AA41" i="30"/>
  <c r="AA24" i="30" s="1"/>
  <c r="T15" i="21"/>
  <c r="AD36" i="26"/>
  <c r="AD33" i="26" s="1"/>
  <c r="O36" i="21"/>
  <c r="K33" i="21"/>
  <c r="J33" i="21"/>
  <c r="I33" i="21"/>
  <c r="V33" i="21"/>
  <c r="H33" i="21"/>
  <c r="U33" i="21"/>
  <c r="T33" i="21"/>
  <c r="S33" i="21"/>
  <c r="R33" i="21"/>
  <c r="Q33" i="21"/>
  <c r="O33" i="21"/>
  <c r="N33" i="21"/>
  <c r="M33" i="21"/>
  <c r="L33" i="21"/>
  <c r="P33" i="21"/>
  <c r="R35" i="26"/>
  <c r="R33" i="26" s="1"/>
  <c r="C5" i="21"/>
  <c r="D5" i="21"/>
  <c r="F16" i="5"/>
  <c r="I21" i="21"/>
  <c r="S45" i="30"/>
  <c r="H23" i="21"/>
  <c r="R41" i="30" s="1"/>
  <c r="R24" i="30" s="1"/>
  <c r="G113" i="55"/>
  <c r="G81" i="55"/>
  <c r="E24" i="21"/>
  <c r="O42" i="30" s="1"/>
  <c r="T36" i="21"/>
  <c r="J21" i="21"/>
  <c r="E76" i="21"/>
  <c r="J24" i="21"/>
  <c r="J18" i="21"/>
  <c r="T45" i="30"/>
  <c r="C83" i="21"/>
  <c r="C14" i="21"/>
  <c r="W13" i="21"/>
  <c r="K34" i="21"/>
  <c r="J34" i="21"/>
  <c r="I34" i="21"/>
  <c r="V34" i="21"/>
  <c r="U34" i="21"/>
  <c r="T34" i="21"/>
  <c r="S34" i="21"/>
  <c r="R34" i="21"/>
  <c r="Q34" i="21"/>
  <c r="O34" i="21"/>
  <c r="N34" i="21"/>
  <c r="M34" i="21"/>
  <c r="L34" i="21"/>
  <c r="P34" i="21"/>
  <c r="S35" i="26"/>
  <c r="S33" i="26" s="1"/>
  <c r="F20" i="21"/>
  <c r="P38" i="30" s="1"/>
  <c r="M48" i="21"/>
  <c r="L48" i="21"/>
  <c r="H8" i="21"/>
  <c r="K48" i="21"/>
  <c r="J48" i="21"/>
  <c r="I48" i="21"/>
  <c r="V48" i="21"/>
  <c r="H48" i="21"/>
  <c r="U48" i="21"/>
  <c r="G48" i="21"/>
  <c r="G47" i="21" s="1"/>
  <c r="T48" i="21"/>
  <c r="F48" i="21"/>
  <c r="F47" i="21" s="1"/>
  <c r="P83" i="26" s="1"/>
  <c r="S48" i="21"/>
  <c r="E48" i="21"/>
  <c r="E47" i="21" s="1"/>
  <c r="O83" i="26" s="1"/>
  <c r="Q48" i="21"/>
  <c r="P48" i="21"/>
  <c r="O48" i="21"/>
  <c r="N48" i="21"/>
  <c r="R48" i="21"/>
  <c r="D48" i="21"/>
  <c r="D47" i="21" s="1"/>
  <c r="N83" i="26" s="1"/>
  <c r="N73" i="26" s="1"/>
  <c r="D22" i="21"/>
  <c r="N40" i="30" s="1"/>
  <c r="N39" i="30"/>
  <c r="W32" i="75"/>
  <c r="W24" i="59"/>
  <c r="P17" i="40"/>
  <c r="AC24" i="59"/>
  <c r="AC32" i="75"/>
  <c r="AE132" i="48"/>
  <c r="AE24" i="48" s="1"/>
  <c r="S15" i="40"/>
  <c r="S17" i="40"/>
  <c r="L139" i="48"/>
  <c r="L130" i="48"/>
  <c r="S34" i="75"/>
  <c r="S24" i="75"/>
  <c r="T32" i="21"/>
  <c r="AE32" i="20"/>
  <c r="D5" i="35"/>
  <c r="E7" i="55" s="1"/>
  <c r="AC46" i="30"/>
  <c r="C6" i="35" s="1"/>
  <c r="D8" i="55" s="1"/>
  <c r="H33" i="20"/>
  <c r="AF53" i="20"/>
  <c r="F3" i="35"/>
  <c r="G5" i="55" s="1"/>
  <c r="AC63" i="59"/>
  <c r="W12" i="74"/>
  <c r="V14" i="74"/>
  <c r="V13" i="74" s="1"/>
  <c r="V11" i="74" s="1"/>
  <c r="V19" i="74" s="1"/>
  <c r="AG15" i="25"/>
  <c r="AG14" i="25" s="1"/>
  <c r="AG11" i="25" s="1"/>
  <c r="AG20" i="25" s="1"/>
  <c r="AH13" i="25"/>
  <c r="K14" i="75"/>
  <c r="K14" i="59"/>
  <c r="K63" i="59" s="1"/>
  <c r="K62" i="59" s="1"/>
  <c r="K65" i="59" s="1"/>
  <c r="R34" i="75"/>
  <c r="R24" i="75"/>
  <c r="Y53" i="20"/>
  <c r="R9" i="50"/>
  <c r="S53" i="20"/>
  <c r="L9" i="50"/>
  <c r="M36" i="21"/>
  <c r="V39" i="21"/>
  <c r="U39" i="21"/>
  <c r="T39" i="21"/>
  <c r="S39" i="21"/>
  <c r="F79" i="21"/>
  <c r="R39" i="21"/>
  <c r="P39" i="21"/>
  <c r="O39" i="21"/>
  <c r="N39" i="21"/>
  <c r="Q39" i="21"/>
  <c r="X35" i="26"/>
  <c r="E18" i="21"/>
  <c r="P23" i="21"/>
  <c r="V42" i="21"/>
  <c r="F19" i="21"/>
  <c r="P37" i="30" s="1"/>
  <c r="I23" i="21"/>
  <c r="S41" i="30" s="1"/>
  <c r="S24" i="30" s="1"/>
  <c r="M38" i="21"/>
  <c r="Q41" i="21"/>
  <c r="J15" i="40"/>
  <c r="E15" i="35"/>
  <c r="F17" i="55" s="1"/>
  <c r="P130" i="48"/>
  <c r="I70" i="38"/>
  <c r="P15" i="40"/>
  <c r="M131" i="48"/>
  <c r="H67" i="48"/>
  <c r="H74" i="48" s="1"/>
  <c r="H39" i="48"/>
  <c r="J116" i="48"/>
  <c r="AE69" i="59"/>
  <c r="AE71" i="59" s="1"/>
  <c r="AE70" i="59" s="1"/>
  <c r="I24" i="75"/>
  <c r="I28" i="75" s="1"/>
  <c r="I34" i="75"/>
  <c r="I99" i="75" s="1"/>
  <c r="U32" i="21"/>
  <c r="AD50" i="59"/>
  <c r="AC26" i="59"/>
  <c r="AA53" i="20"/>
  <c r="T9" i="50"/>
  <c r="G63" i="59"/>
  <c r="G62" i="59" s="1"/>
  <c r="G65" i="59" s="1"/>
  <c r="G74" i="59" s="1"/>
  <c r="G29" i="59" s="1"/>
  <c r="G33" i="59" s="1"/>
  <c r="AG53" i="20"/>
  <c r="G3" i="35"/>
  <c r="H5" i="55" s="1"/>
  <c r="O14" i="75"/>
  <c r="O14" i="59"/>
  <c r="O63" i="59" s="1"/>
  <c r="I20" i="25"/>
  <c r="I14" i="75" s="1"/>
  <c r="N49" i="48" l="1"/>
  <c r="M51" i="48"/>
  <c r="M49" i="48"/>
  <c r="AJ38" i="80"/>
  <c r="P49" i="48"/>
  <c r="AF130" i="48"/>
  <c r="AG52" i="70"/>
  <c r="H31" i="55"/>
  <c r="AG18" i="70"/>
  <c r="AG26" i="70" s="1"/>
  <c r="F5" i="71" s="1"/>
  <c r="AE15" i="20"/>
  <c r="G125" i="55"/>
  <c r="G93" i="55"/>
  <c r="G94" i="55"/>
  <c r="G126" i="55"/>
  <c r="H94" i="55"/>
  <c r="H126" i="55"/>
  <c r="G31" i="55"/>
  <c r="AF52" i="70"/>
  <c r="AF18" i="70"/>
  <c r="AF26" i="70" s="1"/>
  <c r="E5" i="71" s="1"/>
  <c r="AH52" i="70"/>
  <c r="I31" i="55"/>
  <c r="AH18" i="70"/>
  <c r="AH26" i="70" s="1"/>
  <c r="G5" i="71" s="1"/>
  <c r="K125" i="55"/>
  <c r="K93" i="55"/>
  <c r="E94" i="55"/>
  <c r="E126" i="55"/>
  <c r="AN52" i="70"/>
  <c r="AN20" i="70" s="1"/>
  <c r="AN27" i="70" s="1"/>
  <c r="AN18" i="70"/>
  <c r="AN26" i="70" s="1"/>
  <c r="H92" i="55"/>
  <c r="H124" i="55"/>
  <c r="Z15" i="20"/>
  <c r="G92" i="55"/>
  <c r="G124" i="55"/>
  <c r="W15" i="20"/>
  <c r="H125" i="55"/>
  <c r="H93" i="55"/>
  <c r="I125" i="55"/>
  <c r="I93" i="55"/>
  <c r="I94" i="55"/>
  <c r="I126" i="55"/>
  <c r="AM18" i="70"/>
  <c r="AM26" i="70" s="1"/>
  <c r="AM52" i="70"/>
  <c r="AM20" i="70" s="1"/>
  <c r="AM27" i="70" s="1"/>
  <c r="AL18" i="70"/>
  <c r="AL26" i="70" s="1"/>
  <c r="AL52" i="70"/>
  <c r="AL20" i="70" s="1"/>
  <c r="AL27" i="70" s="1"/>
  <c r="E102" i="55"/>
  <c r="E70" i="55"/>
  <c r="AF11" i="20"/>
  <c r="AF12" i="20" s="1"/>
  <c r="AF15" i="20" s="1"/>
  <c r="E4" i="35"/>
  <c r="F6" i="55" s="1"/>
  <c r="AD23" i="70"/>
  <c r="C2" i="71" s="1"/>
  <c r="AJ90" i="80"/>
  <c r="E13" i="55"/>
  <c r="AJ32" i="80"/>
  <c r="AG131" i="48"/>
  <c r="AG23" i="48" s="1"/>
  <c r="N54" i="20"/>
  <c r="N55" i="20" s="1"/>
  <c r="G2" i="50"/>
  <c r="R98" i="75"/>
  <c r="R27" i="75"/>
  <c r="I98" i="75"/>
  <c r="I97" i="75" s="1"/>
  <c r="I100" i="75" s="1"/>
  <c r="I27" i="75"/>
  <c r="I26" i="75" s="1"/>
  <c r="I29" i="75" s="1"/>
  <c r="I101" i="75"/>
  <c r="Z104" i="75"/>
  <c r="Z106" i="75" s="1"/>
  <c r="Z105" i="75"/>
  <c r="AF69" i="59"/>
  <c r="AF71" i="59" s="1"/>
  <c r="AF70" i="59" s="1"/>
  <c r="L92" i="59"/>
  <c r="AG14" i="59"/>
  <c r="G8" i="35"/>
  <c r="H10" i="55" s="1"/>
  <c r="AD57" i="30"/>
  <c r="U13" i="30"/>
  <c r="U15" i="30"/>
  <c r="AD52" i="30" s="1"/>
  <c r="AC13" i="26"/>
  <c r="AC20" i="26" s="1"/>
  <c r="AC33" i="26"/>
  <c r="D69" i="55"/>
  <c r="D101" i="55"/>
  <c r="I4" i="50"/>
  <c r="P64" i="59"/>
  <c r="P62" i="59" s="1"/>
  <c r="P65" i="59" s="1"/>
  <c r="G48" i="75"/>
  <c r="U46" i="75" s="1"/>
  <c r="V46" i="75" s="1"/>
  <c r="W46" i="75" s="1"/>
  <c r="X46" i="75" s="1"/>
  <c r="Y46" i="75" s="1"/>
  <c r="Z46" i="75" s="1"/>
  <c r="AA46" i="75" s="1"/>
  <c r="AB46" i="75" s="1"/>
  <c r="AC46" i="75" s="1"/>
  <c r="E22" i="21"/>
  <c r="O40" i="30" s="1"/>
  <c r="O39" i="30"/>
  <c r="W7" i="21"/>
  <c r="V68" i="59"/>
  <c r="V67" i="59" s="1"/>
  <c r="G69" i="55"/>
  <c r="G101" i="55"/>
  <c r="R47" i="21"/>
  <c r="AB83" i="26" s="1"/>
  <c r="E74" i="21"/>
  <c r="T33" i="75"/>
  <c r="T23" i="75"/>
  <c r="T28" i="75" s="1"/>
  <c r="T25" i="59"/>
  <c r="D63" i="59"/>
  <c r="D62" i="59" s="1"/>
  <c r="D65" i="59" s="1"/>
  <c r="D74" i="59" s="1"/>
  <c r="D29" i="59" s="1"/>
  <c r="D66" i="59"/>
  <c r="D31" i="59" s="1"/>
  <c r="J65" i="48"/>
  <c r="J72" i="48" s="1"/>
  <c r="K32" i="48"/>
  <c r="J36" i="48"/>
  <c r="J17" i="20"/>
  <c r="J33" i="20"/>
  <c r="V33" i="75"/>
  <c r="V38" i="75" s="1"/>
  <c r="V25" i="59"/>
  <c r="V30" i="59" s="1"/>
  <c r="O5" i="50" s="1"/>
  <c r="V23" i="75"/>
  <c r="V28" i="75" s="1"/>
  <c r="E96" i="55"/>
  <c r="E128" i="55"/>
  <c r="I71" i="38"/>
  <c r="I73" i="38"/>
  <c r="N25" i="21"/>
  <c r="X43" i="30" s="1"/>
  <c r="X37" i="30"/>
  <c r="X20" i="30" s="1"/>
  <c r="N33" i="26"/>
  <c r="L98" i="75"/>
  <c r="L97" i="75" s="1"/>
  <c r="L100" i="75" s="1"/>
  <c r="L27" i="75"/>
  <c r="L26" i="75" s="1"/>
  <c r="L29" i="75" s="1"/>
  <c r="P13" i="30"/>
  <c r="P12" i="30" s="1"/>
  <c r="P15" i="30"/>
  <c r="Y13" i="26"/>
  <c r="Y33" i="26"/>
  <c r="U4" i="50"/>
  <c r="AB64" i="59"/>
  <c r="E40" i="59"/>
  <c r="S49" i="48"/>
  <c r="R49" i="48"/>
  <c r="Q49" i="48"/>
  <c r="T49" i="48"/>
  <c r="I14" i="59"/>
  <c r="D109" i="75"/>
  <c r="D37" i="75" s="1"/>
  <c r="D41" i="75" s="1"/>
  <c r="W68" i="59"/>
  <c r="O47" i="21"/>
  <c r="Y83" i="26" s="1"/>
  <c r="Q52" i="21"/>
  <c r="D78" i="21"/>
  <c r="P52" i="21"/>
  <c r="O52" i="21"/>
  <c r="N52" i="21"/>
  <c r="N47" i="21" s="1"/>
  <c r="X83" i="26" s="1"/>
  <c r="M52" i="21"/>
  <c r="M47" i="21" s="1"/>
  <c r="W83" i="26" s="1"/>
  <c r="L52" i="21"/>
  <c r="L47" i="21" s="1"/>
  <c r="V83" i="26" s="1"/>
  <c r="K52" i="21"/>
  <c r="K47" i="21" s="1"/>
  <c r="U83" i="26" s="1"/>
  <c r="J52" i="21"/>
  <c r="J47" i="21" s="1"/>
  <c r="T83" i="26" s="1"/>
  <c r="I52" i="21"/>
  <c r="U52" i="21"/>
  <c r="T52" i="21"/>
  <c r="S52" i="21"/>
  <c r="S47" i="21" s="1"/>
  <c r="AC83" i="26" s="1"/>
  <c r="R52" i="21"/>
  <c r="V52" i="21"/>
  <c r="V47" i="21" s="1"/>
  <c r="AF83" i="26" s="1"/>
  <c r="AG83" i="26" s="1"/>
  <c r="AH83" i="26" s="1"/>
  <c r="AI83" i="26" s="1"/>
  <c r="AJ83" i="26" s="1"/>
  <c r="AK83" i="26" s="1"/>
  <c r="AL83" i="26" s="1"/>
  <c r="AM83" i="26" s="1"/>
  <c r="AN83" i="26" s="1"/>
  <c r="H52" i="21"/>
  <c r="J22" i="21"/>
  <c r="T40" i="30" s="1"/>
  <c r="T39" i="30"/>
  <c r="W33" i="75"/>
  <c r="W38" i="75" s="1"/>
  <c r="W23" i="75"/>
  <c r="W28" i="75" s="1"/>
  <c r="W26" i="75" s="1"/>
  <c r="W25" i="59"/>
  <c r="W30" i="59" s="1"/>
  <c r="P5" i="50" s="1"/>
  <c r="K17" i="20"/>
  <c r="K33" i="20"/>
  <c r="E101" i="55"/>
  <c r="E69" i="55"/>
  <c r="R28" i="75"/>
  <c r="AB62" i="59"/>
  <c r="AB65" i="59" s="1"/>
  <c r="L28" i="21"/>
  <c r="S28" i="21"/>
  <c r="AC81" i="26" s="1"/>
  <c r="I69" i="55"/>
  <c r="I101" i="55"/>
  <c r="O24" i="30"/>
  <c r="J38" i="48"/>
  <c r="J66" i="48"/>
  <c r="J73" i="48" s="1"/>
  <c r="K33" i="48"/>
  <c r="H33" i="59"/>
  <c r="F113" i="55"/>
  <c r="F81" i="55"/>
  <c r="D104" i="55"/>
  <c r="D72" i="55"/>
  <c r="P47" i="21"/>
  <c r="Z83" i="26" s="1"/>
  <c r="E104" i="55"/>
  <c r="E72" i="55"/>
  <c r="U17" i="26"/>
  <c r="U33" i="26"/>
  <c r="E113" i="55"/>
  <c r="E81" i="55"/>
  <c r="K73" i="38"/>
  <c r="K71" i="38"/>
  <c r="K4" i="50"/>
  <c r="R64" i="59"/>
  <c r="D127" i="55"/>
  <c r="D95" i="55"/>
  <c r="F28" i="21"/>
  <c r="G40" i="59"/>
  <c r="U38" i="59" s="1"/>
  <c r="V38" i="59" s="1"/>
  <c r="W38" i="59" s="1"/>
  <c r="X38" i="59" s="1"/>
  <c r="Y38" i="59" s="1"/>
  <c r="Z38" i="59" s="1"/>
  <c r="AA38" i="59" s="1"/>
  <c r="AB38" i="59" s="1"/>
  <c r="U68" i="59"/>
  <c r="U67" i="59" s="1"/>
  <c r="AE19" i="48"/>
  <c r="E20" i="35" s="1"/>
  <c r="F22" i="55" s="1"/>
  <c r="AF132" i="48"/>
  <c r="AF24" i="48" s="1"/>
  <c r="Q47" i="21"/>
  <c r="AA83" i="26" s="1"/>
  <c r="C82" i="21"/>
  <c r="AF12" i="30"/>
  <c r="G84" i="21"/>
  <c r="R15" i="21"/>
  <c r="G85" i="21" s="1"/>
  <c r="AB36" i="26"/>
  <c r="R99" i="75"/>
  <c r="J127" i="55"/>
  <c r="J95" i="55"/>
  <c r="AC20" i="70"/>
  <c r="AC27" i="70" s="1"/>
  <c r="D32" i="55"/>
  <c r="V28" i="21"/>
  <c r="AF81" i="26" s="1"/>
  <c r="AG81" i="26" s="1"/>
  <c r="AH81" i="26" s="1"/>
  <c r="AI81" i="26" s="1"/>
  <c r="AJ81" i="26" s="1"/>
  <c r="AK81" i="26" s="1"/>
  <c r="AL81" i="26" s="1"/>
  <c r="AM81" i="26" s="1"/>
  <c r="AN81" i="26" s="1"/>
  <c r="T28" i="21"/>
  <c r="AD81" i="26" s="1"/>
  <c r="T27" i="75"/>
  <c r="T98" i="75"/>
  <c r="M77" i="26"/>
  <c r="M73" i="26" s="1"/>
  <c r="AO16" i="26"/>
  <c r="X85" i="75"/>
  <c r="W34" i="75"/>
  <c r="W99" i="75" s="1"/>
  <c r="W24" i="75"/>
  <c r="F75" i="21"/>
  <c r="X32" i="75"/>
  <c r="X24" i="59"/>
  <c r="L33" i="20"/>
  <c r="L17" i="20"/>
  <c r="K98" i="75"/>
  <c r="K97" i="75" s="1"/>
  <c r="K100" i="75" s="1"/>
  <c r="K27" i="75"/>
  <c r="K26" i="75" s="1"/>
  <c r="K29" i="75" s="1"/>
  <c r="E71" i="55"/>
  <c r="E103" i="55"/>
  <c r="AA15" i="30"/>
  <c r="AA13" i="30"/>
  <c r="AA12" i="30" s="1"/>
  <c r="Q30" i="21"/>
  <c r="P30" i="21"/>
  <c r="P28" i="21" s="1"/>
  <c r="Z81" i="26" s="1"/>
  <c r="O30" i="21"/>
  <c r="N30" i="21"/>
  <c r="M30" i="21"/>
  <c r="L30" i="21"/>
  <c r="K30" i="21"/>
  <c r="J30" i="21"/>
  <c r="I30" i="21"/>
  <c r="I28" i="21" s="1"/>
  <c r="U30" i="21"/>
  <c r="U28" i="21" s="1"/>
  <c r="AE81" i="26" s="1"/>
  <c r="G30" i="21"/>
  <c r="T30" i="21"/>
  <c r="F30" i="21"/>
  <c r="S30" i="21"/>
  <c r="E30" i="21"/>
  <c r="E28" i="21" s="1"/>
  <c r="R30" i="21"/>
  <c r="R28" i="21" s="1"/>
  <c r="AB81" i="26" s="1"/>
  <c r="V30" i="21"/>
  <c r="H30" i="21"/>
  <c r="H28" i="21" s="1"/>
  <c r="O35" i="26"/>
  <c r="O33" i="26" s="1"/>
  <c r="C79" i="21"/>
  <c r="AB33" i="26"/>
  <c r="AB13" i="26"/>
  <c r="AB20" i="26" s="1"/>
  <c r="AB78" i="26" s="1"/>
  <c r="G87" i="21"/>
  <c r="S28" i="75"/>
  <c r="S26" i="75" s="1"/>
  <c r="S29" i="75" s="1"/>
  <c r="G28" i="21"/>
  <c r="Y32" i="75"/>
  <c r="Y24" i="59"/>
  <c r="R62" i="59"/>
  <c r="R65" i="59" s="1"/>
  <c r="N98" i="75"/>
  <c r="N27" i="75"/>
  <c r="N26" i="75" s="1"/>
  <c r="N29" i="75" s="1"/>
  <c r="V13" i="30"/>
  <c r="V12" i="30" s="1"/>
  <c r="V15" i="30"/>
  <c r="AI20" i="70"/>
  <c r="AI27" i="70" s="1"/>
  <c r="H6" i="71" s="1"/>
  <c r="J32" i="55"/>
  <c r="T50" i="48"/>
  <c r="S50" i="48"/>
  <c r="Q50" i="48"/>
  <c r="R50" i="48"/>
  <c r="J28" i="21"/>
  <c r="D20" i="35"/>
  <c r="E22" i="55" s="1"/>
  <c r="F82" i="55"/>
  <c r="F114" i="55"/>
  <c r="Z32" i="75"/>
  <c r="Z24" i="59"/>
  <c r="F106" i="55"/>
  <c r="F74" i="55"/>
  <c r="AI13" i="25"/>
  <c r="AH15" i="25"/>
  <c r="AH14" i="25" s="1"/>
  <c r="AH11" i="25" s="1"/>
  <c r="AH20" i="25" s="1"/>
  <c r="AC64" i="59"/>
  <c r="C15" i="35"/>
  <c r="D17" i="55" s="1"/>
  <c r="V4" i="50"/>
  <c r="R15" i="30"/>
  <c r="R13" i="30"/>
  <c r="R12" i="30" s="1"/>
  <c r="O32" i="75"/>
  <c r="O24" i="59"/>
  <c r="N33" i="75"/>
  <c r="N38" i="75" s="1"/>
  <c r="N23" i="75"/>
  <c r="N28" i="75" s="1"/>
  <c r="N25" i="59"/>
  <c r="N30" i="59" s="1"/>
  <c r="G5" i="50" s="1"/>
  <c r="E82" i="55"/>
  <c r="E114" i="55"/>
  <c r="J67" i="48"/>
  <c r="J74" i="48" s="1"/>
  <c r="K34" i="48"/>
  <c r="J39" i="48"/>
  <c r="K28" i="21"/>
  <c r="J125" i="55"/>
  <c r="J93" i="55"/>
  <c r="J101" i="55"/>
  <c r="J69" i="55"/>
  <c r="T43" i="38"/>
  <c r="P42" i="38"/>
  <c r="E106" i="55"/>
  <c r="E74" i="55"/>
  <c r="AA24" i="59"/>
  <c r="AA32" i="75"/>
  <c r="G106" i="55"/>
  <c r="G74" i="55"/>
  <c r="X13" i="26"/>
  <c r="AF32" i="20"/>
  <c r="E5" i="35"/>
  <c r="F7" i="55" s="1"/>
  <c r="T47" i="21"/>
  <c r="AD83" i="26" s="1"/>
  <c r="S46" i="30"/>
  <c r="L6" i="50"/>
  <c r="AK18" i="70"/>
  <c r="AK26" i="70" s="1"/>
  <c r="J5" i="71" s="1"/>
  <c r="AK52" i="70"/>
  <c r="L31" i="55"/>
  <c r="M98" i="75"/>
  <c r="M27" i="75"/>
  <c r="M47" i="48"/>
  <c r="P47" i="48"/>
  <c r="O47" i="48"/>
  <c r="N47" i="48"/>
  <c r="V5" i="50"/>
  <c r="C16" i="35"/>
  <c r="D18" i="55" s="1"/>
  <c r="L4" i="50"/>
  <c r="S64" i="59"/>
  <c r="S62" i="59" s="1"/>
  <c r="S65" i="59" s="1"/>
  <c r="D117" i="55"/>
  <c r="D85" i="55"/>
  <c r="M28" i="21"/>
  <c r="D73" i="55"/>
  <c r="D105" i="55"/>
  <c r="AE15" i="30"/>
  <c r="AE13" i="30"/>
  <c r="AE11" i="30" s="1"/>
  <c r="AE46" i="30" s="1"/>
  <c r="E6" i="35" s="1"/>
  <c r="F8" i="55" s="1"/>
  <c r="AF17" i="30"/>
  <c r="L25" i="21"/>
  <c r="V36" i="30"/>
  <c r="V33" i="26"/>
  <c r="V13" i="26"/>
  <c r="E33" i="59"/>
  <c r="J71" i="38"/>
  <c r="J73" i="38"/>
  <c r="F94" i="55"/>
  <c r="F126" i="55"/>
  <c r="K25" i="21"/>
  <c r="G109" i="75"/>
  <c r="G37" i="75" s="1"/>
  <c r="Q26" i="75"/>
  <c r="Q29" i="75" s="1"/>
  <c r="AE50" i="59"/>
  <c r="AD26" i="59"/>
  <c r="AD64" i="59" s="1"/>
  <c r="O98" i="75"/>
  <c r="O27" i="75"/>
  <c r="O26" i="75" s="1"/>
  <c r="O29" i="75" s="1"/>
  <c r="S15" i="30"/>
  <c r="S13" i="30"/>
  <c r="S12" i="30" s="1"/>
  <c r="P4" i="50"/>
  <c r="W64" i="59"/>
  <c r="Q83" i="26"/>
  <c r="C84" i="21"/>
  <c r="W14" i="21"/>
  <c r="C15" i="21"/>
  <c r="N15" i="21"/>
  <c r="F85" i="21" s="1"/>
  <c r="F84" i="21"/>
  <c r="X36" i="26"/>
  <c r="X33" i="26" s="1"/>
  <c r="O37" i="26"/>
  <c r="W10" i="21"/>
  <c r="C80" i="21"/>
  <c r="V16" i="75"/>
  <c r="V14" i="75" s="1"/>
  <c r="V16" i="59"/>
  <c r="V14" i="59" s="1"/>
  <c r="V63" i="59" s="1"/>
  <c r="W21" i="25"/>
  <c r="S99" i="75"/>
  <c r="S97" i="75" s="1"/>
  <c r="S100" i="75" s="1"/>
  <c r="C74" i="21"/>
  <c r="W4" i="21"/>
  <c r="M33" i="75"/>
  <c r="M38" i="75" s="1"/>
  <c r="M23" i="75"/>
  <c r="M28" i="75" s="1"/>
  <c r="M25" i="59"/>
  <c r="M30" i="59" s="1"/>
  <c r="F5" i="50" s="1"/>
  <c r="R6" i="50"/>
  <c r="Y46" i="30"/>
  <c r="N28" i="21"/>
  <c r="R40" i="59"/>
  <c r="D87" i="21"/>
  <c r="O6" i="50"/>
  <c r="V46" i="30"/>
  <c r="V103" i="75"/>
  <c r="K126" i="55"/>
  <c r="K94" i="55"/>
  <c r="J15" i="21"/>
  <c r="E85" i="21" s="1"/>
  <c r="E84" i="21"/>
  <c r="E87" i="21" s="1"/>
  <c r="T36" i="26"/>
  <c r="T33" i="26" s="1"/>
  <c r="E93" i="55"/>
  <c r="E125" i="55"/>
  <c r="AD17" i="59"/>
  <c r="AE10" i="33"/>
  <c r="I22" i="33" s="1"/>
  <c r="D12" i="35"/>
  <c r="E14" i="55" s="1"/>
  <c r="Q97" i="75"/>
  <c r="Q100" i="75" s="1"/>
  <c r="AJ52" i="70"/>
  <c r="AJ18" i="70"/>
  <c r="AJ26" i="70" s="1"/>
  <c r="I5" i="71" s="1"/>
  <c r="K31" i="55"/>
  <c r="AE18" i="70"/>
  <c r="AE26" i="70" s="1"/>
  <c r="D5" i="71" s="1"/>
  <c r="AE52" i="70"/>
  <c r="F31" i="55"/>
  <c r="T51" i="48"/>
  <c r="S51" i="48"/>
  <c r="R51" i="48"/>
  <c r="Q51" i="48"/>
  <c r="H69" i="55"/>
  <c r="H101" i="55"/>
  <c r="U47" i="21"/>
  <c r="AE83" i="26" s="1"/>
  <c r="I22" i="21"/>
  <c r="S40" i="30" s="1"/>
  <c r="S39" i="30"/>
  <c r="F87" i="21"/>
  <c r="O4" i="50"/>
  <c r="V64" i="59"/>
  <c r="AF10" i="48"/>
  <c r="AE27" i="48"/>
  <c r="O25" i="21"/>
  <c r="Y43" i="30" s="1"/>
  <c r="Y41" i="30"/>
  <c r="Y24" i="30" s="1"/>
  <c r="O28" i="21"/>
  <c r="O32" i="38"/>
  <c r="S33" i="38"/>
  <c r="E109" i="55"/>
  <c r="E77" i="55"/>
  <c r="F15" i="21"/>
  <c r="D85" i="21" s="1"/>
  <c r="D84" i="21"/>
  <c r="P36" i="26"/>
  <c r="P33" i="26" s="1"/>
  <c r="P50" i="48"/>
  <c r="O50" i="48"/>
  <c r="N50" i="48"/>
  <c r="M50" i="48"/>
  <c r="X12" i="74"/>
  <c r="W14" i="74"/>
  <c r="W13" i="74" s="1"/>
  <c r="W11" i="74" s="1"/>
  <c r="W19" i="74" s="1"/>
  <c r="H47" i="21"/>
  <c r="R83" i="26" s="1"/>
  <c r="M6" i="50"/>
  <c r="T46" i="30"/>
  <c r="K6" i="50"/>
  <c r="R46" i="30"/>
  <c r="O33" i="75"/>
  <c r="O38" i="75" s="1"/>
  <c r="O23" i="75"/>
  <c r="O28" i="75" s="1"/>
  <c r="O25" i="59"/>
  <c r="O30" i="59" s="1"/>
  <c r="H5" i="50" s="1"/>
  <c r="V99" i="75"/>
  <c r="U27" i="75"/>
  <c r="U26" i="75" s="1"/>
  <c r="U29" i="75" s="1"/>
  <c r="U98" i="75"/>
  <c r="E120" i="55"/>
  <c r="E88" i="55"/>
  <c r="Q64" i="59"/>
  <c r="J4" i="50"/>
  <c r="E109" i="75"/>
  <c r="E37" i="75" s="1"/>
  <c r="E41" i="75" s="1"/>
  <c r="AE37" i="59"/>
  <c r="AE29" i="49"/>
  <c r="AE30" i="49"/>
  <c r="AF27" i="49"/>
  <c r="E11" i="35"/>
  <c r="F13" i="55" s="1"/>
  <c r="L22" i="21"/>
  <c r="V40" i="30" s="1"/>
  <c r="V39" i="30"/>
  <c r="W8" i="21"/>
  <c r="H41" i="75"/>
  <c r="U6" i="50"/>
  <c r="AB46" i="30"/>
  <c r="K101" i="55"/>
  <c r="K69" i="55"/>
  <c r="P14" i="75"/>
  <c r="H6" i="50"/>
  <c r="O46" i="30"/>
  <c r="E124" i="55"/>
  <c r="I6" i="50"/>
  <c r="P46" i="30"/>
  <c r="D25" i="21"/>
  <c r="J40" i="48"/>
  <c r="J68" i="48"/>
  <c r="J75" i="48" s="1"/>
  <c r="K35" i="48"/>
  <c r="AG12" i="49"/>
  <c r="P25" i="21"/>
  <c r="Z43" i="30" s="1"/>
  <c r="Z41" i="30"/>
  <c r="Z24" i="30" s="1"/>
  <c r="J25" i="21"/>
  <c r="T36" i="30"/>
  <c r="N24" i="59"/>
  <c r="N32" i="75"/>
  <c r="N99" i="75" s="1"/>
  <c r="H22" i="21"/>
  <c r="R40" i="30" s="1"/>
  <c r="R39" i="30"/>
  <c r="G41" i="75"/>
  <c r="F101" i="55"/>
  <c r="F69" i="55"/>
  <c r="AF133" i="48"/>
  <c r="AE25" i="48"/>
  <c r="E22" i="35" s="1"/>
  <c r="F24" i="55" s="1"/>
  <c r="Q46" i="30"/>
  <c r="J6" i="50"/>
  <c r="F93" i="55"/>
  <c r="F125" i="55"/>
  <c r="F25" i="21"/>
  <c r="Q28" i="21"/>
  <c r="AA81" i="26" s="1"/>
  <c r="AA73" i="26" s="1"/>
  <c r="Q62" i="59"/>
  <c r="Q65" i="59" s="1"/>
  <c r="K92" i="55"/>
  <c r="K124" i="55"/>
  <c r="Q6" i="50"/>
  <c r="X46" i="30"/>
  <c r="E25" i="21"/>
  <c r="O36" i="30"/>
  <c r="AC62" i="59"/>
  <c r="AC65" i="59" s="1"/>
  <c r="I47" i="21"/>
  <c r="S83" i="26" s="1"/>
  <c r="C75" i="21"/>
  <c r="W5" i="21"/>
  <c r="M32" i="75"/>
  <c r="M24" i="59"/>
  <c r="M26" i="21"/>
  <c r="W43" i="30"/>
  <c r="U33" i="75"/>
  <c r="U38" i="75" s="1"/>
  <c r="U25" i="59"/>
  <c r="U30" i="59" s="1"/>
  <c r="N5" i="50" s="1"/>
  <c r="U23" i="75"/>
  <c r="U28" i="75" s="1"/>
  <c r="N4" i="50"/>
  <c r="J98" i="75"/>
  <c r="J97" i="75" s="1"/>
  <c r="J100" i="75" s="1"/>
  <c r="J27" i="75"/>
  <c r="J26" i="75" s="1"/>
  <c r="J29" i="75" s="1"/>
  <c r="T47" i="48"/>
  <c r="S47" i="48"/>
  <c r="R47" i="48"/>
  <c r="Q47" i="48"/>
  <c r="G22" i="21"/>
  <c r="Q40" i="30" s="1"/>
  <c r="Q39" i="30"/>
  <c r="U5" i="50"/>
  <c r="L17" i="38"/>
  <c r="N17" i="38" s="1"/>
  <c r="S18" i="38"/>
  <c r="AD10" i="26"/>
  <c r="D10" i="35"/>
  <c r="E12" i="55" s="1"/>
  <c r="Z17" i="26"/>
  <c r="Z20" i="26" s="1"/>
  <c r="Z78" i="26" s="1"/>
  <c r="Z33" i="26"/>
  <c r="P28" i="26"/>
  <c r="O27" i="26"/>
  <c r="O76" i="26"/>
  <c r="O15" i="26"/>
  <c r="F22" i="21"/>
  <c r="P40" i="30" s="1"/>
  <c r="P39" i="30"/>
  <c r="AG130" i="48" l="1"/>
  <c r="AF19" i="48"/>
  <c r="F20" i="35" s="1"/>
  <c r="G22" i="55" s="1"/>
  <c r="AF20" i="70"/>
  <c r="AF27" i="70" s="1"/>
  <c r="E6" i="71" s="1"/>
  <c r="G32" i="55"/>
  <c r="G127" i="55"/>
  <c r="G95" i="55"/>
  <c r="H127" i="55"/>
  <c r="H95" i="55"/>
  <c r="AH20" i="70"/>
  <c r="AH27" i="70" s="1"/>
  <c r="G6" i="71" s="1"/>
  <c r="I32" i="55"/>
  <c r="I127" i="55"/>
  <c r="I95" i="55"/>
  <c r="AG20" i="70"/>
  <c r="AG27" i="70" s="1"/>
  <c r="F6" i="71" s="1"/>
  <c r="H32" i="55"/>
  <c r="F70" i="55"/>
  <c r="F102" i="55"/>
  <c r="AG11" i="20"/>
  <c r="AG12" i="20" s="1"/>
  <c r="AG15" i="20" s="1"/>
  <c r="F4" i="35"/>
  <c r="G6" i="55" s="1"/>
  <c r="AH131" i="48"/>
  <c r="AH23" i="48" s="1"/>
  <c r="AG69" i="59"/>
  <c r="AG71" i="59" s="1"/>
  <c r="AG70" i="59" s="1"/>
  <c r="F104" i="55"/>
  <c r="F72" i="55"/>
  <c r="F118" i="55"/>
  <c r="F86" i="55"/>
  <c r="AA54" i="20"/>
  <c r="AA55" i="20" s="1"/>
  <c r="T2" i="50"/>
  <c r="AH14" i="59"/>
  <c r="H8" i="35"/>
  <c r="I10" i="55" s="1"/>
  <c r="AC38" i="59"/>
  <c r="F71" i="55"/>
  <c r="F103" i="55"/>
  <c r="S4" i="50"/>
  <c r="Z64" i="59"/>
  <c r="Z62" i="59" s="1"/>
  <c r="Z65" i="59" s="1"/>
  <c r="X15" i="30"/>
  <c r="X13" i="30"/>
  <c r="X12" i="30" s="1"/>
  <c r="L93" i="59"/>
  <c r="L95" i="59"/>
  <c r="P43" i="30"/>
  <c r="F26" i="21"/>
  <c r="Y12" i="74"/>
  <c r="X14" i="74"/>
  <c r="X13" i="74" s="1"/>
  <c r="X11" i="74" s="1"/>
  <c r="X19" i="74" s="1"/>
  <c r="AF50" i="59"/>
  <c r="AE26" i="59"/>
  <c r="AE64" i="59" s="1"/>
  <c r="S34" i="38"/>
  <c r="O33" i="38"/>
  <c r="Q33" i="38" s="1"/>
  <c r="V43" i="30"/>
  <c r="L26" i="21"/>
  <c r="G4" i="50"/>
  <c r="N64" i="59"/>
  <c r="N62" i="59" s="1"/>
  <c r="N65" i="59" s="1"/>
  <c r="AF15" i="30"/>
  <c r="AF13" i="30"/>
  <c r="AF11" i="30" s="1"/>
  <c r="AF46" i="30" s="1"/>
  <c r="F6" i="35" s="1"/>
  <c r="G8" i="55" s="1"/>
  <c r="AG17" i="30"/>
  <c r="X81" i="26"/>
  <c r="AO36" i="26"/>
  <c r="AP14" i="26" s="1"/>
  <c r="D96" i="55"/>
  <c r="D128" i="55"/>
  <c r="X47" i="48"/>
  <c r="W47" i="48"/>
  <c r="U47" i="48"/>
  <c r="V47" i="48"/>
  <c r="AD20" i="26"/>
  <c r="AC78" i="26"/>
  <c r="AC73" i="26" s="1"/>
  <c r="U64" i="59"/>
  <c r="U62" i="59" s="1"/>
  <c r="U65" i="59" s="1"/>
  <c r="K95" i="55"/>
  <c r="K127" i="55"/>
  <c r="W15" i="21"/>
  <c r="C85" i="21"/>
  <c r="C87" i="21" s="1"/>
  <c r="W50" i="48"/>
  <c r="V50" i="48"/>
  <c r="U50" i="48"/>
  <c r="X50" i="48"/>
  <c r="D113" i="55"/>
  <c r="D81" i="55"/>
  <c r="K38" i="48"/>
  <c r="K66" i="48"/>
  <c r="K73" i="48" s="1"/>
  <c r="L33" i="48"/>
  <c r="W67" i="59"/>
  <c r="X68" i="59"/>
  <c r="K65" i="48"/>
  <c r="K72" i="48" s="1"/>
  <c r="K36" i="48"/>
  <c r="L32" i="48"/>
  <c r="AE20" i="70"/>
  <c r="AE27" i="70" s="1"/>
  <c r="D6" i="71" s="1"/>
  <c r="F32" i="55"/>
  <c r="AG132" i="48"/>
  <c r="AG24" i="48" s="1"/>
  <c r="Q32" i="38"/>
  <c r="AB73" i="26"/>
  <c r="E108" i="55"/>
  <c r="E76" i="55"/>
  <c r="T43" i="30"/>
  <c r="J26" i="21"/>
  <c r="F109" i="55"/>
  <c r="F77" i="55"/>
  <c r="Y13" i="30"/>
  <c r="Y12" i="30" s="1"/>
  <c r="Y15" i="30"/>
  <c r="K67" i="48"/>
  <c r="K74" i="48" s="1"/>
  <c r="K39" i="48"/>
  <c r="L34" i="48"/>
  <c r="Q4" i="50"/>
  <c r="X64" i="59"/>
  <c r="AD50" i="30"/>
  <c r="U12" i="30"/>
  <c r="AD49" i="30" s="1"/>
  <c r="AA104" i="75"/>
  <c r="AA106" i="75" s="1"/>
  <c r="AA105" i="75"/>
  <c r="AJ20" i="70"/>
  <c r="AJ27" i="70" s="1"/>
  <c r="I6" i="71" s="1"/>
  <c r="K32" i="55"/>
  <c r="V102" i="75"/>
  <c r="W103" i="75"/>
  <c r="U43" i="30"/>
  <c r="AD80" i="30" s="1"/>
  <c r="K26" i="21"/>
  <c r="M26" i="75"/>
  <c r="M29" i="75" s="1"/>
  <c r="E118" i="55"/>
  <c r="E86" i="55"/>
  <c r="X99" i="75"/>
  <c r="X49" i="48"/>
  <c r="W49" i="48"/>
  <c r="V49" i="48"/>
  <c r="U49" i="48"/>
  <c r="I63" i="59"/>
  <c r="I62" i="59" s="1"/>
  <c r="I65" i="59" s="1"/>
  <c r="I66" i="59"/>
  <c r="D33" i="59"/>
  <c r="Y81" i="26"/>
  <c r="Y20" i="26"/>
  <c r="Y78" i="26" s="1"/>
  <c r="O15" i="30"/>
  <c r="O13" i="30"/>
  <c r="O12" i="30" s="1"/>
  <c r="J101" i="75"/>
  <c r="J109" i="75" s="1"/>
  <c r="J37" i="75" s="1"/>
  <c r="I39" i="75"/>
  <c r="I41" i="75" s="1"/>
  <c r="L18" i="38"/>
  <c r="S19" i="38"/>
  <c r="AF37" i="59"/>
  <c r="AF29" i="49"/>
  <c r="AF30" i="49" s="1"/>
  <c r="AG27" i="49"/>
  <c r="F11" i="35"/>
  <c r="G13" i="55" s="1"/>
  <c r="O43" i="30"/>
  <c r="E26" i="21"/>
  <c r="F120" i="55"/>
  <c r="F88" i="55"/>
  <c r="Z13" i="30"/>
  <c r="Z12" i="30" s="1"/>
  <c r="Z15" i="30"/>
  <c r="W14" i="75"/>
  <c r="W16" i="59"/>
  <c r="W14" i="59" s="1"/>
  <c r="W63" i="59" s="1"/>
  <c r="W62" i="59" s="1"/>
  <c r="W65" i="59" s="1"/>
  <c r="X21" i="25"/>
  <c r="AJ13" i="25"/>
  <c r="AI15" i="25"/>
  <c r="AI14" i="25" s="1"/>
  <c r="AI11" i="25" s="1"/>
  <c r="AI20" i="25" s="1"/>
  <c r="AG133" i="48"/>
  <c r="AF25" i="48"/>
  <c r="F22" i="35" s="1"/>
  <c r="G24" i="55" s="1"/>
  <c r="P98" i="75"/>
  <c r="P97" i="75" s="1"/>
  <c r="P100" i="75" s="1"/>
  <c r="P27" i="75"/>
  <c r="P26" i="75" s="1"/>
  <c r="P29" i="75" s="1"/>
  <c r="E10" i="35"/>
  <c r="F12" i="55" s="1"/>
  <c r="AE10" i="26"/>
  <c r="V62" i="59"/>
  <c r="V65" i="59" s="1"/>
  <c r="W47" i="21"/>
  <c r="T4" i="50"/>
  <c r="AA64" i="59"/>
  <c r="AA62" i="59" s="1"/>
  <c r="AA65" i="59" s="1"/>
  <c r="N97" i="75"/>
  <c r="N100" i="75" s="1"/>
  <c r="U99" i="75"/>
  <c r="U97" i="75" s="1"/>
  <c r="U100" i="75" s="1"/>
  <c r="AG32" i="20"/>
  <c r="F5" i="35"/>
  <c r="G7" i="55" s="1"/>
  <c r="T30" i="59"/>
  <c r="M5" i="50" s="1"/>
  <c r="T64" i="59"/>
  <c r="T62" i="59" s="1"/>
  <c r="T65" i="59" s="1"/>
  <c r="H25" i="21"/>
  <c r="I109" i="75"/>
  <c r="I37" i="75" s="1"/>
  <c r="F127" i="55"/>
  <c r="F95" i="55"/>
  <c r="AF27" i="48"/>
  <c r="K40" i="48"/>
  <c r="K68" i="48"/>
  <c r="K75" i="48" s="1"/>
  <c r="L35" i="48"/>
  <c r="E78" i="55"/>
  <c r="E110" i="55"/>
  <c r="R4" i="50"/>
  <c r="Y64" i="59"/>
  <c r="Y85" i="75"/>
  <c r="X34" i="75"/>
  <c r="X24" i="75"/>
  <c r="X28" i="75" s="1"/>
  <c r="X26" i="75" s="1"/>
  <c r="G25" i="21"/>
  <c r="R26" i="75"/>
  <c r="R29" i="75" s="1"/>
  <c r="O20" i="26"/>
  <c r="O78" i="26" s="1"/>
  <c r="O73" i="26" s="1"/>
  <c r="R42" i="38"/>
  <c r="AG12" i="30"/>
  <c r="AO33" i="26"/>
  <c r="T38" i="75"/>
  <c r="T99" i="75"/>
  <c r="T97" i="75" s="1"/>
  <c r="T100" i="75" s="1"/>
  <c r="H106" i="55"/>
  <c r="H74" i="55"/>
  <c r="R97" i="75"/>
  <c r="R100" i="75" s="1"/>
  <c r="Z73" i="26"/>
  <c r="AK20" i="70"/>
  <c r="AK27" i="70" s="1"/>
  <c r="J6" i="71" s="1"/>
  <c r="L32" i="55"/>
  <c r="X51" i="48"/>
  <c r="W51" i="48"/>
  <c r="U51" i="48"/>
  <c r="V51" i="48"/>
  <c r="T44" i="38"/>
  <c r="P43" i="38"/>
  <c r="R43" i="38" s="1"/>
  <c r="M54" i="20"/>
  <c r="M55" i="20" s="1"/>
  <c r="F2" i="50"/>
  <c r="AO35" i="26"/>
  <c r="AP13" i="26" s="1"/>
  <c r="V27" i="75"/>
  <c r="V26" i="75" s="1"/>
  <c r="V29" i="75" s="1"/>
  <c r="V98" i="75"/>
  <c r="V97" i="75" s="1"/>
  <c r="V100" i="75" s="1"/>
  <c r="V42" i="75"/>
  <c r="F4" i="50"/>
  <c r="M64" i="59"/>
  <c r="M62" i="59" s="1"/>
  <c r="M65" i="59" s="1"/>
  <c r="V81" i="26"/>
  <c r="AO13" i="26"/>
  <c r="H4" i="50"/>
  <c r="O64" i="59"/>
  <c r="O62" i="59" s="1"/>
  <c r="O65" i="59" s="1"/>
  <c r="AH12" i="49"/>
  <c r="AE17" i="59"/>
  <c r="AF10" i="33"/>
  <c r="E12" i="35"/>
  <c r="F14" i="55" s="1"/>
  <c r="P76" i="26"/>
  <c r="P27" i="26"/>
  <c r="P15" i="26"/>
  <c r="P20" i="26" s="1"/>
  <c r="P78" i="26" s="1"/>
  <c r="Q28" i="26"/>
  <c r="M99" i="75"/>
  <c r="M97" i="75" s="1"/>
  <c r="M100" i="75" s="1"/>
  <c r="N43" i="30"/>
  <c r="D26" i="21"/>
  <c r="O17" i="26"/>
  <c r="AO17" i="26" s="1"/>
  <c r="AO37" i="26"/>
  <c r="AP16" i="26" s="1"/>
  <c r="D82" i="55"/>
  <c r="D114" i="55"/>
  <c r="O99" i="75"/>
  <c r="O97" i="75" s="1"/>
  <c r="O100" i="75" s="1"/>
  <c r="J128" i="55"/>
  <c r="J96" i="55"/>
  <c r="T26" i="75"/>
  <c r="T29" i="75" s="1"/>
  <c r="I25" i="21"/>
  <c r="N33" i="20"/>
  <c r="N17" i="20"/>
  <c r="AH130" i="48" l="1"/>
  <c r="AG19" i="48"/>
  <c r="G20" i="35" s="1"/>
  <c r="H22" i="55" s="1"/>
  <c r="I128" i="55"/>
  <c r="I96" i="55"/>
  <c r="H96" i="55"/>
  <c r="H128" i="55"/>
  <c r="G128" i="55"/>
  <c r="G96" i="55"/>
  <c r="G70" i="55"/>
  <c r="G102" i="55"/>
  <c r="AH11" i="20"/>
  <c r="AH12" i="20" s="1"/>
  <c r="AH15" i="20" s="1"/>
  <c r="G4" i="35"/>
  <c r="H6" i="55" s="1"/>
  <c r="AI131" i="48"/>
  <c r="AI23" i="48" s="1"/>
  <c r="AI14" i="59"/>
  <c r="I8" i="35"/>
  <c r="J10" i="55" s="1"/>
  <c r="O54" i="20"/>
  <c r="O55" i="20" s="1"/>
  <c r="H2" i="50"/>
  <c r="G104" i="55"/>
  <c r="G72" i="55"/>
  <c r="AH69" i="59"/>
  <c r="AH71" i="59" s="1"/>
  <c r="AH70" i="59" s="1"/>
  <c r="AC54" i="20"/>
  <c r="AC55" i="20" s="1"/>
  <c r="C2" i="35"/>
  <c r="D4" i="55" s="1"/>
  <c r="V2" i="50"/>
  <c r="F78" i="55"/>
  <c r="F110" i="55"/>
  <c r="G120" i="55"/>
  <c r="G88" i="55"/>
  <c r="Y73" i="26"/>
  <c r="AA49" i="48"/>
  <c r="Z49" i="48"/>
  <c r="Y49" i="48"/>
  <c r="AB49" i="48"/>
  <c r="AH32" i="20"/>
  <c r="G5" i="35"/>
  <c r="H7" i="55" s="1"/>
  <c r="G109" i="55"/>
  <c r="G77" i="55"/>
  <c r="X103" i="75"/>
  <c r="W102" i="75"/>
  <c r="G118" i="55"/>
  <c r="G86" i="55"/>
  <c r="Q43" i="30"/>
  <c r="G26" i="21"/>
  <c r="R43" i="30"/>
  <c r="H26" i="21"/>
  <c r="AD78" i="26"/>
  <c r="AD73" i="26" s="1"/>
  <c r="AE20" i="26"/>
  <c r="AD11" i="26"/>
  <c r="AD9" i="26" s="1"/>
  <c r="AK13" i="25"/>
  <c r="AJ15" i="25"/>
  <c r="AJ14" i="25" s="1"/>
  <c r="AJ11" i="25" s="1"/>
  <c r="AJ20" i="25" s="1"/>
  <c r="AG37" i="59"/>
  <c r="AG30" i="49"/>
  <c r="AH27" i="49"/>
  <c r="G11" i="35"/>
  <c r="H13" i="55" s="1"/>
  <c r="AG29" i="49"/>
  <c r="J66" i="59"/>
  <c r="I31" i="59"/>
  <c r="AH132" i="48"/>
  <c r="AH24" i="48" s="1"/>
  <c r="Q27" i="26"/>
  <c r="Q76" i="26"/>
  <c r="Q15" i="26"/>
  <c r="Q20" i="26" s="1"/>
  <c r="Q78" i="26" s="1"/>
  <c r="R28" i="26"/>
  <c r="M33" i="20"/>
  <c r="M17" i="20"/>
  <c r="P44" i="38"/>
  <c r="R44" i="38" s="1"/>
  <c r="R46" i="38" s="1"/>
  <c r="R47" i="38" s="1"/>
  <c r="T45" i="38"/>
  <c r="P45" i="38" s="1"/>
  <c r="R45" i="38" s="1"/>
  <c r="F108" i="55"/>
  <c r="F76" i="55"/>
  <c r="AA17" i="20"/>
  <c r="AA33" i="20"/>
  <c r="L67" i="48"/>
  <c r="L74" i="48" s="1"/>
  <c r="M34" i="48"/>
  <c r="N34" i="48" s="1"/>
  <c r="N39" i="48" s="1"/>
  <c r="L39" i="48"/>
  <c r="Z85" i="75"/>
  <c r="Y34" i="75"/>
  <c r="Y99" i="75" s="1"/>
  <c r="Y24" i="75"/>
  <c r="Y28" i="75" s="1"/>
  <c r="Y26" i="75" s="1"/>
  <c r="AF17" i="59"/>
  <c r="AG10" i="33"/>
  <c r="F12" i="35"/>
  <c r="G14" i="55" s="1"/>
  <c r="G71" i="55"/>
  <c r="G103" i="55"/>
  <c r="L40" i="48"/>
  <c r="L68" i="48"/>
  <c r="L75" i="48" s="1"/>
  <c r="M35" i="48"/>
  <c r="N35" i="48" s="1"/>
  <c r="N40" i="48" s="1"/>
  <c r="I74" i="59"/>
  <c r="I29" i="59" s="1"/>
  <c r="K128" i="55"/>
  <c r="K96" i="55"/>
  <c r="S35" i="38"/>
  <c r="O34" i="38"/>
  <c r="Q34" i="38" s="1"/>
  <c r="X67" i="59"/>
  <c r="Y68" i="59"/>
  <c r="AB54" i="20"/>
  <c r="AB55" i="20" s="1"/>
  <c r="U2" i="50"/>
  <c r="F10" i="35"/>
  <c r="G12" i="55" s="1"/>
  <c r="AF10" i="26"/>
  <c r="F96" i="55"/>
  <c r="F128" i="55"/>
  <c r="AA51" i="48"/>
  <c r="Z51" i="48"/>
  <c r="Y51" i="48"/>
  <c r="AB51" i="48"/>
  <c r="AB104" i="75"/>
  <c r="AB106" i="75" s="1"/>
  <c r="AB105" i="75" s="1"/>
  <c r="AG50" i="59"/>
  <c r="AF26" i="59"/>
  <c r="AF64" i="59" s="1"/>
  <c r="J39" i="75"/>
  <c r="J41" i="75" s="1"/>
  <c r="K101" i="75"/>
  <c r="L38" i="48"/>
  <c r="L66" i="48"/>
  <c r="L73" i="48" s="1"/>
  <c r="M33" i="48"/>
  <c r="N33" i="48" s="1"/>
  <c r="N38" i="48" s="1"/>
  <c r="AG11" i="30"/>
  <c r="AG46" i="30" s="1"/>
  <c r="G6" i="35" s="1"/>
  <c r="H8" i="55" s="1"/>
  <c r="AH12" i="30"/>
  <c r="X16" i="59"/>
  <c r="X14" i="75"/>
  <c r="Y21" i="25"/>
  <c r="X20" i="25"/>
  <c r="X15" i="59" s="1"/>
  <c r="X14" i="59" s="1"/>
  <c r="X63" i="59" s="1"/>
  <c r="X62" i="59" s="1"/>
  <c r="X65" i="59" s="1"/>
  <c r="S20" i="38"/>
  <c r="L20" i="38" s="1"/>
  <c r="N20" i="38" s="1"/>
  <c r="L19" i="38"/>
  <c r="N19" i="38" s="1"/>
  <c r="L65" i="48"/>
  <c r="L72" i="48" s="1"/>
  <c r="M32" i="48"/>
  <c r="N32" i="48" s="1"/>
  <c r="N36" i="48" s="1"/>
  <c r="L36" i="48"/>
  <c r="AD38" i="59"/>
  <c r="C18" i="35"/>
  <c r="D20" i="55" s="1"/>
  <c r="P73" i="26"/>
  <c r="AB50" i="48"/>
  <c r="AA50" i="48"/>
  <c r="Y50" i="48"/>
  <c r="Z50" i="48"/>
  <c r="AH133" i="48"/>
  <c r="AG25" i="48"/>
  <c r="G22" i="35" s="1"/>
  <c r="H24" i="55" s="1"/>
  <c r="Z54" i="20"/>
  <c r="Z55" i="20" s="1"/>
  <c r="S2" i="50"/>
  <c r="S43" i="30"/>
  <c r="I26" i="21"/>
  <c r="N18" i="38"/>
  <c r="AA47" i="48"/>
  <c r="Z47" i="48"/>
  <c r="Y47" i="48"/>
  <c r="AB47" i="48"/>
  <c r="I74" i="55"/>
  <c r="I106" i="55"/>
  <c r="AI12" i="49"/>
  <c r="J18" i="49" s="1"/>
  <c r="J19" i="49" s="1"/>
  <c r="AH17" i="30"/>
  <c r="AG15" i="30"/>
  <c r="AG13" i="30"/>
  <c r="Y14" i="74"/>
  <c r="Y13" i="74" s="1"/>
  <c r="Y11" i="74" s="1"/>
  <c r="Y19" i="74" s="1"/>
  <c r="Z12" i="74"/>
  <c r="AI130" i="48" l="1"/>
  <c r="H102" i="55"/>
  <c r="H70" i="55"/>
  <c r="AI11" i="20"/>
  <c r="AI12" i="20" s="1"/>
  <c r="AI15" i="20" s="1"/>
  <c r="H4" i="35"/>
  <c r="I6" i="55" s="1"/>
  <c r="AJ131" i="48"/>
  <c r="AC104" i="75"/>
  <c r="AC106" i="75" s="1"/>
  <c r="AC105" i="75" s="1"/>
  <c r="AJ14" i="59"/>
  <c r="J8" i="35"/>
  <c r="K10" i="55" s="1"/>
  <c r="J20" i="49"/>
  <c r="K20" i="49"/>
  <c r="AI69" i="59"/>
  <c r="AI71" i="59" s="1"/>
  <c r="AI70" i="59" s="1"/>
  <c r="K39" i="75"/>
  <c r="L101" i="75"/>
  <c r="K109" i="75"/>
  <c r="K37" i="75" s="1"/>
  <c r="G76" i="55"/>
  <c r="G108" i="55"/>
  <c r="M40" i="48"/>
  <c r="AG51" i="48" s="1"/>
  <c r="M68" i="48"/>
  <c r="M75" i="48" s="1"/>
  <c r="AA85" i="75"/>
  <c r="Z34" i="75"/>
  <c r="Z99" i="75" s="1"/>
  <c r="Z24" i="75"/>
  <c r="R27" i="26"/>
  <c r="R76" i="26"/>
  <c r="R73" i="26" s="1"/>
  <c r="R15" i="26"/>
  <c r="R20" i="26" s="1"/>
  <c r="R78" i="26" s="1"/>
  <c r="S28" i="26"/>
  <c r="AH37" i="59"/>
  <c r="AI27" i="49"/>
  <c r="AH29" i="49"/>
  <c r="AH30" i="49" s="1"/>
  <c r="H11" i="35"/>
  <c r="I13" i="55" s="1"/>
  <c r="H120" i="55"/>
  <c r="H88" i="55"/>
  <c r="N46" i="38"/>
  <c r="N47" i="38" s="1"/>
  <c r="AF51" i="48"/>
  <c r="AE51" i="48"/>
  <c r="AD51" i="48"/>
  <c r="AC51" i="48"/>
  <c r="AC16" i="48"/>
  <c r="M39" i="48"/>
  <c r="M67" i="48"/>
  <c r="M74" i="48" s="1"/>
  <c r="Q73" i="26"/>
  <c r="AL13" i="25"/>
  <c r="AK15" i="25"/>
  <c r="AK14" i="25" s="1"/>
  <c r="AK11" i="25" s="1"/>
  <c r="AK20" i="25" s="1"/>
  <c r="AK14" i="59" s="1"/>
  <c r="X102" i="75"/>
  <c r="Y103" i="75"/>
  <c r="AH50" i="59"/>
  <c r="AG26" i="59"/>
  <c r="AG64" i="59" s="1"/>
  <c r="AI133" i="48"/>
  <c r="AH25" i="48"/>
  <c r="H22" i="35" s="1"/>
  <c r="I24" i="55" s="1"/>
  <c r="P46" i="38"/>
  <c r="P47" i="38" s="1"/>
  <c r="AE38" i="59"/>
  <c r="D18" i="35"/>
  <c r="E20" i="55" s="1"/>
  <c r="Z17" i="20"/>
  <c r="Z33" i="20"/>
  <c r="Y54" i="20"/>
  <c r="Y55" i="20" s="1"/>
  <c r="R2" i="50"/>
  <c r="Y16" i="59"/>
  <c r="Y20" i="25"/>
  <c r="Y15" i="59" s="1"/>
  <c r="Y14" i="59" s="1"/>
  <c r="Y63" i="59" s="1"/>
  <c r="Y62" i="59" s="1"/>
  <c r="Y65" i="59" s="1"/>
  <c r="O33" i="20"/>
  <c r="O17" i="20"/>
  <c r="H109" i="55"/>
  <c r="H77" i="55"/>
  <c r="AI17" i="30"/>
  <c r="AH13" i="30"/>
  <c r="H71" i="55"/>
  <c r="H103" i="55"/>
  <c r="AE50" i="48"/>
  <c r="AD50" i="48"/>
  <c r="AC50" i="48"/>
  <c r="AF50" i="48"/>
  <c r="AD14" i="48"/>
  <c r="AE14" i="48" s="1"/>
  <c r="AF14" i="48" s="1"/>
  <c r="AG14" i="48" s="1"/>
  <c r="AH14" i="48" s="1"/>
  <c r="AI14" i="48" s="1"/>
  <c r="AJ14" i="48" s="1"/>
  <c r="AK14" i="48" s="1"/>
  <c r="AL14" i="48" s="1"/>
  <c r="AM14" i="48" s="1"/>
  <c r="AN14" i="48" s="1"/>
  <c r="AB17" i="20"/>
  <c r="AB33" i="20"/>
  <c r="L46" i="38"/>
  <c r="L47" i="38" s="1"/>
  <c r="Y67" i="59"/>
  <c r="Z68" i="59"/>
  <c r="H118" i="55"/>
  <c r="H86" i="55"/>
  <c r="AE11" i="26"/>
  <c r="AE9" i="26" s="1"/>
  <c r="AE78" i="26"/>
  <c r="AE73" i="26" s="1"/>
  <c r="AF20" i="26"/>
  <c r="AI32" i="20"/>
  <c r="H5" i="35"/>
  <c r="I7" i="55" s="1"/>
  <c r="AJ12" i="49"/>
  <c r="Z14" i="74"/>
  <c r="Z13" i="74" s="1"/>
  <c r="Z11" i="74"/>
  <c r="Z19" i="74" s="1"/>
  <c r="AA12" i="74"/>
  <c r="AI12" i="30"/>
  <c r="AH11" i="30"/>
  <c r="AH46" i="30" s="1"/>
  <c r="H6" i="35" s="1"/>
  <c r="I8" i="55" s="1"/>
  <c r="AI132" i="48"/>
  <c r="AI24" i="48" s="1"/>
  <c r="AH19" i="48"/>
  <c r="H20" i="35" s="1"/>
  <c r="I22" i="55" s="1"/>
  <c r="AD54" i="20"/>
  <c r="AD55" i="20" s="1"/>
  <c r="D2" i="35"/>
  <c r="E4" i="55" s="1"/>
  <c r="J74" i="55"/>
  <c r="J106" i="55"/>
  <c r="M36" i="48"/>
  <c r="AG10" i="48" s="1"/>
  <c r="AK10" i="48" s="1"/>
  <c r="AL10" i="48" s="1"/>
  <c r="AM10" i="48" s="1"/>
  <c r="AN10" i="48" s="1"/>
  <c r="M65" i="48"/>
  <c r="M72" i="48" s="1"/>
  <c r="H104" i="55"/>
  <c r="H72" i="55"/>
  <c r="G78" i="55"/>
  <c r="G110" i="55"/>
  <c r="I33" i="59"/>
  <c r="D100" i="55"/>
  <c r="D68" i="55"/>
  <c r="AF49" i="48"/>
  <c r="AE49" i="48"/>
  <c r="AD49" i="48"/>
  <c r="AC49" i="48"/>
  <c r="AD12" i="48"/>
  <c r="AJ37" i="80" s="1"/>
  <c r="AF47" i="48"/>
  <c r="AE47" i="48"/>
  <c r="AC47" i="48"/>
  <c r="AD47" i="48"/>
  <c r="P54" i="20"/>
  <c r="P55" i="20" s="1"/>
  <c r="I2" i="50"/>
  <c r="M66" i="48"/>
  <c r="M73" i="48" s="1"/>
  <c r="M38" i="48"/>
  <c r="O35" i="38"/>
  <c r="Q35" i="38" s="1"/>
  <c r="S36" i="38"/>
  <c r="O36" i="38" s="1"/>
  <c r="AG17" i="59"/>
  <c r="AH10" i="33"/>
  <c r="G12" i="35"/>
  <c r="H14" i="55" s="1"/>
  <c r="J31" i="59"/>
  <c r="K66" i="59"/>
  <c r="J74" i="59"/>
  <c r="J29" i="59" s="1"/>
  <c r="D84" i="55"/>
  <c r="D116" i="55"/>
  <c r="G10" i="35"/>
  <c r="H12" i="55" s="1"/>
  <c r="AG10" i="26"/>
  <c r="AC33" i="20"/>
  <c r="AC17" i="20"/>
  <c r="AK131" i="48" l="1"/>
  <c r="AJ23" i="48"/>
  <c r="AJ130" i="48"/>
  <c r="I4" i="35"/>
  <c r="J6" i="55" s="1"/>
  <c r="AJ11" i="20"/>
  <c r="AJ12" i="20" s="1"/>
  <c r="AJ15" i="20" s="1"/>
  <c r="I70" i="55"/>
  <c r="I102" i="55"/>
  <c r="AJ69" i="59"/>
  <c r="AJ71" i="59" s="1"/>
  <c r="AJ70" i="59" s="1"/>
  <c r="M92" i="59"/>
  <c r="AD104" i="75"/>
  <c r="AD106" i="75" s="1"/>
  <c r="AD105" i="75" s="1"/>
  <c r="AI37" i="59"/>
  <c r="AJ27" i="49"/>
  <c r="AI29" i="49"/>
  <c r="I11" i="35"/>
  <c r="J13" i="55" s="1"/>
  <c r="AJ12" i="30"/>
  <c r="AI11" i="30"/>
  <c r="AI46" i="30" s="1"/>
  <c r="I6" i="35" s="1"/>
  <c r="J8" i="55" s="1"/>
  <c r="M101" i="75"/>
  <c r="L39" i="75"/>
  <c r="L109" i="75"/>
  <c r="L37" i="75" s="1"/>
  <c r="AA14" i="74"/>
  <c r="AA13" i="74" s="1"/>
  <c r="AA11" i="74" s="1"/>
  <c r="AA19" i="74" s="1"/>
  <c r="AB12" i="74"/>
  <c r="AI13" i="30"/>
  <c r="AJ17" i="30"/>
  <c r="E116" i="55"/>
  <c r="E84" i="55"/>
  <c r="AJ50" i="48"/>
  <c r="AI50" i="48"/>
  <c r="AH50" i="48"/>
  <c r="AG50" i="48"/>
  <c r="K41" i="75"/>
  <c r="I118" i="55"/>
  <c r="I86" i="55"/>
  <c r="H10" i="35"/>
  <c r="I12" i="55" s="1"/>
  <c r="AH10" i="26"/>
  <c r="I104" i="55"/>
  <c r="I72" i="55"/>
  <c r="Q54" i="20"/>
  <c r="Q55" i="20" s="1"/>
  <c r="J2" i="50"/>
  <c r="K31" i="59"/>
  <c r="L66" i="59"/>
  <c r="K74" i="59"/>
  <c r="K29" i="59" s="1"/>
  <c r="AF38" i="59"/>
  <c r="E18" i="35"/>
  <c r="F20" i="55" s="1"/>
  <c r="AC118" i="48"/>
  <c r="AD118" i="48" s="1"/>
  <c r="AE118" i="48" s="1"/>
  <c r="AF118" i="48" s="1"/>
  <c r="AG118" i="48" s="1"/>
  <c r="AH118" i="48" s="1"/>
  <c r="AI118" i="48" s="1"/>
  <c r="AJ118" i="48" s="1"/>
  <c r="AK118" i="48" s="1"/>
  <c r="AL118" i="48" s="1"/>
  <c r="AM118" i="48" s="1"/>
  <c r="AN118" i="48" s="1"/>
  <c r="AD16" i="48"/>
  <c r="C21" i="35"/>
  <c r="D23" i="55" s="1"/>
  <c r="S27" i="26"/>
  <c r="S15" i="26"/>
  <c r="S76" i="26"/>
  <c r="T28" i="26"/>
  <c r="AJ132" i="48"/>
  <c r="AI19" i="48"/>
  <c r="I20" i="35" s="1"/>
  <c r="J22" i="55" s="1"/>
  <c r="Z67" i="59"/>
  <c r="AA68" i="59"/>
  <c r="J33" i="59"/>
  <c r="AD28" i="48"/>
  <c r="AE12" i="48"/>
  <c r="AD9" i="48"/>
  <c r="AG20" i="26"/>
  <c r="AF11" i="26"/>
  <c r="AF9" i="26" s="1"/>
  <c r="AF78" i="26"/>
  <c r="AF73" i="26" s="1"/>
  <c r="AM13" i="25"/>
  <c r="AL15" i="25"/>
  <c r="AL14" i="25" s="1"/>
  <c r="AL11" i="25"/>
  <c r="AL20" i="25" s="1"/>
  <c r="AL14" i="59" s="1"/>
  <c r="H110" i="55"/>
  <c r="H78" i="55"/>
  <c r="I88" i="55"/>
  <c r="I120" i="55"/>
  <c r="R54" i="20"/>
  <c r="R55" i="20" s="1"/>
  <c r="K2" i="50"/>
  <c r="AJ133" i="48"/>
  <c r="AI25" i="48"/>
  <c r="I22" i="35" s="1"/>
  <c r="J24" i="55" s="1"/>
  <c r="P33" i="20"/>
  <c r="P17" i="20"/>
  <c r="Z28" i="75"/>
  <c r="Z26" i="75" s="1"/>
  <c r="Y17" i="20"/>
  <c r="Y33" i="20"/>
  <c r="AK12" i="49"/>
  <c r="AL12" i="49" s="1"/>
  <c r="AM12" i="49" s="1"/>
  <c r="AH26" i="59"/>
  <c r="AH64" i="59" s="1"/>
  <c r="AI50" i="59"/>
  <c r="K74" i="55"/>
  <c r="K106" i="55"/>
  <c r="Q36" i="38"/>
  <c r="O46" i="38"/>
  <c r="O47" i="38" s="1"/>
  <c r="Q46" i="38"/>
  <c r="Q47" i="38" s="1"/>
  <c r="Y14" i="75"/>
  <c r="Y102" i="75"/>
  <c r="Z103" i="75"/>
  <c r="AB85" i="75"/>
  <c r="AA34" i="75"/>
  <c r="AA99" i="75" s="1"/>
  <c r="AA24" i="75"/>
  <c r="H76" i="55"/>
  <c r="H108" i="55"/>
  <c r="AG49" i="48"/>
  <c r="AH49" i="48"/>
  <c r="AJ49" i="48"/>
  <c r="AI49" i="48"/>
  <c r="E68" i="55"/>
  <c r="E100" i="55"/>
  <c r="I103" i="55"/>
  <c r="I71" i="55"/>
  <c r="AE54" i="20"/>
  <c r="AE55" i="20" s="1"/>
  <c r="E2" i="35"/>
  <c r="F4" i="55" s="1"/>
  <c r="AH17" i="59"/>
  <c r="AI10" i="33"/>
  <c r="H12" i="35"/>
  <c r="I14" i="55" s="1"/>
  <c r="AI47" i="48"/>
  <c r="AH47" i="48"/>
  <c r="AG47" i="48"/>
  <c r="AJ47" i="48"/>
  <c r="AJ32" i="20"/>
  <c r="I5" i="35"/>
  <c r="J7" i="55" s="1"/>
  <c r="I109" i="55"/>
  <c r="I77" i="55"/>
  <c r="AK132" i="48" l="1"/>
  <c r="AJ24" i="48"/>
  <c r="AJ25" i="48"/>
  <c r="J22" i="35" s="1"/>
  <c r="K24" i="55" s="1"/>
  <c r="K88" i="55" s="1"/>
  <c r="AK133" i="48"/>
  <c r="AL131" i="48"/>
  <c r="AK23" i="48"/>
  <c r="AK130" i="48"/>
  <c r="AJ19" i="48"/>
  <c r="J20" i="35" s="1"/>
  <c r="K22" i="55" s="1"/>
  <c r="J4" i="35"/>
  <c r="K6" i="55" s="1"/>
  <c r="AK11" i="20"/>
  <c r="AK12" i="20" s="1"/>
  <c r="AK15" i="20" s="1"/>
  <c r="J70" i="55"/>
  <c r="J102" i="55"/>
  <c r="AE104" i="75"/>
  <c r="AE106" i="75" s="1"/>
  <c r="AE105" i="75" s="1"/>
  <c r="AK69" i="59"/>
  <c r="AK71" i="59" s="1"/>
  <c r="AK70" i="59"/>
  <c r="I110" i="55"/>
  <c r="I78" i="55"/>
  <c r="I10" i="35"/>
  <c r="J12" i="55" s="1"/>
  <c r="AI10" i="26"/>
  <c r="F68" i="55"/>
  <c r="F100" i="55"/>
  <c r="J118" i="55"/>
  <c r="J86" i="55"/>
  <c r="K33" i="59"/>
  <c r="D3" i="50" s="1"/>
  <c r="AJ37" i="59"/>
  <c r="AJ30" i="49"/>
  <c r="AK27" i="49"/>
  <c r="K11" i="35" s="1"/>
  <c r="L13" i="55" s="1"/>
  <c r="AJ29" i="49"/>
  <c r="J11" i="35"/>
  <c r="K13" i="55" s="1"/>
  <c r="AI30" i="49"/>
  <c r="J104" i="55"/>
  <c r="J72" i="55"/>
  <c r="J109" i="55"/>
  <c r="J77" i="55"/>
  <c r="Q17" i="20"/>
  <c r="Q33" i="20"/>
  <c r="AJ13" i="30"/>
  <c r="AJ11" i="30" s="1"/>
  <c r="AJ46" i="30" s="1"/>
  <c r="J6" i="35" s="1"/>
  <c r="K8" i="55" s="1"/>
  <c r="AK17" i="30"/>
  <c r="AA67" i="59"/>
  <c r="AB68" i="59"/>
  <c r="AC85" i="75"/>
  <c r="AB34" i="75"/>
  <c r="AB99" i="75" s="1"/>
  <c r="AB24" i="75"/>
  <c r="J103" i="55"/>
  <c r="J71" i="55"/>
  <c r="Z102" i="75"/>
  <c r="AA103" i="75"/>
  <c r="AK32" i="20"/>
  <c r="J5" i="35"/>
  <c r="K7" i="55" s="1"/>
  <c r="T27" i="26"/>
  <c r="T76" i="26"/>
  <c r="T73" i="26" s="1"/>
  <c r="T15" i="26"/>
  <c r="T20" i="26" s="1"/>
  <c r="T78" i="26" s="1"/>
  <c r="U28" i="26"/>
  <c r="R33" i="20"/>
  <c r="R17" i="20"/>
  <c r="AI17" i="59"/>
  <c r="AJ10" i="33"/>
  <c r="I12" i="35"/>
  <c r="J14" i="55" s="1"/>
  <c r="J22" i="33"/>
  <c r="AI26" i="59"/>
  <c r="AI64" i="59" s="1"/>
  <c r="AJ50" i="59"/>
  <c r="AN13" i="25"/>
  <c r="AM15" i="25"/>
  <c r="AM14" i="25" s="1"/>
  <c r="AM11" i="25" s="1"/>
  <c r="AM20" i="25" s="1"/>
  <c r="AM14" i="59" s="1"/>
  <c r="S73" i="26"/>
  <c r="AB14" i="74"/>
  <c r="AB13" i="74" s="1"/>
  <c r="AB11" i="74"/>
  <c r="AB19" i="74" s="1"/>
  <c r="AC12" i="74"/>
  <c r="AG38" i="59"/>
  <c r="F18" i="35"/>
  <c r="G20" i="55" s="1"/>
  <c r="AA28" i="75"/>
  <c r="AA26" i="75" s="1"/>
  <c r="AN12" i="49"/>
  <c r="AF54" i="20"/>
  <c r="AF55" i="20" s="1"/>
  <c r="F2" i="35"/>
  <c r="G4" i="55" s="1"/>
  <c r="S20" i="26"/>
  <c r="S78" i="26" s="1"/>
  <c r="I76" i="55"/>
  <c r="I108" i="55"/>
  <c r="M93" i="59"/>
  <c r="M95" i="59"/>
  <c r="AK12" i="30"/>
  <c r="AG78" i="26"/>
  <c r="AG73" i="26" s="1"/>
  <c r="AG11" i="26"/>
  <c r="AG9" i="26" s="1"/>
  <c r="AH20" i="26"/>
  <c r="D87" i="55"/>
  <c r="D119" i="55"/>
  <c r="M66" i="59"/>
  <c r="L31" i="59"/>
  <c r="L33" i="59" s="1"/>
  <c r="E3" i="50" s="1"/>
  <c r="L74" i="59"/>
  <c r="L29" i="59" s="1"/>
  <c r="AH10" i="48"/>
  <c r="AG27" i="48"/>
  <c r="J88" i="55"/>
  <c r="J120" i="55"/>
  <c r="AD26" i="48"/>
  <c r="D19" i="35"/>
  <c r="E21" i="55" s="1"/>
  <c r="AE16" i="48"/>
  <c r="D21" i="35"/>
  <c r="E23" i="55" s="1"/>
  <c r="L41" i="75"/>
  <c r="F116" i="55"/>
  <c r="F84" i="55"/>
  <c r="AE28" i="48"/>
  <c r="AF12" i="48"/>
  <c r="AE9" i="48"/>
  <c r="N101" i="75"/>
  <c r="M39" i="75"/>
  <c r="M41" i="75" s="1"/>
  <c r="M109" i="75"/>
  <c r="M37" i="75" s="1"/>
  <c r="AM131" i="48" l="1"/>
  <c r="AL23" i="48"/>
  <c r="AL133" i="48"/>
  <c r="AK25" i="48"/>
  <c r="K22" i="35" s="1"/>
  <c r="L24" i="55" s="1"/>
  <c r="K120" i="55"/>
  <c r="AL132" i="48"/>
  <c r="AK24" i="48"/>
  <c r="K86" i="55"/>
  <c r="K118" i="55"/>
  <c r="AL130" i="48"/>
  <c r="AL32" i="20"/>
  <c r="AM32" i="20" s="1"/>
  <c r="AN32" i="20" s="1"/>
  <c r="K5" i="35"/>
  <c r="L7" i="55" s="1"/>
  <c r="AL11" i="20"/>
  <c r="K4" i="35"/>
  <c r="L6" i="55" s="1"/>
  <c r="K102" i="55"/>
  <c r="K70" i="55"/>
  <c r="K72" i="55"/>
  <c r="K104" i="55"/>
  <c r="AF104" i="75"/>
  <c r="AF106" i="75" s="1"/>
  <c r="AF105" i="75"/>
  <c r="G68" i="55"/>
  <c r="G100" i="55"/>
  <c r="E87" i="55"/>
  <c r="E119" i="55"/>
  <c r="K103" i="55"/>
  <c r="K71" i="55"/>
  <c r="AH78" i="26"/>
  <c r="AH73" i="26" s="1"/>
  <c r="AH11" i="26"/>
  <c r="AH9" i="26" s="1"/>
  <c r="AI20" i="26"/>
  <c r="AF16" i="48"/>
  <c r="E21" i="35"/>
  <c r="F23" i="55" s="1"/>
  <c r="E85" i="55"/>
  <c r="E117" i="55"/>
  <c r="AG54" i="20"/>
  <c r="AG55" i="20" s="1"/>
  <c r="G2" i="35"/>
  <c r="H4" i="55" s="1"/>
  <c r="AJ26" i="59"/>
  <c r="AJ64" i="59" s="1"/>
  <c r="AK50" i="59"/>
  <c r="AA102" i="75"/>
  <c r="AB103" i="75"/>
  <c r="G116" i="55"/>
  <c r="G84" i="55"/>
  <c r="J108" i="55"/>
  <c r="J76" i="55"/>
  <c r="AL12" i="30"/>
  <c r="AH38" i="59"/>
  <c r="G18" i="35"/>
  <c r="H20" i="55" s="1"/>
  <c r="AE26" i="48"/>
  <c r="E19" i="35"/>
  <c r="F21" i="55" s="1"/>
  <c r="AC14" i="74"/>
  <c r="AC13" i="74" s="1"/>
  <c r="AC11" i="74" s="1"/>
  <c r="AC19" i="74" s="1"/>
  <c r="J78" i="55"/>
  <c r="J110" i="55"/>
  <c r="T54" i="20"/>
  <c r="T55" i="20" s="1"/>
  <c r="M2" i="50"/>
  <c r="AF28" i="48"/>
  <c r="AG12" i="48"/>
  <c r="AF9" i="48"/>
  <c r="AJ17" i="59"/>
  <c r="AK10" i="33"/>
  <c r="K12" i="35" s="1"/>
  <c r="L14" i="55" s="1"/>
  <c r="J12" i="35"/>
  <c r="K14" i="55" s="1"/>
  <c r="N39" i="75"/>
  <c r="O101" i="75"/>
  <c r="N109" i="75"/>
  <c r="N37" i="75" s="1"/>
  <c r="AB28" i="75"/>
  <c r="AB26" i="75" s="1"/>
  <c r="K109" i="55"/>
  <c r="K77" i="55"/>
  <c r="AL69" i="59"/>
  <c r="AL71" i="59" s="1"/>
  <c r="AL70" i="59"/>
  <c r="AD85" i="75"/>
  <c r="AE85" i="75" s="1"/>
  <c r="AF85" i="75" s="1"/>
  <c r="AG85" i="75" s="1"/>
  <c r="AC34" i="75"/>
  <c r="AC99" i="75" s="1"/>
  <c r="AC24" i="75"/>
  <c r="AJ10" i="26"/>
  <c r="J10" i="35"/>
  <c r="K12" i="55" s="1"/>
  <c r="AH27" i="48"/>
  <c r="AI10" i="48"/>
  <c r="S54" i="20"/>
  <c r="S55" i="20" s="1"/>
  <c r="L2" i="50"/>
  <c r="AC68" i="59"/>
  <c r="AB67" i="59"/>
  <c r="AL27" i="49"/>
  <c r="AK37" i="59"/>
  <c r="AK29" i="49"/>
  <c r="U27" i="26"/>
  <c r="U15" i="26"/>
  <c r="U20" i="26" s="1"/>
  <c r="U78" i="26" s="1"/>
  <c r="V28" i="26"/>
  <c r="U76" i="26"/>
  <c r="U73" i="26" s="1"/>
  <c r="M31" i="59"/>
  <c r="N66" i="59"/>
  <c r="M74" i="59"/>
  <c r="M29" i="59" s="1"/>
  <c r="AN15" i="25"/>
  <c r="AN14" i="25" s="1"/>
  <c r="AN11" i="25"/>
  <c r="AN20" i="25" s="1"/>
  <c r="AN14" i="59" s="1"/>
  <c r="AK13" i="30"/>
  <c r="AK11" i="30" s="1"/>
  <c r="AK46" i="30" s="1"/>
  <c r="AL17" i="30"/>
  <c r="AM132" i="48" l="1"/>
  <c r="AL24" i="48"/>
  <c r="AM133" i="48"/>
  <c r="AL25" i="48"/>
  <c r="AN131" i="48"/>
  <c r="AN23" i="48" s="1"/>
  <c r="AM23" i="48"/>
  <c r="AK27" i="48"/>
  <c r="AK19" i="48"/>
  <c r="K20" i="35" s="1"/>
  <c r="L22" i="55" s="1"/>
  <c r="AM130" i="48"/>
  <c r="AM11" i="20"/>
  <c r="AL12" i="20"/>
  <c r="AL15" i="20" s="1"/>
  <c r="AK10" i="26"/>
  <c r="K10" i="35"/>
  <c r="L12" i="55" s="1"/>
  <c r="AK30" i="49"/>
  <c r="AD68" i="59"/>
  <c r="AC67" i="59"/>
  <c r="U54" i="20"/>
  <c r="U55" i="20" s="1"/>
  <c r="N2" i="50"/>
  <c r="O39" i="75"/>
  <c r="P101" i="75"/>
  <c r="O109" i="75"/>
  <c r="O37" i="75" s="1"/>
  <c r="AK26" i="59"/>
  <c r="AK64" i="59" s="1"/>
  <c r="AL50" i="59"/>
  <c r="AI27" i="48"/>
  <c r="AJ10" i="48"/>
  <c r="V76" i="26"/>
  <c r="V73" i="26" s="1"/>
  <c r="V15" i="26"/>
  <c r="V20" i="26" s="1"/>
  <c r="V78" i="26" s="1"/>
  <c r="V27" i="26"/>
  <c r="W28" i="26"/>
  <c r="K108" i="55"/>
  <c r="K76" i="55"/>
  <c r="N41" i="75"/>
  <c r="D135" i="75"/>
  <c r="F85" i="55"/>
  <c r="F117" i="55"/>
  <c r="M33" i="59"/>
  <c r="F3" i="50" s="1"/>
  <c r="AB102" i="75"/>
  <c r="AC103" i="75"/>
  <c r="K78" i="55"/>
  <c r="K110" i="55"/>
  <c r="H68" i="55"/>
  <c r="H100" i="55"/>
  <c r="T17" i="20"/>
  <c r="T33" i="20"/>
  <c r="AK17" i="59"/>
  <c r="AL10" i="33"/>
  <c r="H116" i="55"/>
  <c r="H84" i="55"/>
  <c r="AC28" i="75"/>
  <c r="AC26" i="75" s="1"/>
  <c r="AI38" i="59"/>
  <c r="H18" i="35"/>
  <c r="I20" i="55" s="1"/>
  <c r="AH54" i="20"/>
  <c r="AH55" i="20" s="1"/>
  <c r="H2" i="35"/>
  <c r="I4" i="55" s="1"/>
  <c r="O66" i="59"/>
  <c r="N31" i="59"/>
  <c r="N74" i="59"/>
  <c r="N29" i="59" s="1"/>
  <c r="AM12" i="30"/>
  <c r="S33" i="20"/>
  <c r="S17" i="20"/>
  <c r="AL13" i="30"/>
  <c r="AL11" i="30" s="1"/>
  <c r="AL46" i="30" s="1"/>
  <c r="AM17" i="30"/>
  <c r="AM27" i="49"/>
  <c r="AL29" i="49"/>
  <c r="AL10" i="26" s="1"/>
  <c r="AL37" i="59"/>
  <c r="AM69" i="59"/>
  <c r="AM71" i="59" s="1"/>
  <c r="AM70" i="59"/>
  <c r="N92" i="59" s="1"/>
  <c r="AF26" i="48"/>
  <c r="F19" i="35"/>
  <c r="G21" i="55" s="1"/>
  <c r="F119" i="55"/>
  <c r="F87" i="55"/>
  <c r="AG28" i="48"/>
  <c r="AH12" i="48"/>
  <c r="AG9" i="48"/>
  <c r="AG16" i="48"/>
  <c r="F21" i="35"/>
  <c r="G23" i="55" s="1"/>
  <c r="AI11" i="26"/>
  <c r="AI9" i="26" s="1"/>
  <c r="AI78" i="26"/>
  <c r="AI73" i="26" s="1"/>
  <c r="AJ20" i="26"/>
  <c r="AN133" i="48" l="1"/>
  <c r="AN25" i="48" s="1"/>
  <c r="AM25" i="48"/>
  <c r="AN132" i="48"/>
  <c r="AN24" i="48" s="1"/>
  <c r="AM24" i="48"/>
  <c r="AL27" i="48"/>
  <c r="AL19" i="48"/>
  <c r="AN130" i="48"/>
  <c r="AN11" i="20"/>
  <c r="AN12" i="20" s="1"/>
  <c r="AM12" i="20"/>
  <c r="AM15" i="20" s="1"/>
  <c r="N93" i="59"/>
  <c r="N95" i="59"/>
  <c r="AJ27" i="48"/>
  <c r="AD103" i="75"/>
  <c r="AC102" i="75"/>
  <c r="G87" i="55"/>
  <c r="G119" i="55"/>
  <c r="AL26" i="59"/>
  <c r="AL64" i="59" s="1"/>
  <c r="AM50" i="59"/>
  <c r="AN12" i="30"/>
  <c r="AN11" i="30" s="1"/>
  <c r="AN46" i="30" s="1"/>
  <c r="AM11" i="30"/>
  <c r="AM46" i="30" s="1"/>
  <c r="AI12" i="48"/>
  <c r="AH28" i="48"/>
  <c r="AH9" i="48"/>
  <c r="AG26" i="48"/>
  <c r="G19" i="35"/>
  <c r="H21" i="55" s="1"/>
  <c r="G85" i="55"/>
  <c r="G117" i="55"/>
  <c r="AL17" i="59"/>
  <c r="AM10" i="33"/>
  <c r="Q101" i="75"/>
  <c r="P39" i="75"/>
  <c r="P109" i="75"/>
  <c r="P37" i="75" s="1"/>
  <c r="O41" i="75"/>
  <c r="N33" i="59"/>
  <c r="G3" i="50" s="1"/>
  <c r="AM13" i="30"/>
  <c r="AN17" i="30"/>
  <c r="AN13" i="30" s="1"/>
  <c r="AN69" i="59"/>
  <c r="AN71" i="59" s="1"/>
  <c r="AN70" i="59"/>
  <c r="AJ78" i="26"/>
  <c r="AJ73" i="26" s="1"/>
  <c r="AJ11" i="26"/>
  <c r="AJ9" i="26" s="1"/>
  <c r="AK20" i="26"/>
  <c r="P66" i="59"/>
  <c r="O31" i="59"/>
  <c r="O74" i="59"/>
  <c r="O29" i="59" s="1"/>
  <c r="U33" i="20"/>
  <c r="U17" i="20"/>
  <c r="AI54" i="20"/>
  <c r="AI55" i="20" s="1"/>
  <c r="I2" i="35"/>
  <c r="J4" i="55" s="1"/>
  <c r="AL30" i="49"/>
  <c r="I100" i="55"/>
  <c r="I68" i="55"/>
  <c r="W15" i="26"/>
  <c r="W20" i="26" s="1"/>
  <c r="W78" i="26" s="1"/>
  <c r="X28" i="26"/>
  <c r="W76" i="26"/>
  <c r="W27" i="26"/>
  <c r="I116" i="55"/>
  <c r="I84" i="55"/>
  <c r="AE68" i="59"/>
  <c r="AD67" i="59"/>
  <c r="AH16" i="48"/>
  <c r="G21" i="35"/>
  <c r="H23" i="55" s="1"/>
  <c r="AM37" i="59"/>
  <c r="AN27" i="49"/>
  <c r="AM30" i="49"/>
  <c r="AM29" i="49"/>
  <c r="AM10" i="26" s="1"/>
  <c r="AJ38" i="59"/>
  <c r="I18" i="35"/>
  <c r="J20" i="55" s="1"/>
  <c r="V54" i="20"/>
  <c r="V55" i="20" s="1"/>
  <c r="O2" i="50"/>
  <c r="AM27" i="48" l="1"/>
  <c r="AM19" i="48"/>
  <c r="AN27" i="48"/>
  <c r="AN19" i="48"/>
  <c r="AN15" i="20"/>
  <c r="R101" i="75"/>
  <c r="Q39" i="75"/>
  <c r="Q109" i="75"/>
  <c r="Q37" i="75" s="1"/>
  <c r="AF68" i="59"/>
  <c r="AE67" i="59"/>
  <c r="Q66" i="59"/>
  <c r="P31" i="59"/>
  <c r="P74" i="59"/>
  <c r="P29" i="59" s="1"/>
  <c r="AM17" i="59"/>
  <c r="AN10" i="33"/>
  <c r="AN17" i="59" s="1"/>
  <c r="K22" i="33"/>
  <c r="O33" i="59"/>
  <c r="H3" i="50" s="1"/>
  <c r="V17" i="20"/>
  <c r="V33" i="20"/>
  <c r="AK78" i="26"/>
  <c r="AK73" i="26" s="1"/>
  <c r="AK54" i="20" s="1"/>
  <c r="AK55" i="20" s="1"/>
  <c r="AK11" i="26"/>
  <c r="AK9" i="26" s="1"/>
  <c r="AL20" i="26"/>
  <c r="J116" i="55"/>
  <c r="J84" i="55"/>
  <c r="W73" i="26"/>
  <c r="AD102" i="75"/>
  <c r="AE103" i="75"/>
  <c r="AM26" i="59"/>
  <c r="AM64" i="59" s="1"/>
  <c r="AN50" i="59"/>
  <c r="AN26" i="59" s="1"/>
  <c r="AN64" i="59" s="1"/>
  <c r="P41" i="75"/>
  <c r="AK38" i="59"/>
  <c r="AL38" i="59" s="1"/>
  <c r="AM38" i="59" s="1"/>
  <c r="AN38" i="59" s="1"/>
  <c r="J18" i="35"/>
  <c r="K20" i="55" s="1"/>
  <c r="X15" i="26"/>
  <c r="X76" i="26"/>
  <c r="X27" i="26"/>
  <c r="AO27" i="26" s="1"/>
  <c r="AO28" i="26"/>
  <c r="AP15" i="26" s="1"/>
  <c r="AJ54" i="20"/>
  <c r="AJ55" i="20" s="1"/>
  <c r="J2" i="35"/>
  <c r="K4" i="55" s="1"/>
  <c r="H85" i="55"/>
  <c r="H117" i="55"/>
  <c r="AI16" i="48"/>
  <c r="H21" i="35"/>
  <c r="I23" i="55" s="1"/>
  <c r="AN37" i="59"/>
  <c r="AN29" i="49"/>
  <c r="AN10" i="26" s="1"/>
  <c r="AH26" i="48"/>
  <c r="H19" i="35"/>
  <c r="I21" i="55" s="1"/>
  <c r="H87" i="55"/>
  <c r="H119" i="55"/>
  <c r="J100" i="55"/>
  <c r="J68" i="55"/>
  <c r="AJ12" i="48"/>
  <c r="AK12" i="48" s="1"/>
  <c r="AK28" i="48" s="1"/>
  <c r="AI28" i="48"/>
  <c r="AI9" i="48"/>
  <c r="AJ28" i="48" l="1"/>
  <c r="AJ9" i="48"/>
  <c r="AF103" i="75"/>
  <c r="AF102" i="75" s="1"/>
  <c r="AE102" i="75"/>
  <c r="K100" i="55"/>
  <c r="K68" i="55"/>
  <c r="P33" i="59"/>
  <c r="I3" i="50" s="1"/>
  <c r="R66" i="59"/>
  <c r="Q31" i="59"/>
  <c r="Q74" i="59"/>
  <c r="Q29" i="59" s="1"/>
  <c r="W54" i="20"/>
  <c r="W55" i="20" s="1"/>
  <c r="P2" i="50"/>
  <c r="AJ16" i="48"/>
  <c r="I21" i="35"/>
  <c r="J23" i="55" s="1"/>
  <c r="AG68" i="59"/>
  <c r="AF67" i="59"/>
  <c r="AI26" i="48"/>
  <c r="I19" i="35"/>
  <c r="J21" i="55" s="1"/>
  <c r="I85" i="55"/>
  <c r="I117" i="55"/>
  <c r="X73" i="26"/>
  <c r="AM20" i="26"/>
  <c r="AL11" i="26"/>
  <c r="AL9" i="26" s="1"/>
  <c r="AL78" i="26"/>
  <c r="AL73" i="26" s="1"/>
  <c r="AL54" i="20" s="1"/>
  <c r="AL55" i="20" s="1"/>
  <c r="I119" i="55"/>
  <c r="I87" i="55"/>
  <c r="X20" i="26"/>
  <c r="X78" i="26" s="1"/>
  <c r="AO15" i="26"/>
  <c r="Q41" i="75"/>
  <c r="AN30" i="49"/>
  <c r="K116" i="55"/>
  <c r="K84" i="55"/>
  <c r="S101" i="75"/>
  <c r="R39" i="75"/>
  <c r="R109" i="75"/>
  <c r="R37" i="75" s="1"/>
  <c r="Q33" i="59" l="1"/>
  <c r="J3" i="50" s="1"/>
  <c r="S66" i="59"/>
  <c r="R31" i="59"/>
  <c r="R74" i="59"/>
  <c r="R29" i="59" s="1"/>
  <c r="R41" i="75"/>
  <c r="E135" i="75"/>
  <c r="S39" i="75"/>
  <c r="T101" i="75"/>
  <c r="S109" i="75"/>
  <c r="S37" i="75" s="1"/>
  <c r="J85" i="55"/>
  <c r="J117" i="55"/>
  <c r="AM11" i="26"/>
  <c r="AM9" i="26" s="1"/>
  <c r="AN20" i="26"/>
  <c r="AM78" i="26"/>
  <c r="AM73" i="26" s="1"/>
  <c r="AM54" i="20" s="1"/>
  <c r="AM55" i="20" s="1"/>
  <c r="AH68" i="59"/>
  <c r="AG67" i="59"/>
  <c r="J87" i="55"/>
  <c r="J119" i="55"/>
  <c r="AJ26" i="48"/>
  <c r="J19" i="35"/>
  <c r="K21" i="55" s="1"/>
  <c r="X54" i="20"/>
  <c r="X55" i="20" s="1"/>
  <c r="Q2" i="50"/>
  <c r="AK16" i="48"/>
  <c r="J21" i="35"/>
  <c r="K23" i="55" s="1"/>
  <c r="AL12" i="48"/>
  <c r="AL28" i="48" s="1"/>
  <c r="AK9" i="48"/>
  <c r="W17" i="20"/>
  <c r="W33" i="20"/>
  <c r="AL16" i="48" l="1"/>
  <c r="AM16" i="48" s="1"/>
  <c r="AN16" i="48" s="1"/>
  <c r="K21" i="35"/>
  <c r="L23" i="55" s="1"/>
  <c r="AK26" i="48"/>
  <c r="K19" i="35"/>
  <c r="L21" i="55" s="1"/>
  <c r="AN78" i="26"/>
  <c r="AN73" i="26" s="1"/>
  <c r="AN54" i="20" s="1"/>
  <c r="AN55" i="20" s="1"/>
  <c r="AN11" i="26"/>
  <c r="AN9" i="26" s="1"/>
  <c r="AL9" i="48"/>
  <c r="AL26" i="48" s="1"/>
  <c r="AM12" i="48"/>
  <c r="AM28" i="48" s="1"/>
  <c r="U101" i="75"/>
  <c r="T39" i="75"/>
  <c r="T109" i="75"/>
  <c r="T37" i="75" s="1"/>
  <c r="X17" i="20"/>
  <c r="X33" i="20"/>
  <c r="S41" i="75"/>
  <c r="K119" i="55"/>
  <c r="K87" i="55"/>
  <c r="K85" i="55"/>
  <c r="K117" i="55"/>
  <c r="R33" i="59"/>
  <c r="K3" i="50" s="1"/>
  <c r="T66" i="59"/>
  <c r="S31" i="59"/>
  <c r="S74" i="59"/>
  <c r="S29" i="59" s="1"/>
  <c r="AI68" i="59"/>
  <c r="AH67" i="59"/>
  <c r="T41" i="75" l="1"/>
  <c r="AI67" i="59"/>
  <c r="AJ68" i="59"/>
  <c r="V101" i="75"/>
  <c r="U39" i="75"/>
  <c r="U41" i="75" s="1"/>
  <c r="U109" i="75"/>
  <c r="U37" i="75" s="1"/>
  <c r="AM9" i="48"/>
  <c r="AM26" i="48" s="1"/>
  <c r="AN12" i="48"/>
  <c r="S33" i="59"/>
  <c r="L3" i="50" s="1"/>
  <c r="U66" i="59"/>
  <c r="T31" i="59"/>
  <c r="T74" i="59"/>
  <c r="T29" i="59" s="1"/>
  <c r="AN9" i="48" l="1"/>
  <c r="AN26" i="48" s="1"/>
  <c r="AN28" i="48"/>
  <c r="W101" i="75"/>
  <c r="V39" i="75"/>
  <c r="V109" i="75"/>
  <c r="T33" i="59"/>
  <c r="M3" i="50" s="1"/>
  <c r="AK68" i="59"/>
  <c r="AJ67" i="59"/>
  <c r="V66" i="59"/>
  <c r="U31" i="59"/>
  <c r="U74" i="59"/>
  <c r="U29" i="59" s="1"/>
  <c r="W66" i="59" l="1"/>
  <c r="V31" i="59"/>
  <c r="V74" i="59"/>
  <c r="V29" i="59" s="1"/>
  <c r="AK67" i="59"/>
  <c r="AL68" i="59"/>
  <c r="W109" i="75"/>
  <c r="V37" i="75"/>
  <c r="V41" i="75" s="1"/>
  <c r="V43" i="75"/>
  <c r="U33" i="59"/>
  <c r="N3" i="50" s="1"/>
  <c r="X101" i="75"/>
  <c r="W39" i="75"/>
  <c r="F135" i="75" l="1"/>
  <c r="V52" i="75"/>
  <c r="V33" i="59"/>
  <c r="O3" i="50" s="1"/>
  <c r="Y101" i="75"/>
  <c r="X39" i="75"/>
  <c r="X109" i="75"/>
  <c r="W37" i="75"/>
  <c r="W12" i="75" s="1"/>
  <c r="F133" i="75" s="1"/>
  <c r="F137" i="75" s="1"/>
  <c r="AL67" i="59"/>
  <c r="AM68" i="59"/>
  <c r="X66" i="59"/>
  <c r="W31" i="59"/>
  <c r="W33" i="59" s="1"/>
  <c r="P3" i="50" s="1"/>
  <c r="W74" i="59"/>
  <c r="W29" i="59" s="1"/>
  <c r="Y66" i="59" l="1"/>
  <c r="X31" i="59"/>
  <c r="X33" i="59" s="1"/>
  <c r="Q3" i="50" s="1"/>
  <c r="X74" i="59"/>
  <c r="X29" i="59" s="1"/>
  <c r="AM67" i="59"/>
  <c r="AN68" i="59"/>
  <c r="AN67" i="59" s="1"/>
  <c r="Y39" i="75"/>
  <c r="Z101" i="75"/>
  <c r="Y109" i="75"/>
  <c r="X37" i="75"/>
  <c r="X12" i="75" s="1"/>
  <c r="W41" i="75"/>
  <c r="Z109" i="75" l="1"/>
  <c r="Y37" i="75"/>
  <c r="Y12" i="75" s="1"/>
  <c r="Y41" i="75"/>
  <c r="Z39" i="75"/>
  <c r="AA101" i="75"/>
  <c r="X41" i="75"/>
  <c r="Z66" i="59"/>
  <c r="Y31" i="59"/>
  <c r="Y74" i="59"/>
  <c r="Y29" i="59" s="1"/>
  <c r="AB101" i="75" l="1"/>
  <c r="AA39" i="75"/>
  <c r="AA66" i="59"/>
  <c r="Z31" i="59"/>
  <c r="Z74" i="59"/>
  <c r="Z29" i="59" s="1"/>
  <c r="Y33" i="59"/>
  <c r="R3" i="50" s="1"/>
  <c r="AA109" i="75"/>
  <c r="Z37" i="75"/>
  <c r="Z41" i="75"/>
  <c r="Z12" i="75"/>
  <c r="G135" i="75"/>
  <c r="AA37" i="75" l="1"/>
  <c r="AB109" i="75"/>
  <c r="Z33" i="59"/>
  <c r="S3" i="50" s="1"/>
  <c r="AB66" i="59"/>
  <c r="AA31" i="59"/>
  <c r="AA33" i="59" s="1"/>
  <c r="T3" i="50" s="1"/>
  <c r="AA74" i="59"/>
  <c r="AA29" i="59" s="1"/>
  <c r="AA41" i="75"/>
  <c r="AA12" i="75"/>
  <c r="G133" i="75" s="1"/>
  <c r="G137" i="75" s="1"/>
  <c r="AB39" i="75"/>
  <c r="AC101" i="75"/>
  <c r="AB12" i="75" l="1"/>
  <c r="AB37" i="75"/>
  <c r="AB41" i="75" s="1"/>
  <c r="AC109" i="75"/>
  <c r="AC66" i="59"/>
  <c r="AB31" i="59"/>
  <c r="AB74" i="59"/>
  <c r="AB29" i="59" s="1"/>
  <c r="AC39" i="75"/>
  <c r="AD101" i="75"/>
  <c r="AE101" i="75" s="1"/>
  <c r="AF101" i="75" s="1"/>
  <c r="AC37" i="75" l="1"/>
  <c r="AC41" i="75" s="1"/>
  <c r="AD109" i="75"/>
  <c r="AE109" i="75" s="1"/>
  <c r="AF109" i="75" s="1"/>
  <c r="AB33" i="59"/>
  <c r="AD66" i="59"/>
  <c r="AC31" i="59"/>
  <c r="AC74" i="59"/>
  <c r="AD74" i="59" l="1"/>
  <c r="AC29" i="59"/>
  <c r="AC33" i="59"/>
  <c r="U3" i="50"/>
  <c r="AE66" i="59"/>
  <c r="AD31" i="59"/>
  <c r="AC12" i="75"/>
  <c r="AF66" i="59" l="1"/>
  <c r="AE31" i="59"/>
  <c r="C17" i="35"/>
  <c r="D19" i="55" s="1"/>
  <c r="V3" i="50"/>
  <c r="AE74" i="59"/>
  <c r="AD29" i="59"/>
  <c r="AD12" i="59" s="1"/>
  <c r="AF74" i="59" l="1"/>
  <c r="AE29" i="59"/>
  <c r="AE12" i="59" s="1"/>
  <c r="D115" i="55"/>
  <c r="D83" i="55"/>
  <c r="AG66" i="59"/>
  <c r="AF31" i="59"/>
  <c r="AE33" i="59"/>
  <c r="E17" i="35" s="1"/>
  <c r="F19" i="55" s="1"/>
  <c r="AD33" i="59"/>
  <c r="D17" i="35" s="1"/>
  <c r="E19" i="55" s="1"/>
  <c r="E115" i="55" l="1"/>
  <c r="E83" i="55"/>
  <c r="F115" i="55"/>
  <c r="F83" i="55"/>
  <c r="AH66" i="59"/>
  <c r="AG31" i="59"/>
  <c r="AG74" i="59"/>
  <c r="AF29" i="59"/>
  <c r="AF33" i="59" s="1"/>
  <c r="F17" i="35" s="1"/>
  <c r="G19" i="55" s="1"/>
  <c r="G83" i="55" l="1"/>
  <c r="G115" i="55"/>
  <c r="AH74" i="59"/>
  <c r="AG29" i="59"/>
  <c r="AG12" i="59" s="1"/>
  <c r="AF12" i="59"/>
  <c r="AG33" i="59"/>
  <c r="G17" i="35" s="1"/>
  <c r="H19" i="55" s="1"/>
  <c r="AI66" i="59"/>
  <c r="AH31" i="59"/>
  <c r="AI31" i="59" l="1"/>
  <c r="AJ66" i="59"/>
  <c r="H83" i="55"/>
  <c r="H115" i="55"/>
  <c r="AH29" i="59"/>
  <c r="AH12" i="59" s="1"/>
  <c r="AI74" i="59"/>
  <c r="AJ74" i="59" l="1"/>
  <c r="AI29" i="59"/>
  <c r="AI12" i="59" s="1"/>
  <c r="AJ31" i="59"/>
  <c r="AK66" i="59"/>
  <c r="AI33" i="59"/>
  <c r="I17" i="35" s="1"/>
  <c r="J19" i="55" s="1"/>
  <c r="AH33" i="59"/>
  <c r="H17" i="35" s="1"/>
  <c r="I19" i="55" s="1"/>
  <c r="I83" i="55" l="1"/>
  <c r="I115" i="55"/>
  <c r="J115" i="55"/>
  <c r="J83" i="55"/>
  <c r="AL66" i="59"/>
  <c r="AK31" i="59"/>
  <c r="AJ33" i="59"/>
  <c r="J17" i="35" s="1"/>
  <c r="K19" i="55" s="1"/>
  <c r="AK74" i="59"/>
  <c r="AJ29" i="59"/>
  <c r="AJ12" i="59" s="1"/>
  <c r="AL74" i="59" l="1"/>
  <c r="AK29" i="59"/>
  <c r="AK12" i="59" s="1"/>
  <c r="AK33" i="59"/>
  <c r="AL31" i="59"/>
  <c r="AM66" i="59"/>
  <c r="K83" i="55"/>
  <c r="K115" i="55"/>
  <c r="AM31" i="59" l="1"/>
  <c r="AN66" i="59"/>
  <c r="AN31" i="59" s="1"/>
  <c r="AM74" i="59"/>
  <c r="AL29" i="59"/>
  <c r="AL12" i="59" s="1"/>
  <c r="AN74" i="59" l="1"/>
  <c r="AN29" i="59" s="1"/>
  <c r="AN33" i="59" s="1"/>
  <c r="AM29" i="59"/>
  <c r="AM12" i="59" s="1"/>
  <c r="AL33" i="59"/>
  <c r="AN12" i="59" l="1"/>
  <c r="AM33" i="5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tc={E01C7D51-1793-4A61-9FD5-357953FC571D}</author>
  </authors>
  <commentList>
    <comment ref="L10" authorId="0"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Q10, Q11, and Q12 mpcs were changed from 0% to 3.0%</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C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C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C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C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E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E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E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E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E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E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E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E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E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E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E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tc={02F35ABE-CA0E-4752-B4BE-50C4C795E703}</author>
    <author>tc={0ADCB210-D448-44DD-A5EE-5E6E7334408B}</author>
    <author>tc={3D5BBFAC-4E76-4F2A-B34F-264D54111B07}</author>
    <author>tc={E7D459C7-D63C-4E4A-AE4E-B08D7B79CF4D}</author>
    <author>tc={C146291D-B06B-4D46-A30C-B289BA81D51C}</author>
  </authors>
  <commentList>
    <comment ref="B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10"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11"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29" authorId="3" shapeId="0" xr:uid="{00000000-0006-0000-0F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30" authorId="4" shapeId="0" xr:uid="{00000000-0006-0000-0F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37"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0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0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0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0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0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tc={6F7D0E44-45B2-4003-8249-3888890A6B9B}</author>
    <author>tc={AD8BE1EB-30C1-4CFB-A518-57E98CBEADF4}</author>
    <author>tc={C3958D6E-5D0B-4757-8548-DC4AB51469BE}</author>
    <author>tc={5E572FF7-E343-4136-B9B8-D659D5E1B294}</author>
    <author>tc={09188FF2-A127-4014-A01D-03DD2BF0FA2E}</author>
    <author>tc={6A9D0C8A-F9C2-4EE0-B3A9-3E7911CC1731}</author>
    <author>tc={5E6012FC-E5EC-49B2-9F3E-FF9BACB20939}</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7" authorId="2" shapeId="0" xr:uid="{00000000-0006-0000-1100-000003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H20" authorId="3" shapeId="0" xr:uid="{00000000-0006-0000-1100-000004000000}">
      <text>
        <t>[Threaded comment]
Your version of Excel allows you to read this threaded comment; however, any edits to it will get removed if the file is opened in a newer version of Excel. Learn more: https://go.microsoft.com/fwlink/?linkid=870924
Comment:
    We are adding 0.01 because we don't know what CBO is thinking.</t>
      </text>
    </comment>
    <comment ref="W27" authorId="4"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7" authorId="5"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8" authorId="6"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2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1" authorId="0" shapeId="0" xr:uid="{00000000-0006-0000-13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4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4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4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4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4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4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4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4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4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00000000-0006-0000-14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00000000-0006-0000-14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00000000-0006-0000-14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00000000-0006-0000-14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00000000-0006-0000-14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00000000-0006-0000-14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5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5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5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5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5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5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5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5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5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5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5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5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5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5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5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5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5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5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5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5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5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tc={C1427567-6345-422C-950F-10556EB5D1E6}</author>
    <author>tc={EBE1E7D2-6EB8-4B92-8CE8-BB562C83E893}</author>
    <author>tc={593AFA9A-8DC4-4E71-AAA8-0645166E3F25}</author>
    <author>tc={E6E2D78D-4384-4561-939B-9BC7331F8BE8}</author>
    <author>tc={49FFCEA4-DB95-4205-AFF6-7460DD4E5BD6}</author>
    <author>tc={532E12BD-0998-418E-B570-F87A746D9747}</author>
    <author>tc={AB1A14CA-DE5C-4A74-9649-E3C9566127ED}</author>
    <author>tc={04F0C19F-5689-47C7-8B13-A2E1AE7CD1BE}</author>
    <author>tc={D06702F8-F5F4-41FB-BA11-B2023B5B68A7}</author>
    <author>tc={9443444D-0A20-425F-9300-C411DBC65A0D}</author>
    <author>tc={8773E616-7533-4D96-8216-0F45303BCB01}</author>
    <author>tc={F4C081DF-9BF8-4221-BECE-CB42A30EB5BC}</author>
    <author>tc={FA85206C-2107-4C24-ACB7-B7A58E6685DD}</author>
    <author>tc={F748C468-F3C4-4E41-BF45-75E421D4EB9E}</author>
    <author>tc={D570B77E-B816-43C6-ACEF-79E4AFAEEA7C}</author>
    <author>tc={637B160A-FB62-428D-8639-3B976C548310}</author>
    <author>tc={1065F4CB-52AB-4B92-B793-654578199E67}</author>
    <author>tc={6EA59173-A6A4-4520-BC55-CD373EBDD6E4}</author>
    <author>tc={B7BB92B9-56AF-428A-90BE-8769E0F9A367}</author>
    <author>tc={F12C7BC9-1DAF-45BE-BFCA-781CDA4BC7CD}</author>
    <author>tc={54F6D9F3-8868-417E-999A-B95E2C1FC589}</author>
    <author>tc={8DA4ABCB-3EED-4DB4-A96F-296CD1D3D3EE}</author>
    <author>tc={1FB99C5A-E921-4C2B-94A6-469F8368DE8C}</author>
    <author>tc={CE0F5DCB-3CCE-4E3D-A6E4-2AC8A4A5F19D}</author>
    <author>tc={B0E96582-484F-445D-8FF5-3592B5A172FA}</author>
    <author>tc={E6B5A35A-07FA-4F2B-9A9E-866D21A47917}</author>
    <author>tc={4A8F6F92-75ED-4D7D-9EAC-6799BA8D11ED}</author>
    <author>tc={BAC4C9C5-057D-4522-9D5B-345501733B13}</author>
    <author>tc={903D683D-E956-41A0-87A0-4A0ACF2A3EC0}</author>
    <author>tc={3EBCE0D2-6A48-4CE9-BC8C-5855F5261D1F}</author>
    <author>tc={48184811-5BD0-438A-8E38-4FDE0C8DFA8F}</author>
    <author>tc={D2748782-D0E6-49AC-8A19-1F2FBF9255CC}</author>
    <author>tc={A46F7C4F-6912-4219-A6BF-9B291D29572E}</author>
    <author>tc={76E953CB-BD49-43CF-8F2D-8BFB47D725D7}</author>
    <author>tc={8FB584A5-2B54-4AD8-94A1-F46A717E4FE5}</author>
    <author>tc={65B2F617-D738-4757-983D-98D9DB3870FB}</author>
    <author>tc={0AC09EFD-8A54-444C-A82D-77111C533292}</author>
    <author>tc={1B45073C-05DE-4E50-B57C-9DA43CA3E5DB}</author>
    <author>tc={1EFE3D94-A914-4335-ADA0-94B1C8F72E64}</author>
    <author>tc={C31DCF28-75B2-4DBC-B036-BE5C96FD6331}</author>
    <author>tc={50A49FB6-37DC-43B3-965C-43A7195061F6}</author>
    <author>tc={25B0BED1-95A1-48C5-AB16-3FDF328CCCC4}</author>
  </authors>
  <commentList>
    <comment ref="R8" authorId="0" shapeId="0" xr:uid="{00000000-0006-0000-18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V16" authorId="1" shapeId="0" xr:uid="{00000000-0006-0000-1800-000003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6" authorId="2" shapeId="0" xr:uid="{00000000-0006-0000-1800-000004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6" authorId="3" shapeId="0" xr:uid="{00000000-0006-0000-1800-000005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6" authorId="4" shapeId="0" xr:uid="{00000000-0006-0000-1800-00000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6" authorId="5" shapeId="0" xr:uid="{00000000-0006-0000-1800-000007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6" authorId="6" shapeId="0" xr:uid="{00000000-0006-0000-1800-00000800000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6" authorId="7" shapeId="0" xr:uid="{00000000-0006-0000-1800-000009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1" authorId="8" shapeId="0" xr:uid="{00000000-0006-0000-1800-00000A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V25" authorId="9" shapeId="0" xr:uid="{00000000-0006-0000-1800-00000B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5" authorId="10" shapeId="0" xr:uid="{00000000-0006-0000-1800-00000C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5" authorId="11" shapeId="0" xr:uid="{00000000-0006-0000-1800-00000D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5" authorId="12" shapeId="0" xr:uid="{00000000-0006-0000-1800-00000E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5" authorId="13" shapeId="0" xr:uid="{00000000-0006-0000-1800-00000F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5" authorId="14" shapeId="0" xr:uid="{00000000-0006-0000-1800-000010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5" authorId="15" shapeId="0" xr:uid="{00000000-0006-0000-1800-000011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K36" authorId="16" shapeId="0" xr:uid="{00000000-0006-0000-1800-000012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0" authorId="17" shapeId="0" xr:uid="{00000000-0006-0000-1800-000013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0" authorId="18" shapeId="0" xr:uid="{00000000-0006-0000-1800-000014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0" authorId="19" shapeId="0" xr:uid="{00000000-0006-0000-1800-000015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56" authorId="20" shapeId="0" xr:uid="{00000000-0006-0000-1800-000016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56" authorId="21" shapeId="0" xr:uid="{00000000-0006-0000-1800-000017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58" authorId="22" shapeId="0" xr:uid="{00000000-0006-0000-1800-000018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0" authorId="23" shapeId="0" xr:uid="{00000000-0006-0000-1800-000019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1" authorId="24" shapeId="0" xr:uid="{00000000-0006-0000-1800-00001A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2" authorId="25" shapeId="0" xr:uid="{00000000-0006-0000-1800-00001B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2" authorId="26" shapeId="0" xr:uid="{00000000-0006-0000-1800-00001C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0" authorId="27" shapeId="0" xr:uid="{00000000-0006-0000-1800-00001D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1" authorId="28" shapeId="0" xr:uid="{00000000-0006-0000-1800-00001E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82" authorId="29" shapeId="0" xr:uid="{00000000-0006-0000-1800-00001F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83" authorId="30" shapeId="0" xr:uid="{00000000-0006-0000-1800-000020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04" authorId="31" shapeId="0" xr:uid="{00000000-0006-0000-1800-000021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05" authorId="32" shapeId="0" xr:uid="{00000000-0006-0000-1800-000022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06" authorId="33" shapeId="0" xr:uid="{00000000-0006-0000-1800-000023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07" authorId="34" shapeId="0" xr:uid="{00000000-0006-0000-1800-000024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0" authorId="35" shapeId="0" xr:uid="{00000000-0006-0000-1800-000025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33" authorId="36" shapeId="0" xr:uid="{00000000-0006-0000-1800-000026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33" authorId="37" shapeId="0" xr:uid="{00000000-0006-0000-1800-000027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33" authorId="38" shapeId="0" xr:uid="{00000000-0006-0000-1800-000028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33" authorId="39" shapeId="0" xr:uid="{00000000-0006-0000-1800-000029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33" authorId="40" shapeId="0" xr:uid="{00000000-0006-0000-1800-00002A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33" authorId="41" shapeId="0" xr:uid="{00000000-0006-0000-1800-00002B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B63" authorId="0" shapeId="0" xr:uid="{00000000-0006-0000-19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1" shapeId="0" xr:uid="{00000000-0006-0000-19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2" shapeId="0" xr:uid="{00000000-0006-0000-19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3" shapeId="0" xr:uid="{00000000-0006-0000-19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4" shapeId="0" xr:uid="{00000000-0006-0000-19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5" shapeId="0" xr:uid="{00000000-0006-0000-19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6" shapeId="0" xr:uid="{00000000-0006-0000-19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1F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0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0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<sst xmlns="http://schemas.openxmlformats.org/spreadsheetml/2006/main" count="5116" uniqueCount="2305">
  <si>
    <t>Guide to the FIM Forecast Spreadsheet</t>
  </si>
  <si>
    <t>Sheets:</t>
  </si>
  <si>
    <t>Checklist (New Quarter Release)</t>
  </si>
  <si>
    <t>Checklist of steps to follow when the BEA releases its advance estimate of a new quarter's data</t>
  </si>
  <si>
    <t>Checklist (Monthly Revision)</t>
  </si>
  <si>
    <t>Checklist of steps to follow for BEA's two revisions of a quarter's data</t>
  </si>
  <si>
    <t>Checklist (CBO Budget Release)</t>
  </si>
  <si>
    <t>Checklist of steps to follow when the CBO releases a new Ten-Year Economic and Budget Projections</t>
  </si>
  <si>
    <t>Revisions</t>
  </si>
  <si>
    <t>Forecast Comparison</t>
  </si>
  <si>
    <t>This sheet shows how our forecast has changed since the last update.</t>
  </si>
  <si>
    <t>Monthly BEA Personal Income data we use to help us forecast the upcoming quarter of data before BEA's advance estimate comes out.</t>
  </si>
  <si>
    <t>Forecast</t>
  </si>
  <si>
    <t>Historical Overrides</t>
  </si>
  <si>
    <t>Calls from the Grants forecast sheet. We override BEA data for 2020 consumption grants because BEA puts it all in the first quarter; we spread it out over four. This also is read into the code.</t>
  </si>
  <si>
    <t>MPC</t>
  </si>
  <si>
    <t>MPCs for the spending out of our forecast variables, where applicable. We edit them here and the sheet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</si>
  <si>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</si>
  <si>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</si>
  <si>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</si>
  <si>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</si>
  <si>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</si>
  <si>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</si>
  <si>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</si>
  <si>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</si>
  <si>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</si>
  <si>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</si>
  <si>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</si>
  <si>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</si>
  <si>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</si>
  <si>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</si>
  <si>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</si>
  <si>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</si>
  <si>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</si>
  <si>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</si>
  <si>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</si>
  <si>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</si>
  <si>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</si>
  <si>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</si>
  <si>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</si>
  <si>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</si>
  <si>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</si>
  <si>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</si>
  <si>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</si>
  <si>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</si>
  <si>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</si>
  <si>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</si>
  <si>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</si>
  <si>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 xml:space="preserve">Before the BEA releases data on a quarter, we can use their monthly estimates of "Effects of Selected Federal Pandemic Response Programs on Personal Income" to inform our assumptions about the quarter. </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</si>
  <si>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</si>
  <si>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</si>
  <si>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</si>
  <si>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</si>
  <si>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</si>
  <si>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</si>
  <si>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</si>
  <si>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</si>
  <si>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</si>
  <si>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</si>
  <si>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</si>
  <si>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</si>
  <si>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</si>
  <si>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</si>
  <si>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</si>
  <si>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</si>
  <si>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</si>
  <si>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</si>
  <si>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</si>
  <si>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</si>
  <si>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</si>
  <si>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</si>
  <si>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</si>
  <si>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 xml:space="preserve">Typically an RA will make the initial cut and then run it by David and Stephanie. Ask an RA or someone from Comms to onboard you for using Hubspot if you haven't already. We don't send the email ourselves-- first email a test email to Taylor Kelly from Comms, and once it's approved and edited, Comms will send it out for us.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</si>
  <si>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</si>
  <si>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</si>
  <si>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</si>
  <si>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This sheet provides a quick look at how the BEA revised the variables that we use to make our forecast, and where they are used. It is helpful to anticipate changes in our forecast where the data automatically updates, and to consider when we decide whether to change our forecast assumptions sheet by sheet. </t>
  </si>
  <si>
    <t>Look through the revisions sheet. Which variables have changed, and which sheets are they called by? What are the biggest changes? Anything surprising? Go over this with Louise, and take note of what has changed to adjust our forecast sheets accordingly.</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</si>
  <si>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</si>
  <si>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</si>
  <si>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</si>
  <si>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</si>
  <si>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</si>
  <si>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</si>
  <si>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</si>
  <si>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</si>
  <si>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</si>
  <si>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</si>
  <si>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</si>
  <si>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</si>
  <si>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</si>
  <si>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</si>
  <si>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</si>
  <si>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</si>
  <si>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</si>
  <si>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</si>
  <si>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</si>
  <si>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</si>
  <si>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</si>
  <si>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</si>
  <si>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</si>
  <si>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</si>
  <si>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</si>
  <si>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</si>
  <si>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</si>
  <si>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</si>
  <si>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</si>
  <si>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</si>
  <si>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</si>
  <si>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</si>
  <si>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</si>
  <si>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</si>
  <si>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</si>
  <si>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</si>
  <si>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</si>
  <si>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</si>
  <si>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</si>
  <si>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</si>
  <si>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</si>
  <si>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</si>
  <si>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</si>
  <si>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</si>
  <si>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</si>
  <si>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</si>
  <si>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</si>
  <si>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</si>
  <si>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</si>
  <si>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</si>
  <si>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</si>
  <si>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</si>
  <si>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</si>
  <si>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</si>
  <si>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</si>
  <si>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</si>
  <si>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</si>
  <si>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</si>
  <si>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</si>
  <si>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</si>
  <si>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</si>
  <si>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</si>
  <si>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</si>
  <si>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</si>
  <si>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</si>
  <si>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</si>
  <si>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</si>
  <si>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</si>
  <si>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</si>
  <si>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</si>
  <si>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</si>
  <si>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</si>
  <si>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</si>
  <si>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</si>
  <si>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</si>
  <si>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</si>
  <si>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</si>
  <si>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</si>
  <si>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</si>
  <si>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</si>
  <si>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</si>
  <si>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</si>
  <si>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</si>
  <si>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</si>
  <si>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</si>
  <si>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</si>
  <si>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</si>
  <si>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</si>
  <si>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</si>
  <si>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</si>
  <si>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</si>
  <si>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</si>
  <si>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</si>
  <si>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</si>
  <si>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</si>
  <si>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</si>
  <si>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</si>
  <si>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</si>
  <si>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</si>
  <si>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</si>
  <si>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</si>
  <si>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</si>
  <si>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</si>
  <si>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</si>
  <si>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</si>
  <si>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</si>
  <si>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</si>
  <si>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</si>
  <si>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</si>
  <si>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</si>
  <si>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</si>
  <si>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</si>
  <si>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</si>
  <si>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</si>
  <si>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</si>
  <si>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</si>
  <si>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</si>
  <si>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</si>
  <si>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</si>
  <si>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</si>
  <si>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</si>
  <si>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</si>
  <si>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</si>
  <si>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</si>
  <si>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</si>
  <si>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</si>
  <si>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</si>
  <si>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</si>
  <si>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</si>
  <si>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</si>
  <si>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</si>
  <si>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</si>
  <si>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</si>
  <si>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</si>
  <si>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</si>
  <si>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</si>
  <si>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</si>
  <si>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</si>
  <si>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</si>
  <si>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</si>
  <si>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</si>
  <si>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</si>
  <si>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</si>
  <si>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</si>
  <si>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</si>
  <si>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</si>
  <si>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</si>
  <si>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</si>
  <si>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</si>
  <si>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</si>
  <si>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</si>
  <si>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</si>
  <si>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</si>
  <si>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</si>
  <si>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</si>
  <si>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</si>
  <si>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</si>
  <si>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</si>
  <si>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</si>
  <si>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</si>
  <si>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</si>
  <si>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</si>
  <si>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</si>
  <si>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</si>
  <si>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</si>
  <si>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</si>
  <si>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</si>
  <si>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</si>
  <si>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</si>
  <si>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</si>
  <si>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</si>
  <si>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</si>
  <si>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</si>
  <si>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</si>
  <si>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</si>
  <si>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MPC Lag Structure</t>
  </si>
  <si>
    <t>Total over 3 years</t>
  </si>
  <si>
    <t>Medicare, Medicaid, CHIP (all)</t>
  </si>
  <si>
    <t>health_outlays</t>
  </si>
  <si>
    <t>Corporate</t>
  </si>
  <si>
    <t>corporate_taxes</t>
  </si>
  <si>
    <t>Non-corporate</t>
  </si>
  <si>
    <t>non_corporate_taxes</t>
  </si>
  <si>
    <t>Rebate checks</t>
  </si>
  <si>
    <t>Unemployment insurance</t>
  </si>
  <si>
    <t>ui</t>
  </si>
  <si>
    <t>Social Benefits net of  Medicare, Medicaid, UI, SNAP and  Rebate Checks non-ARP</t>
  </si>
  <si>
    <t>social_benefits</t>
  </si>
  <si>
    <t>Subsidies (non-ARP) + ARP PPP and Provider Relief</t>
  </si>
  <si>
    <t>subsidies</t>
  </si>
  <si>
    <t>Rebate checks ARP</t>
  </si>
  <si>
    <t>Unemployment insurance ARP</t>
  </si>
  <si>
    <t>ui_arp</t>
  </si>
  <si>
    <t>ARP Aid to Vulnerable Households: , Premium Tax Credits, Ratepayer protection, Assistance for older Americans, COBRA, Emergency Assistance</t>
  </si>
  <si>
    <t>other_vulnerable_arp</t>
  </si>
  <si>
    <t>ARP Direct Aid to Families: Child tax credit, EITC,  Childcare for workers,  Dependent  care for families</t>
  </si>
  <si>
    <t>other_direct_aid_arp</t>
  </si>
  <si>
    <t>ARP: Subsidies ex PPP,  Child care stabilization, grants to small businesses, paid sick leave, employee retention tax credit, pensions, transit and  aviation  support</t>
  </si>
  <si>
    <t>aid_to_small_businesses_arp</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</si>
  <si>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</si>
  <si>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</si>
  <si>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</si>
  <si>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</si>
  <si>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</si>
  <si>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</si>
  <si>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</si>
  <si>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</si>
  <si>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</si>
  <si>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</si>
  <si>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</si>
  <si>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</si>
  <si>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</si>
  <si>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</si>
  <si>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</si>
  <si>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</si>
  <si>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</si>
  <si>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</si>
  <si>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</si>
  <si>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</si>
  <si>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</si>
  <si>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</si>
  <si>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</si>
  <si>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</si>
  <si>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</si>
  <si>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</si>
  <si>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</si>
  <si>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</si>
  <si>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</si>
  <si>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</si>
  <si>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</si>
  <si>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</si>
  <si>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</si>
  <si>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</si>
  <si>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</si>
  <si>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</si>
  <si>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</si>
  <si>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</si>
  <si>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</si>
  <si>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</si>
  <si>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</si>
  <si>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</si>
  <si>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</si>
  <si>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</si>
  <si>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</si>
  <si>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</si>
  <si>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</si>
  <si>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</si>
  <si>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</si>
  <si>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</si>
  <si>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</si>
  <si>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</si>
  <si>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</si>
  <si>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</si>
  <si>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</si>
  <si>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</si>
  <si>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</si>
  <si>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</si>
  <si>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</si>
  <si>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</si>
  <si>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</si>
  <si>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</si>
  <si>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</si>
  <si>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</si>
  <si>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</si>
  <si>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</si>
  <si>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</si>
  <si>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</si>
  <si>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</si>
  <si>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</si>
  <si>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</si>
  <si>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</si>
  <si>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</si>
  <si>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</si>
  <si>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</si>
  <si>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</si>
  <si>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</si>
  <si>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</si>
  <si>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</si>
  <si>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</si>
  <si>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</si>
  <si>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</si>
  <si>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</si>
  <si>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</si>
  <si>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</si>
  <si>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</si>
  <si>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</si>
  <si>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</si>
  <si>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</si>
  <si>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</si>
  <si>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</si>
  <si>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</si>
  <si>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</si>
  <si>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</si>
  <si>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</si>
  <si>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</si>
  <si>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</si>
  <si>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</si>
  <si>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</si>
  <si>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</si>
  <si>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</si>
  <si>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</si>
  <si>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</si>
  <si>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</si>
  <si>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</si>
  <si>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</si>
  <si>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</si>
  <si>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</si>
  <si>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</si>
  <si>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</si>
  <si>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</si>
  <si>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</si>
  <si>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</si>
  <si>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</si>
  <si>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</si>
  <si>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</si>
  <si>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</si>
  <si>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</si>
  <si>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</si>
  <si>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</si>
  <si>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</si>
  <si>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</si>
  <si>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</si>
  <si>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</si>
  <si>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</si>
  <si>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</si>
  <si>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</si>
  <si>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</si>
  <si>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</si>
  <si>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</si>
  <si>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</si>
  <si>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</si>
  <si>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</si>
  <si>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</si>
  <si>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</si>
  <si>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</si>
  <si>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</si>
  <si>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</si>
  <si>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</si>
  <si>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</si>
  <si>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</si>
  <si>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</si>
  <si>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</si>
  <si>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</si>
  <si>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</si>
  <si>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</si>
  <si>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</si>
  <si>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</si>
  <si>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</si>
  <si>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</si>
  <si>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</si>
  <si>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</si>
  <si>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</si>
  <si>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</si>
  <si>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</si>
  <si>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</si>
  <si>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</si>
  <si>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</si>
  <si>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</si>
  <si>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</si>
  <si>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</si>
  <si>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</si>
  <si>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</si>
  <si>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</si>
  <si>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</si>
  <si>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</si>
  <si>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</si>
  <si>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</si>
  <si>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</si>
  <si>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</si>
  <si>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</si>
  <si>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</si>
  <si>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</si>
  <si>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</si>
  <si>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</si>
  <si>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</si>
  <si>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</si>
  <si>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</si>
  <si>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</si>
  <si>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</si>
  <si>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</si>
  <si>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</si>
  <si>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</si>
  <si>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</si>
  <si>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</si>
  <si>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</si>
  <si>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</si>
  <si>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</si>
  <si>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</si>
  <si>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</si>
  <si>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</si>
  <si>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</si>
  <si>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</si>
  <si>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</si>
  <si>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</si>
  <si>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</si>
  <si>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</si>
  <si>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</si>
  <si>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</si>
  <si>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</si>
  <si>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</si>
  <si>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</si>
  <si>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</si>
  <si>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</si>
  <si>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</si>
  <si>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</si>
  <si>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</si>
  <si>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</si>
  <si>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</si>
  <si>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</si>
  <si>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</si>
  <si>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</si>
  <si>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</si>
  <si>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</si>
  <si>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</si>
  <si>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</si>
  <si>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</si>
  <si>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</si>
  <si>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</si>
  <si>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</si>
  <si>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</si>
  <si>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</si>
  <si>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</si>
  <si>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</si>
  <si>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</si>
  <si>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</si>
  <si>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</si>
  <si>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</si>
  <si>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</si>
  <si>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</si>
  <si>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</si>
  <si>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</si>
  <si>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</si>
  <si>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</si>
  <si>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</si>
  <si>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</si>
  <si>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</si>
  <si>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</si>
  <si>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</si>
  <si>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</si>
  <si>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</si>
  <si>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</si>
  <si>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</si>
  <si>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</si>
  <si>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</si>
  <si>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</si>
  <si>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</si>
  <si>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</si>
  <si>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</si>
  <si>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</si>
  <si>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</si>
  <si>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</si>
  <si>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</si>
  <si>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</si>
  <si>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</si>
  <si>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</si>
  <si>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</si>
  <si>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</si>
  <si>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</si>
  <si>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</si>
  <si>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</si>
  <si>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</si>
  <si>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</si>
  <si>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</si>
  <si>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</si>
  <si>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</si>
  <si>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</si>
  <si>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</si>
  <si>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</si>
  <si>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</si>
  <si>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</si>
  <si>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</si>
  <si>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</si>
  <si>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</si>
  <si>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</si>
  <si>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</si>
  <si>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</si>
  <si>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</si>
  <si>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</si>
  <si>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</si>
  <si>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</si>
  <si>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</si>
  <si>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</si>
  <si>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</si>
  <si>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</si>
  <si>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</si>
  <si>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</si>
  <si>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</si>
  <si>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</si>
  <si>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</si>
  <si>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</si>
  <si>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</si>
  <si>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</si>
  <si>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</si>
  <si>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</si>
  <si>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</si>
  <si>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</si>
  <si>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</si>
  <si>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</si>
  <si>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</si>
  <si>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</si>
  <si>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</si>
  <si>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</si>
  <si>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</si>
  <si>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</si>
  <si>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</si>
  <si>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</si>
  <si>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</si>
  <si>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</si>
  <si>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</si>
  <si>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</si>
  <si>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</si>
  <si>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</si>
  <si>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</si>
  <si>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</si>
  <si>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</si>
  <si>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</si>
  <si>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</si>
  <si>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</si>
  <si>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</si>
  <si>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</si>
  <si>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</si>
  <si>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</si>
  <si>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</si>
  <si>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</si>
  <si>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</si>
  <si>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</si>
  <si>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</si>
  <si>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</si>
  <si>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</si>
  <si>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</si>
  <si>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</si>
  <si>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</si>
  <si>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</si>
  <si>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</si>
  <si>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</si>
  <si>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</si>
  <si>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</si>
  <si>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</si>
  <si>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</si>
  <si>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</si>
  <si>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</si>
  <si>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</si>
  <si>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</si>
  <si>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</si>
  <si>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</si>
  <si>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</si>
  <si>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</si>
  <si>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</si>
  <si>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</si>
  <si>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</si>
  <si>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</si>
  <si>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</si>
  <si>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</si>
  <si>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</si>
  <si>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</si>
  <si>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</si>
  <si>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</si>
  <si>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</si>
  <si>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</si>
  <si>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</si>
  <si>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</si>
  <si>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</si>
  <si>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</si>
  <si>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</si>
  <si>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</si>
  <si>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</si>
  <si>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</si>
  <si>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</si>
  <si>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</si>
  <si>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</si>
  <si>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</si>
  <si>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</si>
  <si>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</si>
  <si>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</si>
  <si>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</si>
  <si>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</si>
  <si>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</si>
  <si>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</si>
  <si>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</si>
  <si>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</si>
  <si>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</si>
  <si>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</si>
  <si>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</si>
  <si>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</si>
  <si>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</si>
  <si>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</si>
  <si>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</si>
  <si>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</si>
  <si>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</si>
  <si>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</si>
  <si>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</si>
  <si>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</si>
  <si>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</si>
  <si>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</si>
  <si>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</si>
  <si>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</si>
  <si>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</si>
  <si>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</si>
  <si>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</si>
  <si>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</si>
  <si>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</si>
  <si>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</si>
  <si>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</si>
  <si>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</si>
  <si>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</si>
  <si>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</si>
  <si>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</si>
  <si>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</si>
  <si>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</si>
  <si>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</si>
  <si>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</si>
  <si>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</si>
  <si>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</si>
  <si>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</si>
  <si>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</si>
  <si>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</si>
  <si>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</si>
  <si>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</si>
  <si>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</si>
  <si>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</si>
  <si>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</si>
  <si>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</si>
  <si>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</si>
  <si>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</si>
  <si>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</si>
  <si>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</si>
  <si>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</si>
  <si>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</si>
  <si>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</si>
  <si>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</si>
  <si>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</si>
  <si>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</si>
  <si>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</si>
  <si>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</si>
  <si>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</si>
  <si>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</si>
  <si>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</si>
  <si>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</si>
  <si>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</si>
  <si>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</si>
  <si>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</si>
  <si>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</si>
  <si>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</si>
  <si>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</si>
  <si>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</si>
  <si>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</si>
  <si>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</si>
  <si>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</si>
  <si>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</si>
  <si>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</si>
  <si>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</si>
  <si>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</si>
  <si>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</si>
  <si>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</si>
  <si>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</si>
  <si>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</si>
  <si>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</si>
  <si>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</si>
  <si>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</si>
  <si>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</si>
  <si>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</si>
  <si>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</si>
  <si>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</si>
  <si>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</si>
  <si>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</si>
  <si>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</si>
  <si>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</si>
  <si>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</si>
  <si>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</si>
  <si>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</si>
  <si>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</si>
  <si>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</si>
  <si>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</si>
  <si>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</si>
  <si>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</si>
  <si>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</si>
  <si>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</si>
  <si>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</si>
  <si>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</si>
  <si>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</si>
  <si>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</si>
  <si>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</si>
  <si>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</si>
  <si>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</si>
  <si>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</si>
  <si>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</si>
  <si>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</si>
  <si>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</si>
  <si>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</si>
  <si>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</si>
  <si>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</si>
  <si>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</si>
  <si>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</si>
  <si>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</si>
  <si>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</si>
  <si>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</si>
  <si>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</si>
  <si>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</si>
  <si>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</si>
  <si>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</si>
  <si>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</si>
  <si>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</si>
  <si>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</si>
  <si>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</si>
  <si>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</si>
  <si>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</si>
  <si>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</si>
  <si>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</si>
  <si>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</si>
  <si>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</si>
  <si>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</si>
  <si>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</si>
  <si>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</si>
  <si>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</si>
  <si>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</si>
  <si>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</si>
  <si>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</si>
  <si>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</si>
  <si>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</si>
  <si>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</si>
  <si>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</si>
  <si>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</si>
  <si>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</si>
  <si>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</si>
  <si>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</si>
  <si>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</si>
  <si>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</si>
  <si>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</si>
  <si>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</si>
  <si>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</si>
  <si>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</si>
  <si>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</si>
  <si>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</si>
  <si>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</si>
  <si>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</si>
  <si>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</si>
  <si>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</si>
  <si>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</si>
  <si>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</si>
  <si>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</si>
  <si>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</si>
  <si>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</si>
  <si>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</si>
  <si>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</si>
  <si>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</si>
  <si>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</si>
  <si>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</si>
  <si>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</si>
  <si>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</si>
  <si>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</si>
  <si>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</si>
  <si>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A comparison of BEA's revisions for the latest quarter of data to the last release's data</t>
  </si>
  <si>
    <t>Monthly Personal Income ("Month" MPI)</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</si>
  <si>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</si>
  <si>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</si>
  <si>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Component Sheets (Grants, Medicare, Social Benefits, etc.)</t>
  </si>
  <si>
    <t>BEA data read in from Haver; called by Revisions and the component sheets to generate our forecasts. We copy and paste updated data into this sheet each time there's a new BEA release. It is very important that the order of variables in this sheet does not change, so that the formulas in other sheets call the correct row.</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</si>
  <si>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</si>
  <si>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</si>
  <si>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</si>
  <si>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</si>
  <si>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</si>
  <si>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</si>
  <si>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</si>
  <si>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</si>
  <si>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</si>
  <si>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</si>
  <si>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</si>
  <si>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</si>
  <si>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</si>
  <si>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</si>
  <si>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</si>
  <si>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</si>
  <si>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</si>
  <si>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</si>
  <si>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</si>
  <si>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</si>
  <si>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</si>
  <si>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</si>
  <si>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</si>
  <si>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</si>
  <si>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</si>
  <si>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</si>
  <si>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</si>
  <si>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</si>
  <si>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</si>
  <si>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</si>
  <si>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</si>
  <si>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</si>
  <si>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</si>
  <si>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</si>
  <si>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</si>
  <si>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</si>
  <si>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</si>
  <si>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</si>
  <si>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</si>
  <si>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</si>
  <si>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</si>
  <si>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</si>
  <si>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</si>
  <si>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</si>
  <si>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</si>
  <si>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</si>
  <si>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</si>
  <si>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</si>
  <si>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</si>
  <si>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</si>
  <si>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</si>
  <si>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</si>
  <si>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</si>
  <si>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</si>
  <si>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</si>
  <si>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</si>
  <si>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</si>
  <si>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</si>
  <si>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</si>
  <si>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</si>
  <si>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</si>
  <si>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</si>
  <si>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</si>
  <si>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</si>
  <si>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</si>
  <si>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</si>
  <si>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</si>
  <si>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</si>
  <si>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</si>
  <si>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</si>
  <si>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</si>
  <si>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</si>
  <si>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</si>
  <si>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</si>
  <si>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</si>
  <si>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</si>
  <si>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</si>
  <si>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</si>
  <si>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</si>
  <si>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</si>
  <si>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</si>
  <si>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yes</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</si>
  <si>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</si>
  <si>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</si>
  <si>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</si>
  <si>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</si>
  <si>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</si>
  <si>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</si>
  <si>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</si>
  <si>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</si>
  <si>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</si>
  <si>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</si>
  <si>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</si>
  <si>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</si>
  <si>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</si>
  <si>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</si>
  <si>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</si>
  <si>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</si>
  <si>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</si>
  <si>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</si>
  <si>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</si>
  <si>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</si>
  <si>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</si>
  <si>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</si>
  <si>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</si>
  <si>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</si>
  <si>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</si>
  <si>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</si>
  <si>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</si>
  <si>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</si>
  <si>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</si>
  <si>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</si>
  <si>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</si>
  <si>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</si>
  <si>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</si>
  <si>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</si>
  <si>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</si>
  <si>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</si>
  <si>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</si>
  <si>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</si>
  <si>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</si>
  <si>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</si>
  <si>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</si>
  <si>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</si>
  <si>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</si>
  <si>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</si>
  <si>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</si>
  <si>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</si>
  <si>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</si>
  <si>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</si>
  <si>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</si>
  <si>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</si>
  <si>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</si>
  <si>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</si>
  <si>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</si>
  <si>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</si>
  <si>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</si>
  <si>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</si>
  <si>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</si>
  <si>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</si>
  <si>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</si>
  <si>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</si>
  <si>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</si>
  <si>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</si>
  <si>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</si>
  <si>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</si>
  <si>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</si>
  <si>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</si>
  <si>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</si>
  <si>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</si>
  <si>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</si>
  <si>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</si>
  <si>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</si>
  <si>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</si>
  <si>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</si>
  <si>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</si>
  <si>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</si>
  <si>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</si>
  <si>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</si>
  <si>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</si>
  <si>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</si>
  <si>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</si>
  <si>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</si>
  <si>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</si>
  <si>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</si>
  <si>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</si>
  <si>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</si>
  <si>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</si>
  <si>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</si>
  <si>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</si>
  <si>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</si>
  <si>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</si>
  <si>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</si>
  <si>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</si>
  <si>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</si>
  <si>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</si>
  <si>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</si>
  <si>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</si>
  <si>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</si>
  <si>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</si>
  <si>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</si>
  <si>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</si>
  <si>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</si>
  <si>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</si>
  <si>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</si>
  <si>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</si>
  <si>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</si>
  <si>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</si>
  <si>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</si>
  <si>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</si>
  <si>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</si>
  <si>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</si>
  <si>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</si>
  <si>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</si>
  <si>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</si>
  <si>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</si>
  <si>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</si>
  <si>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</si>
  <si>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</si>
  <si>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</si>
  <si>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</si>
  <si>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</si>
  <si>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</si>
  <si>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</si>
  <si>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</si>
  <si>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</si>
  <si>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</si>
  <si>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</si>
  <si>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</si>
  <si>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</si>
  <si>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</si>
  <si>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</si>
  <si>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</si>
  <si>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</si>
  <si>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</si>
  <si>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</si>
  <si>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</si>
  <si>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</si>
  <si>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</si>
  <si>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</si>
  <si>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</si>
  <si>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</si>
  <si>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</si>
  <si>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</si>
  <si>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</si>
  <si>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</si>
  <si>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</si>
  <si>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</si>
  <si>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</si>
  <si>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</si>
  <si>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</si>
  <si>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</si>
  <si>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</si>
  <si>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</si>
  <si>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</si>
  <si>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</si>
  <si>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</si>
  <si>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</si>
  <si>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</si>
  <si>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</si>
  <si>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</si>
  <si>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</si>
  <si>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</si>
  <si>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</si>
  <si>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</si>
  <si>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</si>
  <si>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</si>
  <si>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</si>
  <si>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</si>
  <si>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</si>
  <si>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</si>
  <si>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</si>
  <si>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</si>
  <si>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</si>
  <si>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</si>
  <si>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</si>
  <si>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</si>
  <si>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</si>
  <si>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</si>
  <si>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</si>
  <si>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</si>
  <si>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</si>
  <si>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</si>
  <si>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</si>
  <si>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</si>
  <si>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</si>
  <si>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</si>
  <si>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</si>
  <si>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</si>
  <si>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</si>
  <si>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</si>
  <si>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</si>
  <si>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</si>
  <si>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</si>
  <si>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</si>
  <si>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</si>
  <si>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</si>
  <si>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</si>
  <si>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</si>
  <si>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</si>
  <si>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</si>
  <si>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</si>
  <si>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</si>
  <si>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</si>
  <si>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</si>
  <si>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</si>
  <si>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</si>
  <si>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</si>
  <si>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</si>
  <si>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</si>
  <si>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</si>
  <si>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</si>
  <si>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</si>
  <si>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</si>
  <si>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</si>
  <si>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</si>
  <si>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</si>
  <si>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</si>
  <si>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</si>
  <si>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</si>
  <si>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</si>
  <si>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</si>
  <si>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</si>
  <si>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</si>
  <si>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</si>
  <si>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</si>
  <si>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</si>
  <si>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</si>
  <si>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</si>
  <si>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</si>
  <si>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</si>
  <si>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</si>
  <si>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</si>
  <si>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</si>
  <si>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</si>
  <si>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</si>
  <si>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</si>
  <si>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</si>
  <si>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</si>
  <si>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</si>
  <si>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</si>
  <si>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</si>
  <si>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</si>
  <si>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</si>
  <si>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</si>
  <si>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</si>
  <si>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</si>
  <si>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</si>
  <si>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</si>
  <si>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</si>
  <si>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</si>
  <si>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</si>
  <si>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</si>
  <si>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</si>
  <si>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</si>
  <si>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</si>
  <si>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</si>
  <si>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</si>
  <si>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</si>
  <si>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</si>
  <si>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</si>
  <si>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</si>
  <si>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</si>
  <si>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</si>
  <si>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</si>
  <si>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</si>
  <si>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</si>
  <si>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</si>
  <si>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</si>
  <si>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</si>
  <si>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</si>
  <si>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</si>
  <si>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</si>
  <si>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</si>
  <si>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</si>
  <si>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</si>
  <si>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</si>
  <si>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</si>
  <si>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</si>
  <si>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</si>
  <si>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</si>
  <si>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</si>
  <si>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</si>
  <si>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</si>
  <si>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</si>
  <si>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</si>
  <si>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</si>
  <si>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</si>
  <si>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</si>
  <si>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</si>
  <si>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</si>
  <si>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</si>
  <si>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</si>
  <si>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</si>
  <si>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</si>
  <si>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</si>
  <si>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</si>
  <si>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</si>
  <si>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</si>
  <si>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</si>
  <si>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</si>
  <si>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</si>
  <si>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</si>
  <si>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</si>
  <si>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</si>
  <si>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</si>
  <si>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</si>
  <si>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</si>
  <si>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</si>
  <si>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</si>
  <si>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</si>
  <si>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</si>
  <si>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</si>
  <si>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</si>
  <si>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</si>
  <si>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</si>
  <si>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</si>
  <si>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</si>
  <si>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</si>
  <si>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</si>
  <si>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</si>
  <si>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</si>
  <si>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</si>
  <si>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</si>
  <si>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</si>
  <si>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</si>
  <si>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</si>
  <si>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</si>
  <si>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</si>
  <si>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</si>
  <si>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</si>
  <si>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</si>
  <si>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</si>
  <si>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</si>
  <si>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</si>
  <si>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</si>
  <si>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</si>
  <si>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</si>
  <si>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</si>
  <si>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</si>
  <si>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</si>
  <si>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</si>
  <si>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</si>
  <si>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</si>
  <si>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</si>
  <si>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</si>
  <si>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</si>
  <si>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</si>
  <si>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</si>
  <si>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</si>
  <si>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</si>
  <si>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</si>
  <si>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</si>
  <si>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</si>
  <si>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</si>
  <si>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</si>
  <si>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</si>
  <si>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</si>
  <si>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</si>
  <si>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</si>
  <si>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</si>
  <si>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</si>
  <si>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</si>
  <si>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</si>
  <si>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</si>
  <si>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</si>
  <si>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</si>
  <si>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</si>
  <si>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</si>
  <si>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</si>
  <si>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</si>
  <si>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</si>
  <si>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</si>
  <si>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</si>
  <si>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</si>
  <si>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</si>
  <si>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</si>
  <si>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</si>
  <si>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</si>
  <si>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</si>
  <si>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</si>
  <si>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</si>
  <si>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</si>
  <si>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</si>
  <si>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</si>
  <si>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</si>
  <si>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</si>
  <si>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</si>
  <si>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</si>
  <si>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</si>
  <si>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</si>
  <si>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</si>
  <si>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</si>
  <si>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</si>
  <si>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</si>
  <si>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</si>
  <si>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</si>
  <si>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</si>
  <si>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</si>
  <si>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</si>
  <si>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</si>
  <si>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</si>
  <si>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</si>
  <si>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</si>
  <si>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</si>
  <si>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</si>
  <si>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</si>
  <si>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</si>
  <si>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</si>
  <si>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</si>
  <si>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</si>
  <si>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</si>
  <si>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</si>
  <si>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</si>
  <si>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</si>
  <si>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</si>
  <si>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</si>
  <si>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</si>
  <si>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</si>
  <si>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</si>
  <si>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</si>
  <si>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</si>
  <si>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</si>
  <si>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</si>
  <si>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</si>
  <si>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</si>
  <si>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</si>
  <si>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</si>
  <si>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</si>
  <si>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</si>
  <si>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</si>
  <si>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</si>
  <si>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</si>
  <si>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</si>
  <si>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</si>
  <si>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</si>
  <si>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</si>
  <si>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</si>
  <si>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</si>
  <si>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</si>
  <si>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</si>
  <si>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</si>
  <si>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</si>
  <si>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</si>
  <si>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</si>
  <si>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</si>
  <si>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</si>
  <si>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</si>
  <si>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</si>
  <si>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</si>
  <si>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</si>
  <si>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</si>
  <si>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</si>
  <si>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</si>
  <si>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</si>
  <si>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</si>
  <si>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</si>
  <si>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</si>
  <si>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</si>
  <si>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</si>
  <si>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</si>
  <si>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</si>
  <si>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</si>
  <si>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</si>
  <si>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</si>
  <si>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</si>
  <si>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</si>
  <si>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</si>
  <si>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</si>
  <si>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</si>
  <si>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</si>
  <si>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</si>
  <si>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</si>
  <si>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</si>
  <si>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</si>
  <si>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</si>
  <si>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</si>
  <si>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</si>
  <si>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</si>
  <si>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</si>
  <si>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</si>
  <si>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</si>
  <si>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</si>
  <si>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</si>
  <si>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</si>
  <si>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</si>
  <si>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</si>
  <si>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</si>
  <si>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</si>
  <si>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</si>
  <si>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</si>
  <si>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</si>
  <si>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</si>
  <si>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</si>
  <si>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</si>
  <si>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</si>
  <si>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</si>
  <si>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</si>
  <si>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</si>
  <si>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</si>
  <si>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</si>
  <si>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</si>
  <si>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</si>
  <si>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</si>
  <si>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</si>
  <si>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</si>
  <si>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</si>
  <si>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</si>
  <si>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</si>
  <si>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Production tax add factor</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</si>
  <si>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</si>
  <si>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</si>
  <si>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</si>
  <si>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</si>
  <si>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</si>
  <si>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</si>
  <si>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</si>
  <si>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</si>
  <si>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</si>
  <si>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</si>
  <si>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</si>
  <si>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</si>
  <si>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</si>
  <si>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</si>
  <si>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</si>
  <si>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</si>
  <si>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</si>
  <si>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</si>
  <si>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</si>
  <si>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</si>
  <si>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</si>
  <si>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</si>
  <si>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</si>
  <si>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</si>
  <si>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</si>
  <si>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</si>
  <si>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</si>
  <si>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</si>
  <si>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</si>
  <si>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</si>
  <si>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</si>
  <si>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</si>
  <si>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</si>
  <si>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</si>
  <si>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</si>
  <si>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</si>
  <si>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</si>
  <si>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</si>
  <si>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</si>
  <si>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</si>
  <si>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</si>
  <si>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</si>
  <si>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</si>
  <si>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</si>
  <si>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</si>
  <si>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</si>
  <si>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</si>
  <si>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</si>
  <si>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</si>
  <si>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</si>
  <si>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</si>
  <si>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</si>
  <si>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</si>
  <si>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</si>
  <si>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</si>
  <si>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</si>
  <si>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</si>
  <si>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</si>
  <si>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</si>
  <si>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</si>
  <si>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</si>
  <si>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</si>
  <si>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</si>
  <si>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</si>
  <si>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</si>
  <si>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</si>
  <si>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</si>
  <si>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</si>
  <si>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</si>
  <si>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</si>
  <si>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</si>
  <si>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</si>
  <si>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</si>
  <si>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</si>
  <si>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</si>
  <si>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</si>
  <si>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</si>
  <si>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</si>
  <si>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</si>
  <si>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</si>
  <si>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</si>
  <si>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</si>
  <si>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</si>
  <si>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</si>
  <si>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</si>
  <si>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</si>
  <si>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</si>
  <si>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</si>
  <si>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</si>
  <si>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</si>
  <si>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</si>
  <si>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</si>
  <si>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</si>
  <si>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</si>
  <si>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</si>
  <si>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</si>
  <si>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</si>
  <si>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</si>
  <si>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</si>
  <si>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</si>
  <si>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</si>
  <si>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</si>
  <si>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</si>
  <si>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</si>
  <si>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</si>
  <si>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</si>
  <si>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</si>
  <si>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</si>
  <si>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</si>
  <si>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</si>
  <si>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</si>
  <si>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</si>
  <si>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</si>
  <si>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</si>
  <si>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</si>
  <si>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</si>
  <si>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</si>
  <si>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</si>
  <si>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</si>
  <si>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</si>
  <si>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</si>
  <si>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</si>
  <si>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</si>
  <si>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</si>
  <si>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</si>
  <si>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</si>
  <si>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</si>
  <si>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</si>
  <si>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</si>
  <si>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</si>
  <si>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</si>
  <si>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</si>
  <si>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</si>
  <si>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</si>
  <si>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</si>
  <si>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</si>
  <si>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</si>
  <si>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</si>
  <si>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</si>
  <si>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</si>
  <si>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</si>
  <si>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</si>
  <si>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</si>
  <si>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</si>
  <si>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</si>
  <si>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</si>
  <si>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</si>
  <si>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</si>
  <si>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</si>
  <si>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</si>
  <si>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</si>
  <si>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</si>
  <si>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</si>
  <si>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</si>
  <si>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</si>
  <si>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</si>
  <si>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</si>
  <si>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</si>
  <si>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</si>
  <si>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</si>
  <si>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</si>
  <si>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</si>
  <si>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</si>
  <si>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</si>
  <si>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</si>
  <si>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</si>
  <si>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</si>
  <si>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</si>
  <si>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</si>
  <si>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</si>
  <si>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</si>
  <si>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</si>
  <si>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</si>
  <si>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</si>
  <si>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</si>
  <si>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</si>
  <si>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</si>
  <si>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</si>
  <si>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</si>
  <si>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</si>
  <si>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</si>
  <si>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</si>
  <si>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</si>
  <si>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</si>
  <si>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</si>
  <si>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</si>
  <si>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</si>
  <si>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</si>
  <si>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</si>
  <si>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</si>
  <si>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</si>
  <si>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</si>
  <si>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</si>
  <si>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</si>
  <si>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</si>
  <si>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</si>
  <si>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</si>
  <si>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</si>
  <si>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</si>
  <si>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</si>
  <si>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</si>
  <si>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</si>
  <si>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</si>
  <si>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</si>
  <si>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</si>
  <si>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</si>
  <si>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</si>
  <si>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</si>
  <si>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</si>
  <si>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</si>
  <si>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</si>
  <si>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</si>
  <si>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</si>
  <si>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</si>
  <si>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</si>
  <si>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</si>
  <si>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</si>
  <si>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</si>
  <si>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</si>
  <si>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</si>
  <si>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</si>
  <si>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</si>
  <si>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</si>
  <si>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</si>
  <si>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</si>
  <si>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</si>
  <si>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</si>
  <si>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</si>
  <si>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</si>
  <si>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</si>
  <si>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</si>
  <si>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</si>
  <si>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</si>
  <si>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</si>
  <si>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</si>
  <si>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</si>
  <si>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</si>
  <si>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</si>
  <si>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</si>
  <si>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</si>
  <si>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</si>
  <si>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</si>
  <si>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</si>
  <si>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</si>
  <si>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</si>
  <si>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</si>
  <si>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</si>
  <si>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</si>
  <si>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</si>
  <si>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</si>
  <si>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</si>
  <si>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</si>
  <si>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</si>
  <si>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</si>
  <si>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</si>
  <si>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</si>
  <si>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</si>
  <si>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</si>
  <si>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</si>
  <si>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</si>
  <si>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</si>
  <si>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</si>
  <si>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</si>
  <si>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</si>
  <si>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</si>
  <si>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</si>
  <si>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</si>
  <si>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</si>
  <si>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</si>
  <si>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</si>
  <si>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</si>
  <si>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</si>
  <si>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</si>
  <si>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</si>
  <si>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</si>
  <si>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</si>
  <si>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</si>
  <si>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</si>
  <si>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</si>
  <si>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</si>
  <si>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</si>
  <si>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</si>
  <si>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</si>
  <si>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</si>
  <si>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</si>
  <si>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</si>
  <si>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</si>
  <si>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</si>
  <si>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</si>
  <si>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</si>
  <si>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</si>
  <si>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</si>
  <si>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</si>
  <si>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</si>
  <si>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</si>
  <si>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</si>
  <si>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</si>
  <si>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</si>
  <si>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</si>
  <si>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</si>
  <si>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</si>
  <si>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</si>
  <si>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</si>
  <si>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</si>
  <si>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</si>
  <si>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</si>
  <si>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</si>
  <si>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</si>
  <si>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</si>
  <si>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</si>
  <si>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</si>
  <si>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</si>
  <si>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</si>
  <si>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</si>
  <si>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</si>
  <si>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</si>
  <si>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</si>
  <si>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</si>
  <si>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</si>
  <si>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</si>
  <si>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</si>
  <si>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</si>
  <si>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</si>
  <si>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</si>
  <si>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</si>
  <si>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</si>
  <si>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</si>
  <si>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</si>
  <si>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</si>
  <si>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</si>
  <si>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</si>
  <si>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</si>
  <si>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</si>
  <si>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</si>
  <si>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</si>
  <si>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</si>
  <si>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</si>
  <si>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</si>
  <si>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</si>
  <si>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</si>
  <si>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</si>
  <si>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</si>
  <si>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</si>
  <si>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</si>
  <si>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</si>
  <si>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</si>
  <si>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</si>
  <si>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</si>
  <si>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</si>
  <si>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</si>
  <si>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</si>
  <si>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</si>
  <si>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</si>
  <si>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</si>
  <si>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</si>
  <si>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</si>
  <si>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</si>
  <si>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</si>
  <si>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</si>
  <si>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</si>
  <si>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</si>
  <si>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</si>
  <si>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</si>
  <si>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</si>
  <si>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</si>
  <si>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</si>
  <si>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</si>
  <si>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</si>
  <si>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</si>
  <si>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</si>
  <si>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</si>
  <si>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</si>
  <si>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</si>
  <si>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</si>
  <si>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</si>
  <si>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</si>
  <si>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</si>
  <si>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</si>
  <si>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</si>
  <si>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</si>
  <si>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</si>
  <si>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</si>
  <si>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</si>
  <si>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</si>
  <si>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</si>
  <si>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</si>
  <si>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</si>
  <si>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</si>
  <si>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</si>
  <si>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</si>
  <si>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</si>
  <si>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</si>
  <si>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</si>
  <si>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</si>
  <si>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</si>
  <si>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</si>
  <si>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</si>
  <si>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</si>
  <si>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</si>
  <si>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</si>
  <si>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</si>
  <si>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</si>
  <si>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</si>
  <si>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</si>
  <si>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</si>
  <si>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</si>
  <si>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</si>
  <si>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</si>
  <si>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</si>
  <si>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</si>
  <si>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</si>
  <si>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</si>
  <si>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</si>
  <si>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</si>
  <si>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</si>
  <si>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</si>
  <si>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</si>
  <si>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</si>
  <si>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</si>
  <si>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</si>
  <si>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</si>
  <si>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</si>
  <si>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</si>
  <si>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</si>
  <si>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</si>
  <si>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</si>
  <si>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</si>
  <si>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</si>
  <si>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</si>
  <si>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</si>
  <si>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</si>
  <si>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</si>
  <si>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</si>
  <si>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</si>
  <si>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</si>
  <si>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</si>
  <si>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</si>
  <si>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</si>
  <si>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</si>
  <si>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</si>
  <si>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</si>
  <si>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</si>
  <si>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</si>
  <si>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</si>
  <si>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</si>
  <si>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</si>
  <si>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</si>
  <si>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</si>
  <si>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</si>
  <si>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</si>
  <si>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</si>
  <si>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</si>
  <si>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</si>
  <si>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</si>
  <si>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</si>
  <si>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</si>
  <si>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</si>
  <si>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</si>
  <si>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</si>
  <si>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</si>
  <si>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</si>
  <si>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</si>
  <si>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</si>
  <si>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</si>
  <si>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</si>
  <si>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local</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</si>
  <si>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</si>
  <si>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</si>
  <si>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</si>
  <si>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</si>
  <si>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</si>
  <si>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</si>
  <si>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</si>
  <si>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</si>
  <si>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</si>
  <si>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</si>
  <si>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</si>
  <si>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</si>
  <si>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</si>
  <si>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</si>
  <si>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</si>
  <si>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</si>
  <si>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</si>
  <si>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</si>
  <si>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</si>
  <si>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</si>
  <si>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</si>
  <si>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</si>
  <si>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</si>
  <si>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</si>
  <si>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</si>
  <si>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</si>
  <si>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</si>
  <si>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</si>
  <si>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</si>
  <si>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</si>
  <si>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</si>
  <si>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</si>
  <si>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</si>
  <si>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</si>
  <si>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</si>
  <si>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</si>
  <si>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</si>
  <si>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</si>
  <si>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</si>
  <si>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</si>
  <si>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</si>
  <si>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</si>
  <si>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</si>
  <si>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</si>
  <si>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</si>
  <si>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</si>
  <si>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</si>
  <si>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</si>
  <si>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</si>
  <si>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</si>
  <si>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</si>
  <si>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</si>
  <si>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</si>
  <si>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</si>
  <si>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</si>
  <si>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</si>
  <si>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</si>
  <si>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</si>
  <si>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</si>
  <si>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</si>
  <si>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</si>
  <si>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</si>
  <si>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</si>
  <si>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</si>
  <si>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</si>
  <si>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t>This sheet allows us to see how the raw inputs to the FIM have changed; it can help us parse out which changes to our forecast are due to BEA data revisions and which are due to our own formulas. (We don't do this.)</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</si>
  <si>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</si>
  <si>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</si>
  <si>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</si>
  <si>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</si>
  <si>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Projection of Federal Purchases</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</si>
  <si>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</si>
  <si>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</si>
  <si>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</si>
  <si>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</si>
  <si>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</si>
  <si>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</si>
  <si>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</si>
  <si>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</si>
  <si>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</si>
  <si>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</si>
  <si>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</si>
  <si>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</si>
  <si>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Before the BEA releases data on a quarter, we can use their monthly estimates of "Effects of Selected Federal Pandemic Response Programs on Personal Income" to inform our assumptions about the quarter. Don't forget another PCE at the bottom! Drag over cells in yellow before copy pasting (the yellow cell should be the first forecast).</t>
  </si>
  <si>
    <t>Growth rate of deflators</t>
  </si>
  <si>
    <t>II growth rate</t>
  </si>
  <si>
    <t>Copy paste the forecast table from the most recent update (Past Values Only) into the "Previous Forecast" table. Keep the formulas in the first table so the data from Haver can be pulled in.</t>
  </si>
  <si>
    <t>Update the table in the Federal and State Purchases sheet by searching the lasgova, lalgova, and cpgs Haver codes, and entering in the most recent month of data. Note: We don't really look at this</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</si>
  <si>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</si>
  <si>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</si>
  <si>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</si>
  <si>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2025 Q1 Second revision (March)</t>
  </si>
  <si>
    <t>Drag forward Construction (cpgs), Federal Corporate Income Taxes (gfrcp), and State Corporate Income Taxes (gsrcp) if initial revision (data comes in one month late) ex: February, May, August, November</t>
  </si>
  <si>
    <t>Jan. r</t>
  </si>
  <si>
    <t>2025 Q2 Initial Release (April)</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</si>
  <si>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</si>
  <si>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</si>
  <si>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</si>
  <si>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</si>
  <si>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</si>
  <si>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</si>
  <si>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</si>
  <si>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</si>
  <si>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</si>
  <si>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</si>
  <si>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</si>
  <si>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</si>
  <si>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</si>
  <si>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</si>
  <si>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</si>
  <si>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</si>
  <si>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</si>
  <si>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</si>
  <si>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</si>
  <si>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</si>
  <si>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</si>
  <si>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</si>
  <si>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</si>
  <si>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</si>
  <si>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</si>
  <si>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</si>
  <si>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</si>
  <si>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</si>
  <si>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</si>
  <si>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</si>
  <si>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</si>
  <si>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</si>
  <si>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</si>
  <si>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</si>
  <si>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</si>
  <si>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</si>
  <si>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</si>
  <si>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</si>
  <si>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</si>
  <si>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</si>
  <si>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</si>
  <si>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</si>
  <si>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</si>
  <si>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</si>
  <si>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</si>
  <si>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</si>
  <si>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</si>
  <si>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</si>
  <si>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</si>
  <si>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</si>
  <si>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</si>
  <si>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</si>
  <si>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</si>
  <si>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</si>
  <si>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</si>
  <si>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</si>
  <si>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</si>
  <si>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</si>
  <si>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</si>
  <si>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</si>
  <si>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</si>
  <si>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</si>
  <si>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</si>
  <si>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</si>
  <si>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</si>
  <si>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</si>
  <si>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</si>
  <si>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</si>
  <si>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</si>
  <si>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</si>
  <si>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</si>
  <si>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</si>
  <si>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</si>
  <si>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</si>
  <si>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</si>
  <si>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</si>
  <si>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</si>
  <si>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</si>
  <si>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</si>
  <si>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</si>
  <si>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</si>
  <si>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</si>
  <si>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</si>
  <si>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</si>
  <si>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</si>
  <si>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</si>
  <si>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</si>
  <si>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</si>
  <si>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</si>
  <si>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</si>
  <si>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</si>
  <si>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</si>
  <si>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</si>
  <si>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</si>
  <si>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</si>
  <si>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</si>
  <si>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</si>
  <si>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</si>
  <si>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</si>
  <si>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</si>
  <si>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</si>
  <si>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</si>
  <si>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</si>
  <si>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</si>
  <si>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</si>
  <si>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</si>
  <si>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</si>
  <si>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</si>
  <si>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</si>
  <si>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</si>
  <si>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</si>
  <si>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</si>
  <si>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</si>
  <si>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</si>
  <si>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</si>
  <si>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</si>
  <si>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</si>
  <si>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</si>
  <si>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</si>
  <si>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</si>
  <si>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</si>
  <si>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</si>
  <si>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</si>
  <si>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</si>
  <si>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</si>
  <si>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</si>
  <si>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</si>
  <si>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</si>
  <si>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</si>
  <si>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</si>
  <si>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</si>
  <si>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</si>
  <si>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</si>
  <si>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</si>
  <si>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</si>
  <si>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</si>
  <si>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</si>
  <si>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</si>
  <si>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</si>
  <si>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</si>
  <si>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</si>
  <si>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</si>
  <si>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</si>
  <si>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</si>
  <si>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</si>
  <si>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</si>
  <si>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</si>
  <si>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</si>
  <si>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</si>
  <si>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</si>
  <si>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</si>
  <si>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</si>
  <si>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</si>
  <si>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</si>
  <si>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</si>
  <si>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</si>
  <si>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</si>
  <si>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</si>
  <si>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</si>
  <si>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</si>
  <si>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</si>
  <si>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</si>
  <si>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</si>
  <si>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</si>
  <si>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</si>
  <si>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</si>
  <si>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</si>
  <si>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</si>
  <si>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</si>
  <si>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</si>
  <si>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</si>
  <si>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</si>
  <si>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</si>
  <si>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</si>
  <si>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</si>
  <si>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</si>
  <si>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</si>
  <si>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</si>
  <si>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</si>
  <si>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</si>
  <si>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</si>
  <si>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</si>
  <si>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</si>
  <si>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</si>
  <si>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</si>
  <si>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</si>
  <si>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</si>
  <si>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</si>
  <si>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</si>
  <si>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</si>
  <si>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</si>
  <si>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</si>
  <si>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</si>
  <si>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</si>
  <si>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</si>
  <si>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</si>
  <si>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</si>
  <si>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</si>
  <si>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</si>
  <si>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</si>
  <si>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</si>
  <si>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</si>
  <si>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</si>
  <si>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</si>
  <si>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</si>
  <si>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</si>
  <si>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</si>
  <si>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</si>
  <si>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</si>
  <si>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</si>
  <si>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</si>
  <si>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</si>
  <si>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</si>
  <si>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</si>
  <si>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</si>
  <si>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</si>
  <si>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</si>
  <si>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</si>
  <si>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</si>
  <si>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</si>
  <si>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</si>
  <si>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</si>
  <si>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</si>
  <si>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</si>
  <si>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</si>
  <si>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</si>
  <si>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</si>
  <si>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</si>
  <si>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</si>
  <si>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</si>
  <si>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</si>
  <si>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</si>
  <si>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</si>
  <si>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</si>
  <si>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</si>
  <si>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</si>
  <si>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</si>
  <si>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</si>
  <si>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</si>
  <si>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</si>
  <si>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</si>
  <si>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</si>
  <si>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</si>
  <si>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</si>
  <si>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</si>
  <si>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</si>
  <si>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</si>
  <si>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</si>
  <si>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</si>
  <si>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</si>
  <si>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</si>
  <si>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</si>
  <si>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</si>
  <si>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</si>
  <si>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</si>
  <si>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</si>
  <si>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</si>
  <si>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</si>
  <si>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</si>
  <si>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</si>
  <si>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</si>
  <si>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</si>
  <si>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</si>
  <si>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</si>
  <si>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</si>
  <si>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</si>
  <si>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</si>
  <si>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</si>
  <si>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</si>
  <si>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</si>
  <si>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</si>
  <si>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</si>
  <si>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</si>
  <si>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</si>
  <si>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</si>
  <si>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</si>
  <si>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</si>
  <si>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</si>
  <si>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</si>
  <si>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</si>
  <si>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</si>
  <si>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</si>
  <si>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</si>
  <si>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</si>
  <si>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</si>
  <si>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</si>
  <si>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</si>
  <si>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</si>
  <si>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</si>
  <si>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</si>
  <si>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</si>
  <si>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</si>
  <si>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</si>
  <si>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</si>
  <si>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</si>
  <si>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</si>
  <si>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</si>
  <si>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</si>
  <si>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</si>
  <si>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</si>
  <si>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</si>
  <si>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</si>
  <si>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</si>
  <si>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</si>
  <si>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</si>
  <si>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</si>
  <si>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</si>
  <si>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</si>
  <si>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</si>
  <si>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2025 Q1</t>
  </si>
  <si>
    <t>Nov.</t>
  </si>
  <si>
    <t>Feb. r</t>
  </si>
  <si>
    <t>March p</t>
  </si>
  <si>
    <t>Social Security linear growth factor (hardcoded-judgemental)</t>
  </si>
  <si>
    <t>Social Security COLA adjustment (one time percentage added to total benefits)</t>
  </si>
  <si>
    <t>minus 14</t>
  </si>
  <si>
    <t>add 30</t>
  </si>
  <si>
    <t>federal purchases deflator add factor</t>
  </si>
  <si>
    <t xml:space="preserve">Real Federal Purchases Growth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</si>
</sst>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
    <numFmt numFmtId="165" formatCode="#,##0.0"/>
    <numFmt numFmtId="166" formatCode="yyyy\-mm\-dd"/>
    <numFmt numFmtId="167" formatCode="0.0%"/>
    <numFmt numFmtId="168" formatCode="0.0"/>
    <numFmt numFmtId="169" formatCode="0.000"/>
    <numFmt numFmtId="170" formatCode="#,##0.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 numFmtId="178" formatCode="0.0000%"/>
  </numFmts>
  <fonts count="68"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b/>
      <sz val="16"/>
      <color theme="1"/>
      <name val="Calibri"/>
      <family val="2"/>
    </font>
    <font>
      <sz val="12"/>
      <color theme="1"/>
      <name val="Calibri"/>
      <family val="2"/>
    </font>
    <font>
      <b/>
      <sz val="12"/>
      <color theme="1"/>
      <name val="Calibri"/>
      <family val="2"/>
    </font>
    <font>
      <i/>
      <sz val="11"/>
      <color theme="1"/>
      <name val="Arial"/>
      <family val="2"/>
    </font>
    <font>
      <sz val="11"/>
      <color rgb="FFFF0000"/>
      <name val="Arial"/>
      <family val="2"/>
    </font>
    <font>
      <sz val="11"/>
      <color rgb="FF393B3E"/>
      <name val="Arial"/>
      <family val="2"/>
    </font>
    <font>
      <b/>
      <i/>
      <sz val="11"/>
      <color theme="1"/>
      <name val="Arial"/>
      <family val="2"/>
    </font>
    <font>
      <sz val="11"/>
      <color rgb="FF000000"/>
      <name val="Arial"/>
      <family val="2"/>
    </font>
    <font>
      <sz val="7"/>
      <color rgb="FF242424"/>
      <name val="Segoe UI"/>
      <family val="2"/>
    </font>
    <font>
      <b/>
      <sz val="10"/>
      <color theme="1"/>
      <name val="Arial"/>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sz val="10"/>
      <color theme="1"/>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0"/>
      <color theme="1"/>
      <name val="Calibri"/>
      <family val="2"/>
    </font>
    <font>
      <i/>
      <sz val="10"/>
      <color theme="1"/>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u/>
      <sz val="11"/>
      <color theme="10"/>
      <name val="Calibri"/>
      <family val="2"/>
      <scheme val="minor"/>
    </font>
    <font>
      <vertAlign val="superscript"/>
      <sz val="11"/>
      <name val="Calibri"/>
      <family val="2"/>
    </font>
    <font>
      <sz val="11"/>
      <name val="Calibri"/>
      <family val="2"/>
    </font>
    <font>
      <sz val="8.5"/>
      <name val="Arial"/>
      <family val="2"/>
    </font>
    <font>
      <sz val="11"/>
      <color theme="5" tint="0.79998168889431442"/>
      <name val="Calibri"/>
      <family val="2"/>
    </font>
    <font>
      <sz val="10"/>
      <name val="Arial"/>
      <family val="2"/>
    </font>
    <font>
      <b/>
      <sz val="11"/>
      <name val="Calibri"/>
      <family val="2"/>
    </font>
    <font>
      <b/>
      <sz val="11"/>
      <color rgb="FF4F4F4F"/>
      <name val="Segoe UI"/>
      <family val="2"/>
    </font>
    <font>
      <sz val="11"/>
      <color theme="1"/>
      <name val="Calibri"/>
      <family val="2"/>
      <scheme val="minor"/>
    </font>
  </fonts>
  <fills count="4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C6E0B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7" tint="0.39997558519241921"/>
        <bgColor indexed="64"/>
      </patternFill>
    </fill>
    <fill>
      <patternFill patternType="solid">
        <fgColor rgb="FF00B0F0"/>
        <bgColor indexed="64"/>
      </patternFill>
    </fill>
    <fill>
      <patternFill patternType="solid">
        <fgColor theme="5"/>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theme="2"/>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
      <patternFill patternType="solid">
        <fgColor rgb="FFFFFFFF"/>
        <bgColor indexed="64"/>
      </patternFill>
    </fill>
  </fills>
  <borders count="52">
    <border>
      <left/>
      <right/>
      <top/>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auto="1"/>
      </top>
      <bottom style="thin">
        <color indexed="64"/>
      </bottom>
      <diagonal/>
    </border>
    <border>
      <left/>
      <right/>
      <top style="hair">
        <color indexed="64"/>
      </top>
      <bottom/>
      <diagonal/>
    </border>
    <border>
      <left/>
      <right/>
      <top/>
      <bottom style="medium">
        <color theme="0" tint="-0.499984740745262"/>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top style="thin">
        <color theme="0" tint="-0.14999847407452621"/>
      </top>
      <bottom style="thin">
        <color theme="0" tint="-0.14999847407452621"/>
      </bottom>
      <diagonal/>
    </border>
    <border>
      <left/>
      <right/>
      <top/>
      <bottom style="hair">
        <color indexed="64"/>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style="hair">
        <color auto="1"/>
      </left>
      <right style="hair">
        <color auto="1"/>
      </right>
      <top style="hair">
        <color auto="1"/>
      </top>
      <bottom style="hair">
        <color auto="1"/>
      </bottom>
      <diagonal/>
    </border>
    <border>
      <left/>
      <right style="thin">
        <color indexed="64"/>
      </right>
      <top style="thin">
        <color theme="0" tint="-0.14999847407452621"/>
      </top>
      <bottom style="thin">
        <color theme="0" tint="-0.14999847407452621"/>
      </bottom>
      <diagonal/>
    </border>
    <border>
      <left/>
      <right style="thin">
        <color auto="1"/>
      </right>
      <top/>
      <bottom/>
      <diagonal/>
    </border>
    <border>
      <left/>
      <right/>
      <top style="thin">
        <color indexed="64"/>
      </top>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style="thin">
        <color auto="1"/>
      </top>
      <bottom style="thin">
        <color indexed="64"/>
      </bottom>
      <diagonal/>
    </border>
    <border>
      <left style="thin">
        <color indexed="64"/>
      </left>
      <right/>
      <top style="hair">
        <color indexed="64"/>
      </top>
      <bottom/>
      <diagonal/>
    </border>
    <border>
      <left style="thin">
        <color indexed="64"/>
      </left>
      <right/>
      <top/>
      <bottom style="hair">
        <color indexed="64"/>
      </bottom>
      <diagonal/>
    </border>
    <border>
      <left style="thick">
        <color theme="9"/>
      </left>
      <right style="thick">
        <color theme="9"/>
      </right>
      <top style="thick">
        <color theme="9"/>
      </top>
      <bottom style="thick">
        <color theme="9"/>
      </bottom>
      <diagonal/>
    </border>
    <border>
      <left/>
      <right style="thin">
        <color indexed="9"/>
      </right>
      <top/>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right/>
      <top/>
      <bottom style="thin">
        <color rgb="FF000000"/>
      </bottom>
      <diagonal/>
    </border>
    <border>
      <left/>
      <right/>
      <top style="thin">
        <color rgb="FF000000"/>
      </top>
      <bottom/>
      <diagonal/>
    </border>
    <border>
      <left/>
      <right style="thin">
        <color indexed="64"/>
      </right>
      <top/>
      <bottom/>
      <diagonal/>
    </border>
  </borders>
  <cellStyleXfs count="3">
    <xf numFmtId="0" fontId="0" fillId="0" borderId="0"/>
    <xf numFmtId="0" fontId="64" fillId="0" borderId="0"/>
    <xf numFmtId="9" fontId="67" fillId="0" borderId="0" applyFont="0" applyFill="0" applyBorder="0" applyAlignment="0" applyProtection="0"/>
  </cellStyleXfs>
  <cellXfs count="1431">
    <xf numFmtId="0" fontId="0" fillId="0" borderId="0" xfId="0"/>
    <xf numFmtId="0" fontId="1" fillId="2" borderId="1" xfId="0" applyFont="1" applyFill="1" applyBorder="1" applyAlignment="1">
      <alignment vertical="top" wrapText="1"/>
    </xf>
    <xf numFmtId="0" fontId="1" fillId="2" borderId="3" xfId="0" applyFont="1" applyFill="1" applyBorder="1" applyAlignment="1">
      <alignment vertical="top"/>
    </xf>
    <xf numFmtId="0" fontId="1" fillId="2" borderId="1" xfId="0" applyFont="1" applyFill="1" applyBorder="1" applyAlignment="1">
      <alignment vertical="top"/>
    </xf>
    <xf numFmtId="0" fontId="2" fillId="2" borderId="7" xfId="0" applyFont="1" applyFill="1" applyBorder="1" applyAlignment="1">
      <alignment vertical="top"/>
    </xf>
    <xf numFmtId="0" fontId="2" fillId="2" borderId="1" xfId="0" applyFont="1" applyFill="1" applyBorder="1" applyAlignment="1">
      <alignment vertical="top"/>
    </xf>
    <xf numFmtId="0" fontId="3" fillId="0" borderId="0" xfId="0" applyFont="1" applyAlignment="1">
      <alignment vertical="top" wrapText="1"/>
    </xf>
    <xf numFmtId="0" fontId="1" fillId="2" borderId="4" xfId="0" applyFont="1" applyFill="1" applyBorder="1" applyAlignment="1">
      <alignment vertical="top"/>
    </xf>
    <xf numFmtId="0" fontId="1" fillId="2" borderId="0" xfId="0" applyFont="1" applyFill="1" applyAlignment="1">
      <alignment vertical="top"/>
    </xf>
    <xf numFmtId="0" fontId="1" fillId="2" borderId="6" xfId="0" applyFont="1" applyFill="1" applyBorder="1" applyAlignment="1">
      <alignment vertical="top"/>
    </xf>
    <xf numFmtId="0" fontId="1" fillId="2" borderId="5" xfId="0" applyFont="1" applyFill="1" applyBorder="1" applyAlignment="1">
      <alignment vertical="top"/>
    </xf>
    <xf numFmtId="0" fontId="4" fillId="2" borderId="1" xfId="0" applyFont="1" applyFill="1" applyBorder="1" applyAlignment="1">
      <alignment vertical="top"/>
    </xf>
    <xf numFmtId="0" fontId="1" fillId="2" borderId="2" xfId="0" applyFont="1" applyFill="1" applyBorder="1" applyAlignment="1">
      <alignment vertical="top"/>
    </xf>
    <xf numFmtId="0" fontId="1" fillId="2" borderId="8"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8" fillId="0" borderId="0" xfId="0" applyFont="1" applyAlignment="1">
      <alignment wrapText="1"/>
    </xf>
    <xf numFmtId="0" fontId="7" fillId="0" borderId="1" xfId="0" applyFont="1" applyBorder="1" applyAlignment="1">
      <alignment wrapText="1"/>
    </xf>
    <xf numFmtId="0" fontId="1" fillId="0" borderId="1" xfId="0" applyFont="1" applyBorder="1" applyAlignment="1">
      <alignment wrapText="1"/>
    </xf>
    <xf numFmtId="0" fontId="7" fillId="0" borderId="1" xfId="0" applyFont="1" applyBorder="1" applyAlignment="1">
      <alignment horizontal="left" wrapText="1"/>
    </xf>
    <xf numFmtId="0" fontId="1" fillId="0" borderId="3" xfId="0" applyFont="1" applyBorder="1" applyAlignment="1">
      <alignment wrapText="1"/>
    </xf>
    <xf numFmtId="0" fontId="1" fillId="0" borderId="4"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8" fillId="5" borderId="9" xfId="0" applyFont="1" applyFill="1" applyBorder="1" applyAlignment="1">
      <alignment horizontal="center" wrapText="1"/>
    </xf>
    <xf numFmtId="0" fontId="8" fillId="5" borderId="10" xfId="0" applyFont="1" applyFill="1" applyBorder="1" applyAlignment="1">
      <alignment horizontal="center" wrapText="1"/>
    </xf>
    <xf numFmtId="0" fontId="8" fillId="5" borderId="11" xfId="0" applyFont="1" applyFill="1" applyBorder="1" applyAlignment="1">
      <alignment horizontal="center" wrapText="1"/>
    </xf>
    <xf numFmtId="0" fontId="9" fillId="0" borderId="0" xfId="0" applyFont="1" applyAlignment="1">
      <alignment wrapText="1"/>
    </xf>
    <xf numFmtId="0" fontId="10" fillId="0" borderId="0" xfId="0" applyFont="1" applyAlignment="1">
      <alignment vertical="center" wrapText="1"/>
    </xf>
    <xf numFmtId="0" fontId="1" fillId="0" borderId="0" xfId="0" applyFont="1" applyAlignment="1">
      <alignment horizontal="left" wrapText="1"/>
    </xf>
    <xf numFmtId="0" fontId="11" fillId="0" borderId="0" xfId="0" applyFont="1" applyAlignment="1">
      <alignment wrapText="1"/>
    </xf>
    <xf numFmtId="0" fontId="2" fillId="0" borderId="0" xfId="0" applyFont="1" applyAlignment="1">
      <alignment wrapText="1"/>
    </xf>
    <xf numFmtId="0" fontId="6" fillId="0" borderId="14" xfId="0" applyFont="1" applyBorder="1" applyAlignment="1">
      <alignment horizontal="center" wrapText="1"/>
    </xf>
    <xf numFmtId="0" fontId="7" fillId="0" borderId="0" xfId="0" applyFont="1" applyAlignment="1">
      <alignment wrapText="1"/>
    </xf>
    <xf numFmtId="0" fontId="7" fillId="0" borderId="13" xfId="0" applyFont="1" applyBorder="1" applyAlignment="1">
      <alignment wrapText="1"/>
    </xf>
    <xf numFmtId="0" fontId="1" fillId="0" borderId="4" xfId="0" applyFont="1" applyBorder="1"/>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7"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7"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8"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2" fillId="0" borderId="0" xfId="0" applyFont="1" applyAlignment="1">
      <alignment horizontal="center" vertical="top" wrapText="1"/>
    </xf>
    <xf numFmtId="0" fontId="1" fillId="0" borderId="0" xfId="0" applyFont="1"/>
    <xf numFmtId="0" fontId="1" fillId="0" borderId="0" xfId="0" applyFont="1" applyAlignment="1">
      <alignment vertical="top" wrapText="1"/>
    </xf>
    <xf numFmtId="0" fontId="1" fillId="0" borderId="14" xfId="0" applyFont="1" applyBorder="1"/>
    <xf numFmtId="0" fontId="1" fillId="0" borderId="13" xfId="0" applyFont="1" applyBorder="1"/>
    <xf numFmtId="0" fontId="1" fillId="0" borderId="12" xfId="0" applyFont="1" applyBorder="1"/>
    <xf numFmtId="0" fontId="1" fillId="0" borderId="7" xfId="0" applyFont="1" applyBorder="1" applyAlignment="1">
      <alignment wrapText="1"/>
    </xf>
    <xf numFmtId="0" fontId="1" fillId="0" borderId="8" xfId="0" applyFont="1" applyBorder="1" applyAlignment="1">
      <alignment wrapText="1"/>
    </xf>
    <xf numFmtId="0" fontId="1" fillId="0" borderId="4" xfId="0" applyFont="1" applyBorder="1" applyAlignment="1">
      <alignment vertical="center" wrapText="1"/>
    </xf>
    <xf numFmtId="0" fontId="2" fillId="6" borderId="9" xfId="0" applyFont="1" applyFill="1" applyBorder="1" applyAlignment="1">
      <alignment horizontal="center" wrapText="1"/>
    </xf>
    <xf numFmtId="0" fontId="2" fillId="6" borderId="10" xfId="0" applyFont="1" applyFill="1" applyBorder="1" applyAlignment="1">
      <alignment horizontal="center" wrapText="1"/>
    </xf>
    <xf numFmtId="0" fontId="2" fillId="6" borderId="11"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2" fillId="0" borderId="0" xfId="0" applyFont="1"/>
    <xf numFmtId="0" fontId="2" fillId="0" borderId="0" xfId="0" applyFont="1" applyAlignment="1">
      <alignment horizontal="center"/>
    </xf>
    <xf numFmtId="0" fontId="1" fillId="7" borderId="0" xfId="0" applyFont="1" applyFill="1"/>
    <xf numFmtId="3" fontId="1" fillId="7" borderId="0" xfId="0" applyNumberFormat="1" applyFont="1" applyFill="1"/>
    <xf numFmtId="1" fontId="1" fillId="7" borderId="0" xfId="0" applyNumberFormat="1" applyFont="1" applyFill="1"/>
    <xf numFmtId="3" fontId="1" fillId="0" borderId="0" xfId="0" applyNumberFormat="1" applyFont="1"/>
    <xf numFmtId="1" fontId="1" fillId="0" borderId="0" xfId="0" applyNumberFormat="1" applyFont="1"/>
    <xf numFmtId="167" fontId="1" fillId="7" borderId="0" xfId="0" applyNumberFormat="1" applyFont="1" applyFill="1" applyAlignment="1">
      <alignment horizontal="center"/>
    </xf>
    <xf numFmtId="10" fontId="1" fillId="0" borderId="1" xfId="0" applyNumberFormat="1" applyFont="1" applyBorder="1"/>
    <xf numFmtId="0" fontId="2"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0" fontId="1" fillId="0" borderId="0" xfId="0" applyFont="1" applyAlignment="1">
      <alignment horizontal="left" indent="3"/>
    </xf>
    <xf numFmtId="0" fontId="2"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2" fillId="9" borderId="15" xfId="0" applyNumberFormat="1" applyFont="1" applyFill="1" applyBorder="1" applyAlignment="1">
      <alignment horizontal="left" wrapText="1"/>
    </xf>
    <xf numFmtId="0" fontId="1" fillId="0" borderId="0" xfId="0" applyFont="1" applyAlignment="1">
      <alignment horizontal="left" indent="5"/>
    </xf>
    <xf numFmtId="168" fontId="13" fillId="10" borderId="0" xfId="0" applyNumberFormat="1" applyFont="1" applyFill="1" applyAlignment="1">
      <alignment horizontal="center"/>
    </xf>
    <xf numFmtId="0" fontId="2" fillId="10" borderId="0" xfId="0" applyFont="1" applyFill="1"/>
    <xf numFmtId="0" fontId="2" fillId="10" borderId="0" xfId="0" applyFont="1" applyFill="1" applyAlignment="1">
      <alignment horizontal="center"/>
    </xf>
    <xf numFmtId="168" fontId="1" fillId="10" borderId="0" xfId="0" applyNumberFormat="1" applyFont="1" applyFill="1" applyAlignment="1">
      <alignment horizontal="center"/>
    </xf>
    <xf numFmtId="1" fontId="1" fillId="10" borderId="0" xfId="0" applyNumberFormat="1" applyFont="1" applyFill="1" applyAlignment="1">
      <alignment horizontal="center"/>
    </xf>
    <xf numFmtId="0" fontId="1" fillId="0" borderId="0" xfId="0" applyFont="1" applyAlignment="1">
      <alignment horizontal="left" wrapText="1" indent="5"/>
    </xf>
    <xf numFmtId="168" fontId="1" fillId="10" borderId="0" xfId="0" applyNumberFormat="1" applyFont="1" applyFill="1" applyAlignment="1">
      <alignment horizontal="left" indent="1"/>
    </xf>
    <xf numFmtId="49" fontId="1" fillId="10" borderId="0" xfId="0" applyNumberFormat="1" applyFont="1" applyFill="1" applyAlignment="1">
      <alignment horizontal="left" wrapText="1" indent="1"/>
    </xf>
    <xf numFmtId="168" fontId="1" fillId="10" borderId="0" xfId="0" applyNumberFormat="1" applyFont="1" applyFill="1" applyAlignment="1">
      <alignment horizontal="left" wrapText="1" indent="1"/>
    </xf>
    <xf numFmtId="0" fontId="1" fillId="10" borderId="0" xfId="0" applyFont="1" applyFill="1" applyAlignment="1">
      <alignment horizontal="left" indent="1"/>
    </xf>
    <xf numFmtId="17" fontId="12" fillId="10" borderId="15" xfId="0" applyNumberFormat="1" applyFont="1" applyFill="1" applyBorder="1" applyAlignment="1">
      <alignment horizontal="left" wrapText="1"/>
    </xf>
    <xf numFmtId="168" fontId="13" fillId="11" borderId="0" xfId="0" applyNumberFormat="1" applyFont="1" applyFill="1" applyAlignment="1">
      <alignment horizontal="center"/>
    </xf>
    <xf numFmtId="2" fontId="1" fillId="0" borderId="0" xfId="0" applyNumberFormat="1" applyFont="1"/>
    <xf numFmtId="10" fontId="1" fillId="0" borderId="0" xfId="0" applyNumberFormat="1" applyFont="1"/>
    <xf numFmtId="0" fontId="2" fillId="11" borderId="0" xfId="0" applyFont="1" applyFill="1"/>
    <xf numFmtId="165" fontId="2" fillId="9" borderId="16" xfId="0" applyNumberFormat="1" applyFont="1" applyFill="1" applyBorder="1" applyAlignment="1">
      <alignment horizontal="right"/>
    </xf>
    <xf numFmtId="165" fontId="2" fillId="9" borderId="0" xfId="0" applyNumberFormat="1" applyFont="1" applyFill="1" applyAlignment="1">
      <alignment horizontal="right"/>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168" fontId="13" fillId="0" borderId="0" xfId="0" applyNumberFormat="1" applyFont="1" applyAlignment="1">
      <alignment horizontal="center"/>
    </xf>
    <xf numFmtId="0" fontId="2" fillId="11" borderId="0" xfId="0" applyFont="1" applyFill="1" applyAlignment="1">
      <alignment horizontal="center"/>
    </xf>
    <xf numFmtId="168" fontId="1" fillId="0" borderId="22" xfId="0" applyNumberFormat="1" applyFont="1" applyBorder="1" applyAlignment="1">
      <alignment horizontal="center"/>
    </xf>
    <xf numFmtId="0" fontId="1" fillId="11" borderId="0" xfId="0" applyFont="1" applyFill="1"/>
    <xf numFmtId="2" fontId="1" fillId="9" borderId="0" xfId="0" applyNumberFormat="1" applyFont="1" applyFill="1"/>
    <xf numFmtId="2" fontId="1" fillId="9" borderId="27" xfId="0" applyNumberFormat="1" applyFont="1" applyFill="1" applyBorder="1"/>
    <xf numFmtId="2" fontId="2" fillId="9" borderId="0" xfId="0" applyNumberFormat="1" applyFont="1" applyFill="1"/>
    <xf numFmtId="165" fontId="1" fillId="9" borderId="0" xfId="0" applyNumberFormat="1" applyFont="1" applyFill="1" applyAlignment="1">
      <alignment horizontal="right"/>
    </xf>
    <xf numFmtId="2" fontId="1" fillId="10" borderId="0" xfId="0" applyNumberFormat="1" applyFont="1" applyFill="1"/>
    <xf numFmtId="2" fontId="1" fillId="11" borderId="0" xfId="0" applyNumberFormat="1" applyFont="1" applyFill="1"/>
    <xf numFmtId="2" fontId="2" fillId="10" borderId="0" xfId="0" applyNumberFormat="1" applyFont="1" applyFill="1"/>
    <xf numFmtId="2" fontId="2" fillId="11" borderId="0" xfId="0" applyNumberFormat="1" applyFont="1" applyFill="1"/>
    <xf numFmtId="3" fontId="1" fillId="9" borderId="0" xfId="0" applyNumberFormat="1" applyFont="1" applyFill="1" applyAlignment="1">
      <alignment horizontal="right"/>
    </xf>
    <xf numFmtId="3" fontId="1" fillId="9" borderId="28" xfId="0" applyNumberFormat="1" applyFont="1" applyFill="1" applyBorder="1" applyAlignment="1">
      <alignment horizontal="right"/>
    </xf>
    <xf numFmtId="0" fontId="2" fillId="0" borderId="0" xfId="0" applyFont="1" applyAlignment="1">
      <alignment horizontal="left" wrapText="1" indent="1"/>
    </xf>
    <xf numFmtId="168" fontId="1" fillId="11" borderId="0" xfId="0" applyNumberFormat="1" applyFont="1" applyFill="1" applyAlignment="1">
      <alignment horizontal="center"/>
    </xf>
    <xf numFmtId="165" fontId="2" fillId="10" borderId="29" xfId="0" applyNumberFormat="1" applyFont="1" applyFill="1" applyBorder="1" applyAlignment="1">
      <alignment horizontal="right"/>
    </xf>
    <xf numFmtId="165" fontId="2" fillId="10" borderId="30" xfId="0" applyNumberFormat="1" applyFont="1" applyFill="1" applyBorder="1" applyAlignment="1">
      <alignment horizontal="right"/>
    </xf>
    <xf numFmtId="165" fontId="1" fillId="10" borderId="30" xfId="0" applyNumberFormat="1" applyFont="1" applyFill="1" applyBorder="1" applyAlignment="1">
      <alignment horizontal="right"/>
    </xf>
    <xf numFmtId="1" fontId="1" fillId="11" borderId="0" xfId="0" applyNumberFormat="1" applyFont="1" applyFill="1" applyAlignment="1">
      <alignment horizontal="center"/>
    </xf>
    <xf numFmtId="3" fontId="1" fillId="10" borderId="30" xfId="0" applyNumberFormat="1" applyFont="1" applyFill="1" applyBorder="1" applyAlignment="1">
      <alignment horizontal="right"/>
    </xf>
    <xf numFmtId="3" fontId="1" fillId="10" borderId="31" xfId="0" applyNumberFormat="1" applyFont="1" applyFill="1" applyBorder="1" applyAlignment="1">
      <alignment horizontal="right"/>
    </xf>
    <xf numFmtId="10" fontId="1" fillId="12" borderId="0" xfId="0" applyNumberFormat="1" applyFont="1" applyFill="1"/>
    <xf numFmtId="168" fontId="1" fillId="11" borderId="0" xfId="0" applyNumberFormat="1" applyFont="1" applyFill="1" applyAlignment="1">
      <alignment horizontal="left" indent="1"/>
    </xf>
    <xf numFmtId="49" fontId="1" fillId="11" borderId="0" xfId="0" applyNumberFormat="1" applyFont="1" applyFill="1" applyAlignment="1">
      <alignment horizontal="left" wrapText="1" indent="1"/>
    </xf>
    <xf numFmtId="0" fontId="1" fillId="0" borderId="0" xfId="0" applyFont="1" applyAlignment="1">
      <alignment horizontal="left" wrapText="1" indent="3"/>
    </xf>
    <xf numFmtId="168" fontId="1" fillId="10" borderId="32" xfId="0" applyNumberFormat="1" applyFont="1" applyFill="1" applyBorder="1" applyAlignment="1">
      <alignment horizontal="center"/>
    </xf>
    <xf numFmtId="165" fontId="2" fillId="10" borderId="16" xfId="0" applyNumberFormat="1" applyFont="1" applyFill="1" applyBorder="1" applyAlignment="1">
      <alignment horizontal="right"/>
    </xf>
    <xf numFmtId="165" fontId="2" fillId="10" borderId="0" xfId="0" applyNumberFormat="1" applyFont="1" applyFill="1" applyAlignment="1">
      <alignment horizontal="right"/>
    </xf>
    <xf numFmtId="165" fontId="1" fillId="10" borderId="0" xfId="0" applyNumberFormat="1" applyFont="1" applyFill="1" applyAlignment="1">
      <alignment horizontal="right"/>
    </xf>
    <xf numFmtId="3" fontId="1" fillId="10" borderId="0" xfId="0" applyNumberFormat="1" applyFont="1" applyFill="1" applyAlignment="1">
      <alignment horizontal="right"/>
    </xf>
    <xf numFmtId="3" fontId="1" fillId="10" borderId="28" xfId="0" applyNumberFormat="1" applyFont="1" applyFill="1" applyBorder="1" applyAlignment="1">
      <alignment horizontal="right"/>
    </xf>
    <xf numFmtId="168" fontId="1" fillId="11" borderId="32" xfId="0" applyNumberFormat="1" applyFont="1" applyFill="1" applyBorder="1" applyAlignment="1">
      <alignment horizontal="center"/>
    </xf>
    <xf numFmtId="165" fontId="2" fillId="11" borderId="16" xfId="0" applyNumberFormat="1" applyFont="1" applyFill="1" applyBorder="1" applyAlignment="1">
      <alignment horizontal="right"/>
    </xf>
    <xf numFmtId="165" fontId="2" fillId="11" borderId="0" xfId="0" applyNumberFormat="1" applyFont="1" applyFill="1" applyAlignment="1">
      <alignment horizontal="right"/>
    </xf>
    <xf numFmtId="165" fontId="1" fillId="11" borderId="0" xfId="0" applyNumberFormat="1" applyFont="1" applyFill="1" applyAlignment="1">
      <alignment horizontal="right"/>
    </xf>
    <xf numFmtId="3" fontId="1" fillId="11" borderId="0" xfId="0" applyNumberFormat="1" applyFont="1" applyFill="1" applyAlignment="1">
      <alignment horizontal="right"/>
    </xf>
    <xf numFmtId="3" fontId="1" fillId="11" borderId="28" xfId="0" applyNumberFormat="1" applyFont="1" applyFill="1" applyBorder="1" applyAlignment="1">
      <alignment horizontal="right"/>
    </xf>
    <xf numFmtId="168" fontId="1" fillId="9" borderId="32" xfId="0" applyNumberFormat="1" applyFont="1" applyFill="1" applyBorder="1" applyAlignment="1">
      <alignment horizontal="center"/>
    </xf>
    <xf numFmtId="165" fontId="2" fillId="9" borderId="18" xfId="0" applyNumberFormat="1" applyFont="1" applyFill="1" applyBorder="1" applyAlignment="1">
      <alignment horizontal="right"/>
    </xf>
    <xf numFmtId="165" fontId="2" fillId="9" borderId="19" xfId="0" applyNumberFormat="1" applyFont="1" applyFill="1" applyBorder="1" applyAlignment="1">
      <alignment horizontal="right"/>
    </xf>
    <xf numFmtId="165" fontId="1" fillId="9" borderId="19" xfId="0" applyNumberFormat="1" applyFont="1" applyFill="1" applyBorder="1" applyAlignment="1">
      <alignment horizontal="right"/>
    </xf>
    <xf numFmtId="3" fontId="1" fillId="9" borderId="19" xfId="0" applyNumberFormat="1" applyFont="1" applyFill="1" applyBorder="1" applyAlignment="1">
      <alignment horizontal="right"/>
    </xf>
    <xf numFmtId="3" fontId="1" fillId="9" borderId="20" xfId="0" applyNumberFormat="1" applyFont="1" applyFill="1" applyBorder="1" applyAlignment="1">
      <alignment horizontal="right"/>
    </xf>
    <xf numFmtId="168" fontId="1" fillId="11" borderId="0" xfId="0" applyNumberFormat="1" applyFont="1" applyFill="1" applyAlignment="1">
      <alignment horizontal="left" wrapText="1" indent="1"/>
    </xf>
    <xf numFmtId="0" fontId="1" fillId="11" borderId="0" xfId="0" applyFont="1" applyFill="1" applyAlignment="1">
      <alignment horizontal="left" indent="1"/>
    </xf>
    <xf numFmtId="17" fontId="12" fillId="11" borderId="15" xfId="0" applyNumberFormat="1" applyFont="1" applyFill="1" applyBorder="1" applyAlignment="1">
      <alignment horizontal="left" wrapText="1"/>
    </xf>
    <xf numFmtId="1" fontId="1" fillId="0" borderId="18" xfId="0" applyNumberFormat="1" applyFont="1" applyBorder="1" applyAlignment="1">
      <alignment horizontal="center"/>
    </xf>
    <xf numFmtId="1" fontId="1" fillId="0" borderId="19" xfId="0" applyNumberFormat="1" applyFont="1" applyBorder="1" applyAlignment="1">
      <alignment horizontal="center"/>
    </xf>
    <xf numFmtId="1" fontId="1" fillId="0" borderId="19" xfId="0" applyNumberFormat="1" applyFont="1" applyBorder="1" applyAlignment="1">
      <alignment horizontal="center" vertical="top"/>
    </xf>
    <xf numFmtId="1" fontId="1" fillId="0" borderId="20" xfId="0" applyNumberFormat="1" applyFont="1" applyBorder="1" applyAlignment="1">
      <alignment horizontal="center"/>
    </xf>
    <xf numFmtId="168" fontId="1" fillId="0" borderId="0" xfId="0" applyNumberFormat="1" applyFont="1" applyAlignment="1">
      <alignment horizontal="center"/>
    </xf>
    <xf numFmtId="17" fontId="12" fillId="3" borderId="15"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32" xfId="0" applyNumberFormat="1" applyFont="1" applyBorder="1" applyAlignment="1">
      <alignment horizontal="center"/>
    </xf>
    <xf numFmtId="165" fontId="2" fillId="0" borderId="29" xfId="0" applyNumberFormat="1" applyFont="1" applyBorder="1" applyAlignment="1">
      <alignment horizontal="right"/>
    </xf>
    <xf numFmtId="165" fontId="2" fillId="0" borderId="16" xfId="0" applyNumberFormat="1" applyFont="1" applyBorder="1" applyAlignment="1">
      <alignment horizontal="right"/>
    </xf>
    <xf numFmtId="165" fontId="2" fillId="0" borderId="30" xfId="0" applyNumberFormat="1" applyFont="1" applyBorder="1" applyAlignment="1">
      <alignment horizontal="right"/>
    </xf>
    <xf numFmtId="165" fontId="2" fillId="0" borderId="0" xfId="0" applyNumberFormat="1" applyFont="1" applyAlignment="1">
      <alignment horizontal="right"/>
    </xf>
    <xf numFmtId="165" fontId="1" fillId="0" borderId="30" xfId="0" applyNumberFormat="1" applyFont="1" applyBorder="1" applyAlignment="1">
      <alignment horizontal="right"/>
    </xf>
    <xf numFmtId="165" fontId="1" fillId="0" borderId="0" xfId="0" applyNumberFormat="1" applyFont="1" applyAlignment="1">
      <alignment horizontal="right"/>
    </xf>
    <xf numFmtId="3" fontId="1" fillId="0" borderId="30" xfId="0" applyNumberFormat="1" applyFont="1" applyBorder="1" applyAlignment="1">
      <alignment horizontal="right"/>
    </xf>
    <xf numFmtId="3" fontId="1" fillId="0" borderId="0" xfId="0" applyNumberFormat="1" applyFont="1" applyAlignment="1">
      <alignment horizontal="right"/>
    </xf>
    <xf numFmtId="3" fontId="1" fillId="0" borderId="31" xfId="0" applyNumberFormat="1" applyFont="1" applyBorder="1" applyAlignment="1">
      <alignment horizontal="right"/>
    </xf>
    <xf numFmtId="3" fontId="1" fillId="0" borderId="28" xfId="0" applyNumberFormat="1" applyFont="1" applyBorder="1" applyAlignment="1">
      <alignment horizontal="right"/>
    </xf>
    <xf numFmtId="1" fontId="1" fillId="12" borderId="19" xfId="0" applyNumberFormat="1" applyFont="1" applyFill="1" applyBorder="1" applyAlignment="1">
      <alignment horizontal="center"/>
    </xf>
    <xf numFmtId="0" fontId="11" fillId="0" borderId="0" xfId="0" applyFont="1"/>
    <xf numFmtId="0" fontId="1" fillId="12" borderId="0" xfId="0" applyFont="1" applyFill="1" applyAlignment="1">
      <alignment horizontal="left" indent="3"/>
    </xf>
    <xf numFmtId="165" fontId="1" fillId="12" borderId="30" xfId="0" applyNumberFormat="1" applyFont="1" applyFill="1" applyBorder="1" applyAlignment="1">
      <alignment horizontal="right"/>
    </xf>
    <xf numFmtId="165" fontId="1" fillId="12" borderId="0" xfId="0" applyNumberFormat="1" applyFont="1" applyFill="1" applyAlignment="1">
      <alignment horizontal="right"/>
    </xf>
    <xf numFmtId="2" fontId="1" fillId="12" borderId="6" xfId="0" applyNumberFormat="1" applyFont="1" applyFill="1" applyBorder="1"/>
    <xf numFmtId="165" fontId="2" fillId="9" borderId="29" xfId="0" applyNumberFormat="1" applyFont="1" applyFill="1" applyBorder="1" applyAlignment="1">
      <alignment horizontal="right"/>
    </xf>
    <xf numFmtId="2" fontId="1" fillId="12" borderId="33" xfId="0" applyNumberFormat="1" applyFont="1" applyFill="1" applyBorder="1"/>
    <xf numFmtId="165" fontId="2" fillId="9" borderId="30" xfId="0" applyNumberFormat="1" applyFont="1" applyFill="1" applyBorder="1" applyAlignment="1">
      <alignment horizontal="right"/>
    </xf>
    <xf numFmtId="165" fontId="1" fillId="9" borderId="30" xfId="0" applyNumberFormat="1" applyFont="1" applyFill="1" applyBorder="1" applyAlignment="1">
      <alignment horizontal="right"/>
    </xf>
    <xf numFmtId="3" fontId="1" fillId="9" borderId="30" xfId="0" applyNumberFormat="1" applyFont="1" applyFill="1" applyBorder="1" applyAlignment="1">
      <alignment horizontal="right"/>
    </xf>
    <xf numFmtId="3" fontId="1" fillId="9" borderId="31" xfId="0" applyNumberFormat="1" applyFont="1" applyFill="1" applyBorder="1" applyAlignment="1">
      <alignment horizontal="right"/>
    </xf>
    <xf numFmtId="0" fontId="2" fillId="12" borderId="0" xfId="0" applyFont="1" applyFill="1" applyAlignment="1">
      <alignment horizontal="left" wrapText="1" indent="1"/>
    </xf>
    <xf numFmtId="0" fontId="1" fillId="10" borderId="0" xfId="0" applyFont="1" applyFill="1"/>
    <xf numFmtId="0" fontId="1" fillId="9" borderId="0" xfId="0" applyFont="1" applyFill="1"/>
    <xf numFmtId="0" fontId="2" fillId="9" borderId="0" xfId="0" applyFont="1" applyFill="1"/>
    <xf numFmtId="165" fontId="2" fillId="12" borderId="30" xfId="0" applyNumberFormat="1" applyFont="1" applyFill="1" applyBorder="1" applyAlignment="1">
      <alignment horizontal="right"/>
    </xf>
    <xf numFmtId="165" fontId="2" fillId="12" borderId="0" xfId="0" applyNumberFormat="1" applyFont="1" applyFill="1" applyAlignment="1">
      <alignment horizontal="right"/>
    </xf>
    <xf numFmtId="0" fontId="2" fillId="12"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3" fillId="9" borderId="0" xfId="0" applyNumberFormat="1" applyFont="1" applyFill="1" applyAlignment="1">
      <alignment horizontal="center"/>
    </xf>
    <xf numFmtId="0" fontId="15" fillId="0" borderId="0" xfId="0" applyFont="1"/>
    <xf numFmtId="0" fontId="14" fillId="0" borderId="0" xfId="0" applyFont="1" applyAlignment="1">
      <alignment horizontal="left" indent="1"/>
    </xf>
    <xf numFmtId="0" fontId="14" fillId="0" borderId="0" xfId="0" applyFont="1" applyAlignment="1">
      <alignment horizontal="left" wrapText="1" indent="1"/>
    </xf>
    <xf numFmtId="0" fontId="14" fillId="0" borderId="0" xfId="0" applyFont="1" applyAlignment="1">
      <alignment horizontal="left" indent="2"/>
    </xf>
    <xf numFmtId="0" fontId="14" fillId="0" borderId="0" xfId="0" applyFont="1" applyAlignment="1">
      <alignment horizontal="center" wrapText="1"/>
    </xf>
    <xf numFmtId="9" fontId="14" fillId="0" borderId="0" xfId="0" applyNumberFormat="1" applyFont="1" applyAlignment="1">
      <alignment horizontal="center"/>
    </xf>
    <xf numFmtId="0" fontId="15" fillId="0" borderId="0" xfId="0" applyFont="1" applyAlignment="1">
      <alignment horizontal="center"/>
    </xf>
    <xf numFmtId="167" fontId="14" fillId="0" borderId="0" xfId="0" applyNumberFormat="1"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8" borderId="35" xfId="0" applyFont="1" applyFill="1" applyBorder="1" applyAlignment="1">
      <alignment horizontal="center"/>
    </xf>
    <xf numFmtId="0" fontId="3" fillId="8" borderId="2" xfId="0" applyFont="1" applyFill="1" applyBorder="1" applyAlignment="1">
      <alignment horizontal="center"/>
    </xf>
    <xf numFmtId="0" fontId="1" fillId="8" borderId="0" xfId="0" applyFont="1" applyFill="1"/>
    <xf numFmtId="0" fontId="3" fillId="7" borderId="34" xfId="0" applyFont="1" applyFill="1" applyBorder="1"/>
    <xf numFmtId="0" fontId="3" fillId="7" borderId="0" xfId="0" applyFont="1" applyFill="1"/>
    <xf numFmtId="0" fontId="3" fillId="7" borderId="6" xfId="0" applyFont="1" applyFill="1" applyBorder="1" applyAlignment="1">
      <alignment horizontal="center"/>
    </xf>
    <xf numFmtId="0" fontId="3" fillId="0" borderId="0" xfId="0" applyFont="1" applyAlignment="1">
      <alignment horizontal="center"/>
    </xf>
    <xf numFmtId="0" fontId="3" fillId="0" borderId="0" xfId="0" applyFont="1" applyAlignment="1">
      <alignment horizontal="left"/>
    </xf>
    <xf numFmtId="165" fontId="3" fillId="8" borderId="0" xfId="0" applyNumberFormat="1" applyFont="1" applyFill="1" applyAlignment="1">
      <alignment horizontal="center"/>
    </xf>
    <xf numFmtId="3" fontId="3" fillId="8" borderId="3" xfId="0" applyNumberFormat="1" applyFont="1" applyFill="1" applyBorder="1" applyAlignment="1">
      <alignment horizontal="center"/>
    </xf>
    <xf numFmtId="168" fontId="3" fillId="8" borderId="0" xfId="0" applyNumberFormat="1" applyFont="1" applyFill="1"/>
    <xf numFmtId="168" fontId="3" fillId="0" borderId="0" xfId="0" applyNumberFormat="1" applyFont="1"/>
    <xf numFmtId="0" fontId="1" fillId="0" borderId="6" xfId="0" applyFont="1" applyBorder="1"/>
    <xf numFmtId="0" fontId="1" fillId="0" borderId="5" xfId="0" applyFont="1" applyBorder="1"/>
    <xf numFmtId="165" fontId="3" fillId="0" borderId="0" xfId="0" applyNumberFormat="1" applyFont="1" applyAlignment="1">
      <alignment horizontal="center"/>
    </xf>
    <xf numFmtId="165" fontId="3" fillId="0" borderId="6" xfId="0" applyNumberFormat="1" applyFont="1" applyBorder="1" applyAlignment="1">
      <alignment horizontal="center"/>
    </xf>
    <xf numFmtId="165" fontId="16" fillId="0" borderId="0" xfId="0" applyNumberFormat="1" applyFont="1" applyAlignment="1">
      <alignment horizontal="center"/>
    </xf>
    <xf numFmtId="3" fontId="16"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7" borderId="0" xfId="0" applyFont="1" applyFill="1" applyAlignment="1">
      <alignment horizontal="center" wrapText="1"/>
    </xf>
    <xf numFmtId="165" fontId="16" fillId="8" borderId="0" xfId="0" applyNumberFormat="1" applyFont="1" applyFill="1" applyAlignment="1">
      <alignment horizontal="center"/>
    </xf>
    <xf numFmtId="0" fontId="3" fillId="0" borderId="0" xfId="0" applyFont="1"/>
    <xf numFmtId="168" fontId="3" fillId="12" borderId="0" xfId="0" applyNumberFormat="1" applyFont="1" applyFill="1"/>
    <xf numFmtId="2" fontId="1" fillId="3" borderId="7" xfId="0" applyNumberFormat="1" applyFont="1" applyFill="1" applyBorder="1"/>
    <xf numFmtId="0" fontId="3" fillId="3" borderId="35" xfId="0" applyFont="1" applyFill="1" applyBorder="1"/>
    <xf numFmtId="0" fontId="3" fillId="3" borderId="35" xfId="0" applyFont="1" applyFill="1" applyBorder="1" applyAlignment="1">
      <alignment horizontal="center"/>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7" xfId="0" applyFont="1" applyBorder="1" applyAlignment="1">
      <alignment horizontal="left"/>
    </xf>
    <xf numFmtId="4" fontId="3" fillId="0" borderId="0" xfId="0" applyNumberFormat="1" applyFont="1" applyAlignment="1">
      <alignment horizontal="center"/>
    </xf>
    <xf numFmtId="0" fontId="3" fillId="0" borderId="7" xfId="0" applyFont="1" applyBorder="1" applyAlignment="1">
      <alignment horizontal="center"/>
    </xf>
    <xf numFmtId="0" fontId="3" fillId="0" borderId="0" xfId="0" applyFont="1" applyAlignment="1">
      <alignment horizontal="left" vertical="top"/>
    </xf>
    <xf numFmtId="0" fontId="16" fillId="0" borderId="0" xfId="0" applyFont="1" applyAlignment="1">
      <alignment horizontal="left" wrapText="1"/>
    </xf>
    <xf numFmtId="0" fontId="1" fillId="3" borderId="3" xfId="0" applyFont="1" applyFill="1" applyBorder="1"/>
    <xf numFmtId="0" fontId="3" fillId="3" borderId="4" xfId="0" applyFont="1" applyFill="1" applyBorder="1"/>
    <xf numFmtId="0" fontId="3" fillId="3" borderId="4" xfId="0" applyFont="1" applyFill="1" applyBorder="1" applyAlignment="1">
      <alignment horizontal="center"/>
    </xf>
    <xf numFmtId="165" fontId="16" fillId="0" borderId="1" xfId="0" applyNumberFormat="1" applyFont="1" applyBorder="1" applyAlignment="1">
      <alignment horizontal="center"/>
    </xf>
    <xf numFmtId="0" fontId="16"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3" fontId="3" fillId="8" borderId="4" xfId="0" applyNumberFormat="1" applyFont="1" applyFill="1" applyBorder="1" applyAlignment="1">
      <alignment horizontal="center"/>
    </xf>
    <xf numFmtId="0" fontId="16" fillId="0" borderId="1" xfId="0" applyFont="1" applyBorder="1" applyAlignment="1">
      <alignment horizontal="left" wrapText="1"/>
    </xf>
    <xf numFmtId="0" fontId="3" fillId="8" borderId="4" xfId="0" applyFont="1" applyFill="1" applyBorder="1" applyAlignment="1">
      <alignment horizontal="center"/>
    </xf>
    <xf numFmtId="0" fontId="3" fillId="0" borderId="8"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3" xfId="0" applyNumberFormat="1" applyFont="1" applyBorder="1"/>
    <xf numFmtId="165" fontId="3" fillId="8" borderId="8" xfId="0" applyNumberFormat="1" applyFont="1" applyFill="1" applyBorder="1" applyAlignment="1">
      <alignment horizontal="center"/>
    </xf>
    <xf numFmtId="0" fontId="2" fillId="0" borderId="0" xfId="0" applyFont="1" applyAlignment="1">
      <alignment horizontal="center" wrapText="1"/>
    </xf>
    <xf numFmtId="169" fontId="1" fillId="0" borderId="0" xfId="0" applyNumberFormat="1" applyFont="1"/>
    <xf numFmtId="0" fontId="2" fillId="3" borderId="7" xfId="0" applyFont="1" applyFill="1" applyBorder="1" applyAlignment="1">
      <alignment horizontal="center" wrapText="1"/>
    </xf>
    <xf numFmtId="0" fontId="2" fillId="3" borderId="2" xfId="0" applyFont="1" applyFill="1" applyBorder="1" applyAlignment="1">
      <alignment wrapText="1"/>
    </xf>
    <xf numFmtId="0" fontId="3" fillId="0" borderId="0" xfId="0" applyFont="1" applyAlignment="1">
      <alignment wrapText="1"/>
    </xf>
    <xf numFmtId="0" fontId="3" fillId="7" borderId="5" xfId="0" applyFont="1" applyFill="1" applyBorder="1" applyAlignment="1">
      <alignment horizontal="center"/>
    </xf>
    <xf numFmtId="0" fontId="3" fillId="7" borderId="3" xfId="0" applyFont="1" applyFill="1" applyBorder="1" applyAlignment="1">
      <alignment horizontal="center"/>
    </xf>
    <xf numFmtId="0" fontId="3" fillId="7" borderId="4" xfId="0" applyFont="1" applyFill="1" applyBorder="1" applyAlignment="1">
      <alignment horizontal="center"/>
    </xf>
    <xf numFmtId="0" fontId="3" fillId="0" borderId="8" xfId="0" applyFont="1" applyBorder="1" applyAlignment="1">
      <alignment horizontal="center"/>
    </xf>
    <xf numFmtId="0" fontId="12" fillId="0" borderId="1" xfId="0" applyFont="1" applyBorder="1"/>
    <xf numFmtId="3" fontId="3" fillId="8" borderId="5" xfId="0" applyNumberFormat="1" applyFont="1" applyFill="1" applyBorder="1" applyAlignment="1">
      <alignment horizontal="center"/>
    </xf>
    <xf numFmtId="0" fontId="3" fillId="0" borderId="1" xfId="0" applyFont="1" applyBorder="1" applyAlignment="1">
      <alignment horizontal="left"/>
    </xf>
    <xf numFmtId="3" fontId="3" fillId="7" borderId="4" xfId="0" applyNumberFormat="1" applyFont="1" applyFill="1" applyBorder="1" applyAlignment="1">
      <alignment horizontal="center"/>
    </xf>
    <xf numFmtId="0" fontId="3" fillId="7" borderId="1" xfId="0" applyFont="1" applyFill="1" applyBorder="1"/>
    <xf numFmtId="0" fontId="3" fillId="8" borderId="0" xfId="0" applyFont="1" applyFill="1"/>
    <xf numFmtId="0" fontId="3" fillId="8" borderId="8" xfId="0" applyFont="1" applyFill="1" applyBorder="1" applyAlignment="1">
      <alignment horizontal="center"/>
    </xf>
    <xf numFmtId="0" fontId="3" fillId="7" borderId="7" xfId="0" applyFont="1" applyFill="1" applyBorder="1" applyAlignment="1">
      <alignment horizontal="center"/>
    </xf>
    <xf numFmtId="0" fontId="3" fillId="7" borderId="8" xfId="0" applyFont="1" applyFill="1" applyBorder="1" applyAlignment="1">
      <alignment horizontal="center"/>
    </xf>
    <xf numFmtId="0" fontId="3" fillId="7" borderId="2" xfId="0" applyFont="1" applyFill="1" applyBorder="1" applyAlignment="1">
      <alignment horizontal="center"/>
    </xf>
    <xf numFmtId="0" fontId="3" fillId="8" borderId="3" xfId="0" applyFont="1" applyFill="1" applyBorder="1" applyAlignment="1">
      <alignment horizontal="center"/>
    </xf>
    <xf numFmtId="0" fontId="3" fillId="7" borderId="35" xfId="0" applyFont="1" applyFill="1" applyBorder="1" applyAlignment="1">
      <alignment horizontal="center"/>
    </xf>
    <xf numFmtId="0" fontId="3" fillId="8" borderId="5" xfId="0" applyFont="1" applyFill="1" applyBorder="1" applyAlignment="1">
      <alignment horizontal="center"/>
    </xf>
    <xf numFmtId="0" fontId="3" fillId="7" borderId="35" xfId="0" applyFont="1" applyFill="1" applyBorder="1"/>
    <xf numFmtId="0" fontId="3" fillId="3" borderId="0" xfId="0" applyFont="1" applyFill="1" applyAlignment="1">
      <alignment horizontal="center"/>
    </xf>
    <xf numFmtId="0" fontId="3" fillId="8" borderId="14" xfId="0" applyFont="1" applyFill="1" applyBorder="1" applyAlignment="1">
      <alignment horizontal="center"/>
    </xf>
    <xf numFmtId="0" fontId="3" fillId="8" borderId="12" xfId="0" applyFont="1" applyFill="1" applyBorder="1" applyAlignment="1">
      <alignment horizontal="center"/>
    </xf>
    <xf numFmtId="3" fontId="3" fillId="7" borderId="0" xfId="0" applyNumberFormat="1" applyFont="1" applyFill="1" applyAlignment="1">
      <alignment horizontal="center"/>
    </xf>
    <xf numFmtId="3" fontId="16" fillId="7" borderId="0" xfId="0" applyNumberFormat="1" applyFont="1" applyFill="1" applyAlignment="1">
      <alignment horizontal="center"/>
    </xf>
    <xf numFmtId="165" fontId="3" fillId="8" borderId="2" xfId="0" applyNumberFormat="1" applyFont="1" applyFill="1" applyBorder="1" applyAlignment="1">
      <alignment horizontal="center"/>
    </xf>
    <xf numFmtId="0" fontId="3" fillId="7" borderId="2" xfId="0" applyFont="1" applyFill="1" applyBorder="1"/>
    <xf numFmtId="0" fontId="3" fillId="3" borderId="0" xfId="0" applyFont="1" applyFill="1"/>
    <xf numFmtId="165" fontId="16" fillId="8" borderId="6" xfId="0" applyNumberFormat="1" applyFont="1" applyFill="1" applyBorder="1" applyAlignment="1">
      <alignment horizontal="center"/>
    </xf>
    <xf numFmtId="3" fontId="16" fillId="7" borderId="6" xfId="0" applyNumberFormat="1" applyFont="1" applyFill="1" applyBorder="1" applyAlignment="1">
      <alignment horizontal="center"/>
    </xf>
    <xf numFmtId="0" fontId="3" fillId="7" borderId="6" xfId="0" applyFont="1" applyFill="1" applyBorder="1" applyAlignment="1">
      <alignment horizontal="center" wrapText="1"/>
    </xf>
    <xf numFmtId="165" fontId="3" fillId="8" borderId="6" xfId="0" applyNumberFormat="1" applyFont="1" applyFill="1" applyBorder="1" applyAlignment="1">
      <alignment horizontal="center"/>
    </xf>
    <xf numFmtId="3" fontId="3" fillId="7" borderId="6" xfId="0" applyNumberFormat="1" applyFont="1" applyFill="1" applyBorder="1" applyAlignment="1">
      <alignment horizontal="center"/>
    </xf>
    <xf numFmtId="0" fontId="3" fillId="0" borderId="38" xfId="0" applyFont="1" applyBorder="1"/>
    <xf numFmtId="0" fontId="3" fillId="0" borderId="39" xfId="0" applyFont="1" applyBorder="1" applyAlignment="1">
      <alignment horizontal="center"/>
    </xf>
    <xf numFmtId="0" fontId="3" fillId="0" borderId="38" xfId="0" applyFont="1" applyBorder="1" applyAlignment="1">
      <alignment horizontal="center"/>
    </xf>
    <xf numFmtId="165" fontId="3" fillId="0" borderId="38" xfId="0" applyNumberFormat="1" applyFont="1" applyBorder="1" applyAlignment="1">
      <alignment horizontal="center"/>
    </xf>
    <xf numFmtId="0" fontId="3" fillId="0" borderId="35" xfId="0" applyFont="1" applyBorder="1" applyAlignment="1">
      <alignment horizontal="center"/>
    </xf>
    <xf numFmtId="2" fontId="1" fillId="3" borderId="0" xfId="0" applyNumberFormat="1" applyFont="1" applyFill="1"/>
    <xf numFmtId="0" fontId="1" fillId="3" borderId="0" xfId="0" applyFont="1" applyFill="1"/>
    <xf numFmtId="4" fontId="3" fillId="0" borderId="6" xfId="0" applyNumberFormat="1" applyFont="1" applyBorder="1" applyAlignment="1">
      <alignment horizontal="center"/>
    </xf>
    <xf numFmtId="168" fontId="3" fillId="8" borderId="38" xfId="0" applyNumberFormat="1" applyFont="1" applyFill="1" applyBorder="1"/>
    <xf numFmtId="168" fontId="3" fillId="8" borderId="40" xfId="0" applyNumberFormat="1" applyFont="1" applyFill="1" applyBorder="1"/>
    <xf numFmtId="0" fontId="12" fillId="7" borderId="41" xfId="0" applyFont="1" applyFill="1" applyBorder="1" applyAlignment="1">
      <alignment horizontal="center"/>
    </xf>
    <xf numFmtId="0" fontId="12" fillId="7" borderId="36"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12" fillId="9" borderId="36" xfId="0" applyFont="1" applyFill="1" applyBorder="1" applyAlignment="1">
      <alignment horizontal="center" vertical="center" wrapText="1"/>
    </xf>
    <xf numFmtId="0" fontId="12" fillId="0" borderId="0" xfId="0" applyFont="1" applyAlignment="1">
      <alignment horizontal="center"/>
    </xf>
    <xf numFmtId="0" fontId="3" fillId="7" borderId="1" xfId="0" applyFont="1" applyFill="1" applyBorder="1" applyAlignment="1">
      <alignment wrapText="1"/>
    </xf>
    <xf numFmtId="0" fontId="3" fillId="7" borderId="0" xfId="0" applyFont="1" applyFill="1" applyAlignment="1">
      <alignment wrapText="1"/>
    </xf>
    <xf numFmtId="0" fontId="3" fillId="7" borderId="34" xfId="0" applyFont="1" applyFill="1" applyBorder="1" applyAlignment="1">
      <alignment wrapText="1"/>
    </xf>
    <xf numFmtId="0" fontId="3" fillId="8" borderId="2" xfId="0" applyFont="1" applyFill="1" applyBorder="1"/>
    <xf numFmtId="165" fontId="3" fillId="8" borderId="0" xfId="0" applyNumberFormat="1" applyFont="1" applyFill="1" applyAlignment="1">
      <alignment horizontal="center" vertical="top" wrapText="1"/>
    </xf>
    <xf numFmtId="3" fontId="3" fillId="8" borderId="6" xfId="0" applyNumberFormat="1" applyFont="1" applyFill="1" applyBorder="1" applyAlignment="1">
      <alignment horizontal="center"/>
    </xf>
    <xf numFmtId="0" fontId="3" fillId="8" borderId="35" xfId="0" applyFont="1" applyFill="1" applyBorder="1"/>
    <xf numFmtId="165" fontId="1" fillId="0" borderId="0" xfId="0" applyNumberFormat="1" applyFont="1"/>
    <xf numFmtId="3" fontId="3" fillId="0" borderId="4" xfId="0" applyNumberFormat="1" applyFont="1" applyBorder="1" applyAlignment="1">
      <alignment horizontal="center" vertical="top"/>
    </xf>
    <xf numFmtId="168" fontId="3" fillId="0" borderId="6" xfId="0" applyNumberFormat="1" applyFont="1" applyBorder="1" applyAlignment="1">
      <alignment horizontal="center"/>
    </xf>
    <xf numFmtId="165" fontId="3" fillId="0" borderId="5" xfId="0" applyNumberFormat="1" applyFont="1" applyBorder="1" applyAlignment="1">
      <alignment horizontal="center"/>
    </xf>
    <xf numFmtId="165" fontId="3" fillId="0" borderId="0" xfId="0" applyNumberFormat="1" applyFont="1" applyAlignment="1">
      <alignment horizontal="center" vertical="top"/>
    </xf>
    <xf numFmtId="0" fontId="1" fillId="0" borderId="3" xfId="0" applyFont="1" applyBorder="1"/>
    <xf numFmtId="165" fontId="3" fillId="0" borderId="0" xfId="0" applyNumberFormat="1" applyFont="1" applyAlignment="1">
      <alignment horizontal="center" wrapText="1"/>
    </xf>
    <xf numFmtId="165" fontId="3" fillId="0" borderId="4" xfId="0" applyNumberFormat="1" applyFont="1" applyBorder="1" applyAlignment="1">
      <alignment horizontal="center" wrapText="1"/>
    </xf>
    <xf numFmtId="165" fontId="12" fillId="0" borderId="0" xfId="0" applyNumberFormat="1" applyFont="1" applyAlignment="1">
      <alignment horizontal="center" vertical="top" wrapText="1"/>
    </xf>
    <xf numFmtId="165" fontId="16" fillId="0" borderId="35" xfId="0" applyNumberFormat="1" applyFont="1" applyBorder="1" applyAlignment="1">
      <alignment horizontal="center"/>
    </xf>
    <xf numFmtId="2" fontId="3" fillId="0" borderId="4" xfId="0" applyNumberFormat="1" applyFont="1" applyBorder="1"/>
    <xf numFmtId="165" fontId="3" fillId="8" borderId="0" xfId="0" applyNumberFormat="1" applyFont="1" applyFill="1" applyAlignment="1">
      <alignment horizontal="center" wrapText="1"/>
    </xf>
    <xf numFmtId="165" fontId="3" fillId="13" borderId="0" xfId="0" applyNumberFormat="1" applyFont="1" applyFill="1" applyAlignment="1">
      <alignment horizontal="center" wrapText="1"/>
    </xf>
    <xf numFmtId="165" fontId="3" fillId="13" borderId="0" xfId="0" applyNumberFormat="1" applyFont="1" applyFill="1" applyAlignment="1">
      <alignment horizontal="center" vertical="top" wrapText="1"/>
    </xf>
    <xf numFmtId="1" fontId="3" fillId="7" borderId="0" xfId="0" applyNumberFormat="1" applyFont="1" applyFill="1" applyAlignment="1">
      <alignment horizontal="center" wrapText="1"/>
    </xf>
    <xf numFmtId="1" fontId="3" fillId="7" borderId="0" xfId="0" applyNumberFormat="1" applyFont="1" applyFill="1" applyAlignment="1">
      <alignment horizontal="center"/>
    </xf>
    <xf numFmtId="3" fontId="3" fillId="12" borderId="0" xfId="0" applyNumberFormat="1" applyFont="1" applyFill="1" applyAlignment="1">
      <alignment horizontal="center" wrapText="1"/>
    </xf>
    <xf numFmtId="3" fontId="3" fillId="8" borderId="0" xfId="0" applyNumberFormat="1" applyFont="1" applyFill="1" applyAlignment="1">
      <alignment horizontal="center"/>
    </xf>
    <xf numFmtId="3" fontId="3" fillId="8" borderId="0" xfId="0" applyNumberFormat="1" applyFont="1" applyFill="1" applyAlignment="1">
      <alignment horizontal="center" wrapText="1"/>
    </xf>
    <xf numFmtId="165" fontId="16" fillId="0" borderId="0" xfId="0" applyNumberFormat="1" applyFont="1" applyAlignment="1">
      <alignment horizontal="center" wrapText="1"/>
    </xf>
    <xf numFmtId="0" fontId="3" fillId="0" borderId="0" xfId="0" applyFont="1" applyAlignment="1">
      <alignment horizontal="left" vertical="top" wrapText="1" indent="2"/>
    </xf>
    <xf numFmtId="165" fontId="12" fillId="8" borderId="0" xfId="0" applyNumberFormat="1" applyFont="1" applyFill="1" applyAlignment="1">
      <alignment horizontal="center" vertical="top" wrapText="1"/>
    </xf>
    <xf numFmtId="168" fontId="3" fillId="8" borderId="0" xfId="0" applyNumberFormat="1" applyFont="1" applyFill="1" applyAlignment="1">
      <alignment horizontal="center" wrapText="1"/>
    </xf>
    <xf numFmtId="0" fontId="3" fillId="3" borderId="15" xfId="0" applyFont="1" applyFill="1" applyBorder="1" applyAlignment="1">
      <alignment horizontal="center" vertical="center" wrapText="1"/>
    </xf>
    <xf numFmtId="165" fontId="3" fillId="12"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7" xfId="0" applyFont="1" applyBorder="1" applyAlignment="1">
      <alignment horizontal="left" wrapText="1"/>
    </xf>
    <xf numFmtId="0" fontId="3" fillId="0" borderId="7" xfId="0" applyFont="1" applyBorder="1" applyAlignment="1">
      <alignment horizontal="center" wrapText="1"/>
    </xf>
    <xf numFmtId="0" fontId="3" fillId="0" borderId="35" xfId="0" applyFont="1" applyBorder="1" applyAlignment="1">
      <alignment horizontal="center" wrapText="1"/>
    </xf>
    <xf numFmtId="165" fontId="3" fillId="0" borderId="35" xfId="0" applyNumberFormat="1" applyFont="1" applyBorder="1" applyAlignment="1">
      <alignment horizontal="center" wrapText="1"/>
    </xf>
    <xf numFmtId="3" fontId="3" fillId="0" borderId="6" xfId="0" applyNumberFormat="1" applyFont="1" applyBorder="1" applyAlignment="1">
      <alignment horizontal="center" wrapText="1"/>
    </xf>
    <xf numFmtId="0" fontId="3" fillId="0" borderId="4" xfId="0" applyFont="1" applyBorder="1"/>
    <xf numFmtId="3" fontId="3" fillId="0" borderId="1" xfId="0" applyNumberFormat="1" applyFont="1" applyBorder="1" applyAlignment="1">
      <alignment horizontal="center" vertical="top" wrapText="1"/>
    </xf>
    <xf numFmtId="2" fontId="3" fillId="8" borderId="4" xfId="0" applyNumberFormat="1" applyFont="1" applyFill="1" applyBorder="1"/>
    <xf numFmtId="165" fontId="16" fillId="8" borderId="35"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6" xfId="0" applyNumberFormat="1" applyFont="1" applyBorder="1" applyAlignment="1">
      <alignment horizontal="center"/>
    </xf>
    <xf numFmtId="3" fontId="3" fillId="7" borderId="4" xfId="0" applyNumberFormat="1" applyFont="1" applyFill="1" applyBorder="1" applyAlignment="1">
      <alignment horizontal="center" vertical="top" wrapText="1"/>
    </xf>
    <xf numFmtId="1" fontId="3" fillId="0" borderId="7" xfId="0" applyNumberFormat="1" applyFont="1" applyBorder="1" applyAlignment="1">
      <alignment horizontal="center"/>
    </xf>
    <xf numFmtId="1" fontId="3" fillId="0" borderId="35" xfId="0" applyNumberFormat="1" applyFont="1" applyBorder="1" applyAlignment="1">
      <alignment horizontal="center"/>
    </xf>
    <xf numFmtId="1" fontId="3" fillId="7" borderId="35" xfId="0" applyNumberFormat="1" applyFont="1" applyFill="1" applyBorder="1" applyAlignment="1">
      <alignment horizontal="center"/>
    </xf>
    <xf numFmtId="0" fontId="16" fillId="0" borderId="0" xfId="0" applyFont="1" applyAlignment="1">
      <alignment horizontal="left"/>
    </xf>
    <xf numFmtId="0" fontId="16" fillId="0" borderId="7" xfId="0" applyFont="1" applyBorder="1" applyAlignment="1">
      <alignment horizontal="left"/>
    </xf>
    <xf numFmtId="0" fontId="16" fillId="0" borderId="35" xfId="0" applyFont="1" applyBorder="1" applyAlignment="1">
      <alignment horizontal="left"/>
    </xf>
    <xf numFmtId="1" fontId="3" fillId="0" borderId="1" xfId="0" applyNumberFormat="1" applyFont="1" applyBorder="1" applyAlignment="1">
      <alignment horizontal="center" wrapText="1"/>
    </xf>
    <xf numFmtId="165" fontId="3" fillId="0" borderId="8" xfId="0" applyNumberFormat="1" applyFont="1" applyBorder="1" applyAlignment="1">
      <alignment horizontal="center" wrapText="1"/>
    </xf>
    <xf numFmtId="165" fontId="3" fillId="14" borderId="0" xfId="0" applyNumberFormat="1" applyFont="1" applyFill="1" applyAlignment="1">
      <alignment horizontal="center" wrapText="1"/>
    </xf>
    <xf numFmtId="165" fontId="3" fillId="0" borderId="0" xfId="0" applyNumberFormat="1" applyFont="1" applyAlignment="1">
      <alignment vertical="top" wrapText="1"/>
    </xf>
    <xf numFmtId="0" fontId="3" fillId="0" borderId="3" xfId="0" applyFont="1" applyBorder="1" applyAlignment="1">
      <alignment horizontal="left" vertical="top" wrapText="1" indent="2"/>
    </xf>
    <xf numFmtId="0" fontId="3" fillId="0" borderId="6" xfId="0" applyFont="1" applyBorder="1" applyAlignment="1">
      <alignment vertical="top" wrapText="1"/>
    </xf>
    <xf numFmtId="0" fontId="3" fillId="0" borderId="1" xfId="0" applyFont="1" applyBorder="1" applyAlignment="1">
      <alignment horizontal="left" wrapText="1" indent="4"/>
    </xf>
    <xf numFmtId="0" fontId="12" fillId="0" borderId="0" xfId="0" applyFont="1" applyAlignment="1">
      <alignment horizontal="left" wrapText="1"/>
    </xf>
    <xf numFmtId="3" fontId="3" fillId="0" borderId="0" xfId="0" applyNumberFormat="1" applyFont="1" applyAlignment="1">
      <alignment horizontal="center" vertical="top"/>
    </xf>
    <xf numFmtId="3" fontId="3" fillId="0" borderId="5" xfId="0" applyNumberFormat="1" applyFont="1" applyBorder="1" applyAlignment="1">
      <alignment horizontal="center" wrapText="1"/>
    </xf>
    <xf numFmtId="0" fontId="3" fillId="0" borderId="41" xfId="0" applyFont="1" applyBorder="1" applyAlignment="1">
      <alignment wrapText="1"/>
    </xf>
    <xf numFmtId="0" fontId="3" fillId="0" borderId="36" xfId="0" applyFont="1" applyBorder="1"/>
    <xf numFmtId="3" fontId="3" fillId="0" borderId="0" xfId="0" applyNumberFormat="1" applyFont="1" applyAlignment="1">
      <alignment vertical="top" wrapText="1"/>
    </xf>
    <xf numFmtId="3" fontId="3" fillId="0" borderId="2" xfId="0" applyNumberFormat="1" applyFont="1" applyBorder="1" applyAlignment="1">
      <alignment horizontal="center"/>
    </xf>
    <xf numFmtId="3" fontId="3" fillId="0" borderId="3" xfId="0" applyNumberFormat="1" applyFont="1" applyBorder="1" applyAlignment="1">
      <alignment horizontal="center" vertical="top" wrapText="1"/>
    </xf>
    <xf numFmtId="0" fontId="3" fillId="0" borderId="0" xfId="0" applyFont="1" applyAlignment="1">
      <alignment horizontal="left" wrapText="1" indent="2"/>
    </xf>
    <xf numFmtId="3" fontId="3" fillId="0" borderId="4" xfId="0" applyNumberFormat="1" applyFont="1" applyBorder="1" applyAlignment="1">
      <alignment horizontal="center" vertical="top" wrapText="1"/>
    </xf>
    <xf numFmtId="0" fontId="3" fillId="0" borderId="0" xfId="0" applyFont="1" applyAlignment="1">
      <alignment horizontal="left" wrapText="1" indent="4"/>
    </xf>
    <xf numFmtId="0" fontId="3" fillId="0" borderId="6" xfId="0" applyFont="1" applyBorder="1" applyAlignment="1">
      <alignment wrapText="1"/>
    </xf>
    <xf numFmtId="0" fontId="3" fillId="0" borderId="3" xfId="0" applyFont="1" applyBorder="1" applyAlignment="1">
      <alignment horizontal="left" wrapText="1" indent="4"/>
    </xf>
    <xf numFmtId="3" fontId="17" fillId="0" borderId="0" xfId="0" applyNumberFormat="1" applyFont="1" applyAlignment="1">
      <alignment horizontal="center" wrapText="1"/>
    </xf>
    <xf numFmtId="3" fontId="3" fillId="0" borderId="4"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3" xfId="0" applyNumberFormat="1" applyFont="1" applyBorder="1" applyAlignment="1">
      <alignment horizontal="center" wrapText="1"/>
    </xf>
    <xf numFmtId="0" fontId="18" fillId="0" borderId="0" xfId="0" applyFont="1"/>
    <xf numFmtId="165" fontId="3" fillId="8" borderId="4" xfId="0" applyNumberFormat="1" applyFont="1" applyFill="1" applyBorder="1" applyAlignment="1">
      <alignment horizontal="center" wrapText="1"/>
    </xf>
    <xf numFmtId="0" fontId="12"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2" fillId="0" borderId="1" xfId="0" applyFont="1" applyBorder="1" applyAlignment="1">
      <alignment horizontal="left" vertical="top" wrapText="1"/>
    </xf>
    <xf numFmtId="3" fontId="12" fillId="0" borderId="15"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2" fillId="0" borderId="0" xfId="0" applyFont="1" applyAlignment="1">
      <alignment horizontal="center" vertical="center" wrapText="1"/>
    </xf>
    <xf numFmtId="165" fontId="3" fillId="0" borderId="5" xfId="0" applyNumberFormat="1" applyFont="1" applyBorder="1" applyAlignment="1">
      <alignment horizontal="center" wrapText="1"/>
    </xf>
    <xf numFmtId="3" fontId="3" fillId="0" borderId="5" xfId="0" applyNumberFormat="1" applyFont="1" applyBorder="1" applyAlignment="1">
      <alignment horizontal="center"/>
    </xf>
    <xf numFmtId="165" fontId="3" fillId="8" borderId="8" xfId="0" applyNumberFormat="1" applyFont="1" applyFill="1" applyBorder="1" applyAlignment="1">
      <alignment horizontal="center" wrapText="1"/>
    </xf>
    <xf numFmtId="0" fontId="12" fillId="0" borderId="1" xfId="0" applyFont="1" applyBorder="1" applyAlignment="1">
      <alignment horizontal="left" vertical="top" wrapText="1" indent="2"/>
    </xf>
    <xf numFmtId="165" fontId="3" fillId="13" borderId="4"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8" xfId="0" applyFont="1" applyBorder="1" applyAlignment="1">
      <alignment horizontal="center" wrapText="1"/>
    </xf>
    <xf numFmtId="0" fontId="3" fillId="0" borderId="14" xfId="0" applyFont="1" applyBorder="1" applyAlignment="1">
      <alignment horizontal="center"/>
    </xf>
    <xf numFmtId="0" fontId="12" fillId="0" borderId="41" xfId="0" applyFont="1" applyBorder="1" applyAlignment="1">
      <alignment horizontal="center" wrapText="1"/>
    </xf>
    <xf numFmtId="0" fontId="12" fillId="0" borderId="41" xfId="0" applyFont="1" applyBorder="1" applyAlignment="1">
      <alignment wrapText="1"/>
    </xf>
    <xf numFmtId="3" fontId="12" fillId="0" borderId="36"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2" fillId="0" borderId="1" xfId="0" applyFont="1" applyBorder="1" applyAlignment="1">
      <alignment horizontal="left" wrapText="1"/>
    </xf>
    <xf numFmtId="3" fontId="3" fillId="0" borderId="1" xfId="0" applyNumberFormat="1" applyFont="1" applyBorder="1" applyAlignment="1">
      <alignment horizontal="center" wrapText="1"/>
    </xf>
    <xf numFmtId="0" fontId="16"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5" xfId="0" applyFont="1" applyBorder="1"/>
    <xf numFmtId="0" fontId="3" fillId="8" borderId="6" xfId="0" applyFont="1" applyFill="1" applyBorder="1" applyAlignment="1">
      <alignment horizontal="center"/>
    </xf>
    <xf numFmtId="165" fontId="3" fillId="0" borderId="35"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7" borderId="8" xfId="0" applyFont="1" applyFill="1" applyBorder="1"/>
    <xf numFmtId="0" fontId="3" fillId="0" borderId="41" xfId="0" applyFont="1" applyBorder="1"/>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7" fillId="0" borderId="0" xfId="0" applyFont="1" applyAlignment="1">
      <alignment horizontal="left" vertical="center" wrapText="1"/>
    </xf>
    <xf numFmtId="0" fontId="1" fillId="0" borderId="4" xfId="0" applyFont="1" applyBorder="1" applyAlignment="1">
      <alignment horizontal="left"/>
    </xf>
    <xf numFmtId="0" fontId="7" fillId="0" borderId="4" xfId="0" applyFont="1" applyBorder="1" applyAlignment="1">
      <alignment horizontal="left" vertical="center" wrapText="1"/>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1" fillId="0" borderId="8" xfId="0" applyFont="1" applyBorder="1"/>
    <xf numFmtId="0" fontId="3" fillId="7" borderId="7" xfId="0" applyFont="1" applyFill="1" applyBorder="1"/>
    <xf numFmtId="165" fontId="3" fillId="8" borderId="4" xfId="0" applyNumberFormat="1" applyFont="1" applyFill="1" applyBorder="1" applyAlignment="1">
      <alignment horizontal="center"/>
    </xf>
    <xf numFmtId="168" fontId="3" fillId="16" borderId="0" xfId="0" applyNumberFormat="1" applyFont="1" applyFill="1"/>
    <xf numFmtId="1" fontId="3" fillId="0" borderId="0" xfId="0" applyNumberFormat="1" applyFont="1"/>
    <xf numFmtId="1" fontId="3" fillId="16" borderId="0" xfId="0" applyNumberFormat="1" applyFont="1" applyFill="1"/>
    <xf numFmtId="0" fontId="3" fillId="7" borderId="3" xfId="0" applyFont="1" applyFill="1" applyBorder="1" applyAlignment="1">
      <alignment horizontal="center" vertical="center"/>
    </xf>
    <xf numFmtId="0" fontId="3" fillId="7" borderId="4" xfId="0" applyFont="1" applyFill="1" applyBorder="1" applyAlignment="1">
      <alignment horizontal="center" vertical="center"/>
    </xf>
    <xf numFmtId="0" fontId="3" fillId="7" borderId="5" xfId="0" applyFont="1" applyFill="1" applyBorder="1" applyAlignment="1">
      <alignment horizontal="center" vertical="center"/>
    </xf>
    <xf numFmtId="165" fontId="3" fillId="7" borderId="0" xfId="0" applyNumberFormat="1" applyFont="1" applyFill="1" applyAlignment="1">
      <alignment horizontal="center"/>
    </xf>
    <xf numFmtId="17" fontId="12" fillId="3" borderId="37" xfId="0" applyNumberFormat="1" applyFont="1" applyFill="1" applyBorder="1" applyAlignment="1">
      <alignment horizontal="left" wrapText="1"/>
    </xf>
    <xf numFmtId="0" fontId="12" fillId="3" borderId="7" xfId="0" applyFont="1" applyFill="1" applyBorder="1" applyAlignment="1">
      <alignment horizontal="left" wrapText="1"/>
    </xf>
    <xf numFmtId="17" fontId="12" fillId="3" borderId="8" xfId="0" applyNumberFormat="1" applyFont="1" applyFill="1" applyBorder="1" applyAlignment="1">
      <alignment horizontal="left" vertical="top" wrapText="1"/>
    </xf>
    <xf numFmtId="3" fontId="3" fillId="0" borderId="4" xfId="0" applyNumberFormat="1" applyFont="1" applyBorder="1" applyAlignment="1">
      <alignment horizontal="center" vertical="center"/>
    </xf>
    <xf numFmtId="3" fontId="3" fillId="0" borderId="0" xfId="0" applyNumberFormat="1" applyFont="1" applyAlignment="1">
      <alignment horizontal="center" vertical="center"/>
    </xf>
    <xf numFmtId="168" fontId="3" fillId="0" borderId="0" xfId="0" applyNumberFormat="1" applyFont="1" applyAlignment="1">
      <alignment horizontal="center" vertical="center"/>
    </xf>
    <xf numFmtId="3" fontId="3" fillId="8" borderId="0" xfId="0" applyNumberFormat="1" applyFont="1" applyFill="1" applyAlignment="1">
      <alignment horizontal="center" vertical="center"/>
    </xf>
    <xf numFmtId="1" fontId="16" fillId="8" borderId="0" xfId="0" applyNumberFormat="1" applyFont="1" applyFill="1" applyAlignment="1">
      <alignment horizontal="center" vertical="center"/>
    </xf>
    <xf numFmtId="165" fontId="3" fillId="12" borderId="0" xfId="0" applyNumberFormat="1" applyFont="1" applyFill="1" applyAlignment="1">
      <alignment horizontal="center"/>
    </xf>
    <xf numFmtId="3" fontId="16" fillId="8" borderId="0" xfId="0" applyNumberFormat="1" applyFont="1" applyFill="1" applyAlignment="1">
      <alignment horizontal="center"/>
    </xf>
    <xf numFmtId="3" fontId="3" fillId="0" borderId="35" xfId="0" applyNumberFormat="1" applyFont="1" applyBorder="1" applyAlignment="1">
      <alignment horizontal="center"/>
    </xf>
    <xf numFmtId="165" fontId="3" fillId="0" borderId="8" xfId="0" applyNumberFormat="1" applyFont="1" applyBorder="1" applyAlignment="1">
      <alignment horizontal="center"/>
    </xf>
    <xf numFmtId="165" fontId="3" fillId="0" borderId="4" xfId="0" applyNumberFormat="1" applyFont="1" applyBorder="1" applyAlignment="1">
      <alignment horizontal="center"/>
    </xf>
    <xf numFmtId="0" fontId="3" fillId="0" borderId="0" xfId="0" applyFont="1" applyAlignment="1">
      <alignment horizontal="center" vertical="center" wrapText="1"/>
    </xf>
    <xf numFmtId="165" fontId="3" fillId="0" borderId="0" xfId="0" applyNumberFormat="1" applyFont="1" applyAlignment="1">
      <alignment horizontal="center" vertical="center"/>
    </xf>
    <xf numFmtId="168" fontId="3" fillId="7" borderId="0" xfId="0" applyNumberFormat="1" applyFont="1" applyFill="1" applyAlignment="1">
      <alignment horizontal="center" vertical="center"/>
    </xf>
    <xf numFmtId="0" fontId="19" fillId="0" borderId="7" xfId="0" applyFont="1" applyBorder="1" applyAlignment="1">
      <alignment horizontal="center" vertical="center" wrapText="1"/>
    </xf>
    <xf numFmtId="0" fontId="3" fillId="0" borderId="35" xfId="0" applyFont="1" applyBorder="1" applyAlignment="1">
      <alignment horizontal="center" vertical="center"/>
    </xf>
    <xf numFmtId="3" fontId="3" fillId="0" borderId="35" xfId="0" applyNumberFormat="1" applyFont="1" applyBorder="1" applyAlignment="1">
      <alignment horizontal="center" vertical="center"/>
    </xf>
    <xf numFmtId="3" fontId="3" fillId="7" borderId="35" xfId="0" applyNumberFormat="1" applyFont="1" applyFill="1" applyBorder="1" applyAlignment="1">
      <alignment horizontal="center"/>
    </xf>
    <xf numFmtId="0" fontId="19" fillId="0" borderId="1" xfId="0" applyFont="1" applyBorder="1" applyAlignment="1">
      <alignment horizontal="center" vertical="center" wrapText="1"/>
    </xf>
    <xf numFmtId="0" fontId="3" fillId="7" borderId="6" xfId="0" applyFont="1" applyFill="1" applyBorder="1" applyAlignment="1">
      <alignment horizontal="center" vertical="center"/>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3" fontId="3" fillId="8" borderId="4"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35" xfId="0" applyFont="1" applyBorder="1" applyAlignment="1">
      <alignment horizontal="left"/>
    </xf>
    <xf numFmtId="165" fontId="3" fillId="2" borderId="35" xfId="0" applyNumberFormat="1" applyFont="1" applyFill="1" applyBorder="1" applyAlignment="1">
      <alignment horizontal="center"/>
    </xf>
    <xf numFmtId="168" fontId="12" fillId="0" borderId="0" xfId="0" applyNumberFormat="1" applyFont="1"/>
    <xf numFmtId="170" fontId="3" fillId="0" borderId="0" xfId="0" applyNumberFormat="1" applyFont="1" applyAlignment="1">
      <alignment horizontal="center"/>
    </xf>
    <xf numFmtId="3" fontId="3" fillId="0" borderId="4" xfId="0" applyNumberFormat="1" applyFont="1" applyBorder="1" applyAlignment="1">
      <alignment horizontal="center"/>
    </xf>
    <xf numFmtId="165" fontId="3" fillId="0" borderId="0" xfId="0" applyNumberFormat="1" applyFont="1"/>
    <xf numFmtId="0" fontId="3" fillId="0" borderId="7" xfId="0" applyFont="1" applyBorder="1" applyAlignment="1">
      <alignment wrapText="1"/>
    </xf>
    <xf numFmtId="0" fontId="3" fillId="0" borderId="3" xfId="0" applyFont="1" applyBorder="1" applyAlignment="1">
      <alignment vertical="top" wrapText="1"/>
    </xf>
    <xf numFmtId="0" fontId="16" fillId="0" borderId="1" xfId="0" applyFont="1" applyBorder="1" applyAlignment="1">
      <alignment horizontal="left" vertical="top" wrapText="1"/>
    </xf>
    <xf numFmtId="0" fontId="19" fillId="0" borderId="1" xfId="0" applyFont="1" applyBorder="1" applyAlignment="1">
      <alignment wrapText="1"/>
    </xf>
    <xf numFmtId="0" fontId="16" fillId="0" borderId="0" xfId="0" applyFont="1" applyAlignment="1">
      <alignment horizontal="center" wrapText="1"/>
    </xf>
    <xf numFmtId="0" fontId="3" fillId="0" borderId="4" xfId="0" applyFont="1" applyBorder="1" applyAlignment="1">
      <alignment horizontal="center" wrapText="1"/>
    </xf>
    <xf numFmtId="168" fontId="3" fillId="0" borderId="0" xfId="0" applyNumberFormat="1" applyFont="1" applyAlignment="1">
      <alignment horizontal="center"/>
    </xf>
    <xf numFmtId="0" fontId="12" fillId="0" borderId="7" xfId="0" applyFont="1" applyBorder="1" applyAlignment="1">
      <alignment horizontal="center" vertical="top" wrapText="1"/>
    </xf>
    <xf numFmtId="0" fontId="12" fillId="0" borderId="0" xfId="0" applyFont="1" applyAlignment="1">
      <alignment horizontal="center" wrapText="1"/>
    </xf>
    <xf numFmtId="3" fontId="3" fillId="0" borderId="8" xfId="0" applyNumberFormat="1" applyFont="1" applyBorder="1" applyAlignment="1">
      <alignment horizontal="center" wrapText="1"/>
    </xf>
    <xf numFmtId="168" fontId="12" fillId="0" borderId="0" xfId="0" applyNumberFormat="1" applyFont="1" applyAlignment="1">
      <alignment horizontal="center" wrapText="1"/>
    </xf>
    <xf numFmtId="168" fontId="12" fillId="0" borderId="4" xfId="0" applyNumberFormat="1" applyFont="1" applyBorder="1" applyAlignment="1">
      <alignment horizontal="center" wrapText="1"/>
    </xf>
    <xf numFmtId="0" fontId="4" fillId="0" borderId="0" xfId="0" applyFont="1"/>
    <xf numFmtId="0" fontId="1" fillId="0" borderId="35" xfId="0" applyFont="1" applyBorder="1"/>
    <xf numFmtId="3" fontId="12" fillId="0" borderId="0" xfId="0" applyNumberFormat="1" applyFont="1" applyAlignment="1">
      <alignment horizontal="center" wrapText="1"/>
    </xf>
    <xf numFmtId="3" fontId="12" fillId="0" borderId="4" xfId="0" applyNumberFormat="1" applyFont="1" applyBorder="1" applyAlignment="1">
      <alignment horizontal="center" wrapText="1"/>
    </xf>
    <xf numFmtId="0" fontId="1" fillId="15" borderId="0" xfId="0" applyFont="1" applyFill="1"/>
    <xf numFmtId="0" fontId="1" fillId="8" borderId="35" xfId="0" applyFont="1" applyFill="1" applyBorder="1"/>
    <xf numFmtId="3" fontId="16" fillId="8" borderId="0" xfId="0" applyNumberFormat="1" applyFont="1" applyFill="1" applyAlignment="1">
      <alignment horizontal="center" wrapText="1"/>
    </xf>
    <xf numFmtId="3" fontId="3" fillId="0" borderId="35" xfId="0" applyNumberFormat="1" applyFont="1" applyBorder="1" applyAlignment="1">
      <alignment horizontal="center" wrapText="1"/>
    </xf>
    <xf numFmtId="3" fontId="16" fillId="0" borderId="0" xfId="0" applyNumberFormat="1" applyFont="1" applyAlignment="1">
      <alignment horizontal="center" wrapText="1"/>
    </xf>
    <xf numFmtId="1" fontId="16" fillId="0" borderId="4" xfId="0" applyNumberFormat="1" applyFont="1" applyBorder="1" applyAlignment="1">
      <alignment horizontal="center"/>
    </xf>
    <xf numFmtId="3" fontId="3" fillId="8" borderId="35" xfId="0" applyNumberFormat="1" applyFont="1" applyFill="1" applyBorder="1" applyAlignment="1">
      <alignment horizontal="center" wrapText="1"/>
    </xf>
    <xf numFmtId="1" fontId="3" fillId="8" borderId="0" xfId="0" applyNumberFormat="1" applyFont="1" applyFill="1" applyAlignment="1">
      <alignment horizontal="center" wrapText="1"/>
    </xf>
    <xf numFmtId="3" fontId="12" fillId="8" borderId="0" xfId="0" applyNumberFormat="1" applyFont="1" applyFill="1" applyAlignment="1">
      <alignment horizontal="center" wrapText="1"/>
    </xf>
    <xf numFmtId="1" fontId="1" fillId="8" borderId="0" xfId="0" applyNumberFormat="1" applyFont="1" applyFill="1"/>
    <xf numFmtId="0" fontId="12" fillId="0" borderId="0" xfId="0" applyFont="1"/>
    <xf numFmtId="1" fontId="12" fillId="0" borderId="0" xfId="0" applyNumberFormat="1" applyFont="1"/>
    <xf numFmtId="3" fontId="12" fillId="0" borderId="0" xfId="0" applyNumberFormat="1" applyFont="1"/>
    <xf numFmtId="168" fontId="1" fillId="0" borderId="0" xfId="0" applyNumberFormat="1" applyFont="1"/>
    <xf numFmtId="1" fontId="1" fillId="12" borderId="0" xfId="0" applyNumberFormat="1" applyFont="1" applyFill="1"/>
    <xf numFmtId="3" fontId="16" fillId="12" borderId="0" xfId="0" applyNumberFormat="1" applyFont="1" applyFill="1" applyAlignment="1">
      <alignment horizontal="center"/>
    </xf>
    <xf numFmtId="0" fontId="20" fillId="0" borderId="1" xfId="0" applyFont="1" applyBorder="1" applyAlignment="1">
      <alignment horizontal="left" indent="2"/>
    </xf>
    <xf numFmtId="3" fontId="12" fillId="8" borderId="4" xfId="0" applyNumberFormat="1" applyFont="1" applyFill="1" applyBorder="1" applyAlignment="1">
      <alignment horizontal="center" wrapText="1"/>
    </xf>
    <xf numFmtId="0" fontId="12" fillId="0" borderId="1" xfId="0" applyFont="1" applyBorder="1" applyAlignment="1">
      <alignment horizontal="center" wrapText="1"/>
    </xf>
    <xf numFmtId="0" fontId="12" fillId="0" borderId="1" xfId="0" applyFont="1" applyBorder="1" applyAlignment="1">
      <alignment horizontal="center" vertical="top" wrapText="1"/>
    </xf>
    <xf numFmtId="0" fontId="3" fillId="0" borderId="3" xfId="0" applyFont="1" applyBorder="1" applyAlignment="1">
      <alignment wrapText="1"/>
    </xf>
    <xf numFmtId="0" fontId="3" fillId="0" borderId="4" xfId="0" applyFont="1" applyBorder="1" applyAlignment="1">
      <alignment wrapText="1"/>
    </xf>
    <xf numFmtId="171" fontId="3" fillId="0" borderId="0" xfId="0" applyNumberFormat="1" applyFont="1" applyAlignment="1">
      <alignment horizontal="center" wrapText="1"/>
    </xf>
    <xf numFmtId="0" fontId="16" fillId="0" borderId="0" xfId="0" applyFont="1" applyAlignment="1">
      <alignment wrapText="1"/>
    </xf>
    <xf numFmtId="171" fontId="16" fillId="0" borderId="0" xfId="0" applyNumberFormat="1" applyFont="1" applyAlignment="1">
      <alignment wrapText="1"/>
    </xf>
    <xf numFmtId="0" fontId="12" fillId="0" borderId="35" xfId="0" applyFont="1" applyBorder="1" applyAlignment="1">
      <alignment horizontal="center" vertical="top" wrapText="1"/>
    </xf>
    <xf numFmtId="171" fontId="3" fillId="0" borderId="4" xfId="0" applyNumberFormat="1" applyFont="1" applyBorder="1" applyAlignment="1">
      <alignment horizontal="center" wrapText="1"/>
    </xf>
    <xf numFmtId="1" fontId="12" fillId="0" borderId="0" xfId="0" applyNumberFormat="1" applyFont="1" applyAlignment="1">
      <alignment horizontal="center" wrapText="1"/>
    </xf>
    <xf numFmtId="0" fontId="21" fillId="0" borderId="0" xfId="0" applyFont="1"/>
    <xf numFmtId="1" fontId="3" fillId="0" borderId="35" xfId="0" applyNumberFormat="1" applyFont="1" applyBorder="1" applyAlignment="1">
      <alignment horizontal="center" wrapText="1"/>
    </xf>
    <xf numFmtId="1" fontId="3" fillId="7" borderId="35" xfId="0" applyNumberFormat="1" applyFont="1" applyFill="1" applyBorder="1" applyAlignment="1">
      <alignment horizontal="center" wrapText="1"/>
    </xf>
    <xf numFmtId="0" fontId="16" fillId="0" borderId="3" xfId="0" applyFont="1" applyBorder="1"/>
    <xf numFmtId="0" fontId="16" fillId="0" borderId="4" xfId="0" applyFont="1" applyBorder="1"/>
    <xf numFmtId="1" fontId="16" fillId="0" borderId="0" xfId="0" applyNumberFormat="1" applyFont="1" applyAlignment="1">
      <alignment horizontal="center"/>
    </xf>
    <xf numFmtId="1" fontId="16" fillId="8" borderId="4" xfId="0" applyNumberFormat="1" applyFont="1" applyFill="1" applyBorder="1" applyAlignment="1">
      <alignment horizontal="center"/>
    </xf>
    <xf numFmtId="0" fontId="20" fillId="0" borderId="1" xfId="0" applyFont="1" applyBorder="1" applyAlignment="1">
      <alignment horizontal="left" indent="5"/>
    </xf>
    <xf numFmtId="0" fontId="3" fillId="0" borderId="1" xfId="0" applyFont="1" applyBorder="1" applyAlignment="1">
      <alignment horizontal="left" vertical="top" wrapText="1" indent="5"/>
    </xf>
    <xf numFmtId="168" fontId="3" fillId="7" borderId="0" xfId="0" applyNumberFormat="1" applyFont="1" applyFill="1" applyAlignment="1">
      <alignment horizontal="center" wrapText="1"/>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6" xfId="0" applyFont="1" applyBorder="1" applyAlignment="1">
      <alignment horizontal="left" wrapText="1" indent="3"/>
    </xf>
    <xf numFmtId="0" fontId="3" fillId="0" borderId="4" xfId="0" applyFont="1" applyBorder="1" applyAlignment="1">
      <alignment horizontal="center"/>
    </xf>
    <xf numFmtId="0" fontId="3" fillId="0" borderId="8" xfId="0" applyFont="1" applyBorder="1"/>
    <xf numFmtId="3" fontId="3" fillId="0" borderId="6" xfId="0" applyNumberFormat="1" applyFont="1" applyBorder="1" applyAlignment="1">
      <alignment horizontal="right"/>
    </xf>
    <xf numFmtId="0" fontId="3" fillId="0" borderId="6" xfId="0" applyFont="1" applyBorder="1" applyAlignment="1">
      <alignment horizontal="center"/>
    </xf>
    <xf numFmtId="169" fontId="3" fillId="0" borderId="5" xfId="0" applyNumberFormat="1" applyFont="1" applyBorder="1" applyAlignment="1">
      <alignment horizontal="center"/>
    </xf>
    <xf numFmtId="0" fontId="3" fillId="0" borderId="3" xfId="0" applyFont="1" applyBorder="1"/>
    <xf numFmtId="0" fontId="3" fillId="0" borderId="1" xfId="0" applyFont="1" applyBorder="1"/>
    <xf numFmtId="168" fontId="16" fillId="0" borderId="0" xfId="0" applyNumberFormat="1" applyFont="1" applyAlignment="1">
      <alignment horizontal="center"/>
    </xf>
    <xf numFmtId="168" fontId="16" fillId="14" borderId="35" xfId="0" applyNumberFormat="1" applyFont="1" applyFill="1" applyBorder="1" applyAlignment="1">
      <alignment horizontal="center"/>
    </xf>
    <xf numFmtId="168" fontId="3" fillId="0" borderId="4" xfId="0" applyNumberFormat="1" applyFont="1" applyBorder="1" applyAlignment="1">
      <alignment horizontal="center"/>
    </xf>
    <xf numFmtId="168" fontId="16" fillId="8" borderId="0" xfId="0" applyNumberFormat="1" applyFont="1" applyFill="1" applyAlignment="1">
      <alignment horizontal="center"/>
    </xf>
    <xf numFmtId="168" fontId="3" fillId="7" borderId="0" xfId="0" applyNumberFormat="1" applyFont="1" applyFill="1" applyAlignment="1">
      <alignment horizontal="center"/>
    </xf>
    <xf numFmtId="169" fontId="3" fillId="0" borderId="0" xfId="0" applyNumberFormat="1" applyFont="1" applyAlignment="1">
      <alignment horizontal="center"/>
    </xf>
    <xf numFmtId="168" fontId="3" fillId="7" borderId="8" xfId="0" applyNumberFormat="1" applyFont="1" applyFill="1" applyBorder="1" applyAlignment="1">
      <alignment horizontal="center"/>
    </xf>
    <xf numFmtId="168" fontId="16" fillId="7" borderId="8" xfId="0" applyNumberFormat="1" applyFont="1" applyFill="1" applyBorder="1" applyAlignment="1">
      <alignment horizontal="center"/>
    </xf>
    <xf numFmtId="0" fontId="3" fillId="0" borderId="7" xfId="0" applyFont="1" applyBorder="1"/>
    <xf numFmtId="0" fontId="3" fillId="9" borderId="35" xfId="0" applyFont="1" applyFill="1" applyBorder="1" applyAlignment="1">
      <alignment horizontal="center"/>
    </xf>
    <xf numFmtId="0" fontId="3" fillId="9" borderId="2" xfId="0" applyFont="1" applyFill="1" applyBorder="1" applyAlignment="1">
      <alignment horizontal="center"/>
    </xf>
    <xf numFmtId="0" fontId="12" fillId="9" borderId="7" xfId="0" applyFont="1" applyFill="1" applyBorder="1"/>
    <xf numFmtId="0" fontId="1" fillId="14" borderId="0" xfId="0" applyFont="1" applyFill="1"/>
    <xf numFmtId="0" fontId="3" fillId="0" borderId="5" xfId="0" applyFont="1" applyBorder="1" applyAlignment="1">
      <alignment horizontal="center"/>
    </xf>
    <xf numFmtId="168" fontId="3" fillId="0" borderId="7" xfId="0" applyNumberFormat="1" applyFont="1" applyBorder="1" applyAlignment="1">
      <alignment horizontal="center"/>
    </xf>
    <xf numFmtId="168" fontId="3" fillId="0" borderId="35" xfId="0" applyNumberFormat="1" applyFont="1" applyBorder="1" applyAlignment="1">
      <alignment horizontal="center"/>
    </xf>
    <xf numFmtId="168" fontId="3" fillId="7" borderId="35" xfId="0" applyNumberFormat="1" applyFont="1" applyFill="1" applyBorder="1" applyAlignment="1">
      <alignment horizontal="center"/>
    </xf>
    <xf numFmtId="169" fontId="3" fillId="7" borderId="4" xfId="0" applyNumberFormat="1" applyFont="1" applyFill="1" applyBorder="1" applyAlignment="1">
      <alignment horizontal="center"/>
    </xf>
    <xf numFmtId="168" fontId="16" fillId="0" borderId="7" xfId="0" applyNumberFormat="1" applyFont="1" applyBorder="1" applyAlignment="1">
      <alignment horizontal="center"/>
    </xf>
    <xf numFmtId="168" fontId="16" fillId="0" borderId="35" xfId="0" applyNumberFormat="1" applyFont="1" applyBorder="1" applyAlignment="1">
      <alignment horizontal="center"/>
    </xf>
    <xf numFmtId="168" fontId="16" fillId="7" borderId="35" xfId="0" applyNumberFormat="1" applyFont="1" applyFill="1" applyBorder="1" applyAlignment="1">
      <alignment horizontal="center"/>
    </xf>
    <xf numFmtId="169" fontId="3" fillId="0" borderId="4" xfId="0" applyNumberFormat="1" applyFont="1" applyBorder="1" applyAlignment="1">
      <alignment horizontal="center"/>
    </xf>
    <xf numFmtId="0" fontId="16" fillId="0" borderId="1" xfId="0" applyFont="1" applyBorder="1"/>
    <xf numFmtId="172" fontId="3" fillId="0" borderId="0" xfId="0" applyNumberFormat="1" applyFont="1"/>
    <xf numFmtId="0" fontId="12" fillId="3" borderId="41" xfId="0" applyFont="1" applyFill="1" applyBorder="1"/>
    <xf numFmtId="0" fontId="12" fillId="3" borderId="36" xfId="0" applyFont="1" applyFill="1" applyBorder="1"/>
    <xf numFmtId="0" fontId="12" fillId="3" borderId="15" xfId="0" applyFont="1" applyFill="1" applyBorder="1"/>
    <xf numFmtId="0" fontId="12" fillId="3" borderId="36" xfId="0" applyFont="1" applyFill="1" applyBorder="1" applyAlignment="1">
      <alignment horizontal="center"/>
    </xf>
    <xf numFmtId="0" fontId="12" fillId="3" borderId="15" xfId="0" applyFont="1" applyFill="1" applyBorder="1" applyAlignment="1">
      <alignment horizontal="center"/>
    </xf>
    <xf numFmtId="168" fontId="3" fillId="8" borderId="4" xfId="0" applyNumberFormat="1" applyFont="1" applyFill="1" applyBorder="1" applyAlignment="1">
      <alignment horizontal="center"/>
    </xf>
    <xf numFmtId="168" fontId="16" fillId="8" borderId="8" xfId="0" applyNumberFormat="1" applyFont="1" applyFill="1" applyBorder="1" applyAlignment="1">
      <alignment horizontal="center"/>
    </xf>
    <xf numFmtId="0" fontId="16" fillId="0" borderId="7" xfId="0" applyFont="1" applyBorder="1"/>
    <xf numFmtId="0" fontId="16" fillId="0" borderId="8" xfId="0" applyFont="1" applyBorder="1"/>
    <xf numFmtId="168" fontId="16"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3" xfId="0" applyNumberFormat="1" applyFont="1" applyBorder="1" applyAlignment="1">
      <alignment horizontal="center"/>
    </xf>
    <xf numFmtId="0" fontId="23" fillId="0" borderId="1" xfId="0" applyFont="1" applyBorder="1" applyAlignment="1">
      <alignment horizontal="left" wrapText="1"/>
    </xf>
    <xf numFmtId="169" fontId="3" fillId="0" borderId="3" xfId="0" applyNumberFormat="1" applyFont="1" applyBorder="1" applyAlignment="1">
      <alignment horizontal="center"/>
    </xf>
    <xf numFmtId="0" fontId="12" fillId="0" borderId="0" xfId="0" applyFont="1" applyAlignment="1">
      <alignment vertical="top" wrapText="1"/>
    </xf>
    <xf numFmtId="169" fontId="3" fillId="8" borderId="4" xfId="0" applyNumberFormat="1" applyFont="1" applyFill="1" applyBorder="1" applyAlignment="1">
      <alignment horizontal="center"/>
    </xf>
    <xf numFmtId="0" fontId="3" fillId="11" borderId="36" xfId="0" applyFont="1" applyFill="1" applyBorder="1"/>
    <xf numFmtId="0" fontId="3" fillId="11" borderId="15" xfId="0" applyFont="1" applyFill="1" applyBorder="1"/>
    <xf numFmtId="0" fontId="1" fillId="7" borderId="37" xfId="0" applyFont="1" applyFill="1" applyBorder="1"/>
    <xf numFmtId="2" fontId="3" fillId="0" borderId="8" xfId="0" applyNumberFormat="1" applyFont="1" applyBorder="1" applyAlignment="1">
      <alignment horizontal="center"/>
    </xf>
    <xf numFmtId="2" fontId="3" fillId="0" borderId="6" xfId="0" applyNumberFormat="1" applyFont="1" applyBorder="1" applyAlignment="1">
      <alignment horizontal="center"/>
    </xf>
    <xf numFmtId="168" fontId="16" fillId="7" borderId="0" xfId="0" applyNumberFormat="1" applyFont="1" applyFill="1" applyAlignment="1">
      <alignment horizontal="center"/>
    </xf>
    <xf numFmtId="0" fontId="16" fillId="0" borderId="1" xfId="0" applyFont="1" applyBorder="1" applyAlignment="1">
      <alignment horizontal="left"/>
    </xf>
    <xf numFmtId="169" fontId="3" fillId="0" borderId="0" xfId="0" applyNumberFormat="1" applyFont="1"/>
    <xf numFmtId="168" fontId="3" fillId="17" borderId="0" xfId="0" applyNumberFormat="1" applyFont="1" applyFill="1" applyAlignment="1">
      <alignment horizontal="center" wrapText="1"/>
    </xf>
    <xf numFmtId="169" fontId="3" fillId="14" borderId="4" xfId="0" applyNumberFormat="1" applyFont="1" applyFill="1" applyBorder="1" applyAlignment="1">
      <alignment horizontal="center"/>
    </xf>
    <xf numFmtId="2" fontId="3" fillId="0" borderId="0" xfId="0" applyNumberFormat="1" applyFont="1" applyAlignment="1">
      <alignment horizontal="right"/>
    </xf>
    <xf numFmtId="0" fontId="12" fillId="0" borderId="14" xfId="0" applyFont="1" applyBorder="1"/>
    <xf numFmtId="0" fontId="12" fillId="0" borderId="13" xfId="0" applyFont="1" applyBorder="1"/>
    <xf numFmtId="0" fontId="3" fillId="0" borderId="13" xfId="0" applyFont="1" applyBorder="1" applyAlignment="1">
      <alignment horizontal="right"/>
    </xf>
    <xf numFmtId="0" fontId="3" fillId="0" borderId="12" xfId="0" applyFont="1" applyBorder="1"/>
    <xf numFmtId="168" fontId="3" fillId="18" borderId="0" xfId="0" applyNumberFormat="1" applyFont="1" applyFill="1" applyAlignment="1">
      <alignment horizontal="center"/>
    </xf>
    <xf numFmtId="168" fontId="3" fillId="18" borderId="0" xfId="0" applyNumberFormat="1" applyFont="1" applyFill="1" applyAlignment="1">
      <alignment horizontal="center" wrapText="1"/>
    </xf>
    <xf numFmtId="169" fontId="3" fillId="10" borderId="4" xfId="0" applyNumberFormat="1" applyFont="1" applyFill="1" applyBorder="1" applyAlignment="1">
      <alignment horizontal="center"/>
    </xf>
    <xf numFmtId="0" fontId="1" fillId="18" borderId="0" xfId="0" applyFont="1" applyFill="1"/>
    <xf numFmtId="0" fontId="3" fillId="0" borderId="0" xfId="0" applyFont="1" applyAlignment="1">
      <alignment horizontal="left" indent="4"/>
    </xf>
    <xf numFmtId="169" fontId="3" fillId="0" borderId="4" xfId="0" applyNumberFormat="1" applyFont="1" applyBorder="1"/>
    <xf numFmtId="0" fontId="3" fillId="0" borderId="3" xfId="0" applyFont="1" applyBorder="1" applyAlignment="1">
      <alignment horizontal="left" indent="4"/>
    </xf>
    <xf numFmtId="3" fontId="25" fillId="0" borderId="0" xfId="0" applyNumberFormat="1" applyFont="1"/>
    <xf numFmtId="173" fontId="3" fillId="0" borderId="0" xfId="0" applyNumberFormat="1" applyFont="1"/>
    <xf numFmtId="0" fontId="3" fillId="11" borderId="7" xfId="0" applyFont="1" applyFill="1" applyBorder="1"/>
    <xf numFmtId="0" fontId="3" fillId="11" borderId="8" xfId="0" applyFont="1" applyFill="1" applyBorder="1"/>
    <xf numFmtId="0" fontId="3" fillId="18" borderId="1" xfId="0" applyFont="1" applyFill="1" applyBorder="1" applyAlignment="1">
      <alignment horizontal="left" vertical="top" wrapText="1" indent="3"/>
    </xf>
    <xf numFmtId="168" fontId="3" fillId="18"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34" xfId="0" applyNumberFormat="1" applyFont="1" applyBorder="1" applyAlignment="1">
      <alignment horizontal="center"/>
    </xf>
    <xf numFmtId="0" fontId="12" fillId="8" borderId="0" xfId="0" applyFont="1" applyFill="1" applyAlignment="1">
      <alignment horizontal="center"/>
    </xf>
    <xf numFmtId="0" fontId="3" fillId="8" borderId="8" xfId="0" applyFont="1" applyFill="1" applyBorder="1"/>
    <xf numFmtId="0" fontId="1" fillId="0" borderId="0" xfId="0" applyFont="1" applyAlignment="1">
      <alignment horizontal="center"/>
    </xf>
    <xf numFmtId="0" fontId="16"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35" xfId="0" applyNumberFormat="1" applyFont="1" applyBorder="1" applyAlignment="1">
      <alignment horizontal="center"/>
    </xf>
    <xf numFmtId="10" fontId="1" fillId="18" borderId="35" xfId="0" applyNumberFormat="1" applyFont="1" applyFill="1" applyBorder="1" applyAlignment="1">
      <alignment horizontal="center"/>
    </xf>
    <xf numFmtId="0" fontId="1" fillId="18" borderId="0" xfId="0" applyFont="1" applyFill="1" applyAlignment="1">
      <alignment horizontal="center"/>
    </xf>
    <xf numFmtId="10" fontId="1" fillId="18" borderId="0" xfId="0" applyNumberFormat="1" applyFont="1" applyFill="1" applyAlignment="1">
      <alignment horizontal="center"/>
    </xf>
    <xf numFmtId="10" fontId="3" fillId="18" borderId="8" xfId="0" applyNumberFormat="1" applyFont="1" applyFill="1" applyBorder="1"/>
    <xf numFmtId="10" fontId="3" fillId="18" borderId="7" xfId="0" applyNumberFormat="1" applyFont="1" applyFill="1" applyBorder="1"/>
    <xf numFmtId="10" fontId="3" fillId="18" borderId="8" xfId="0" applyNumberFormat="1" applyFont="1" applyFill="1" applyBorder="1" applyAlignment="1">
      <alignment horizontal="center"/>
    </xf>
    <xf numFmtId="10" fontId="1" fillId="18" borderId="8" xfId="0" applyNumberFormat="1" applyFont="1" applyFill="1" applyBorder="1" applyAlignment="1">
      <alignment horizontal="center"/>
    </xf>
    <xf numFmtId="0" fontId="16" fillId="18" borderId="0" xfId="0" applyFont="1" applyFill="1"/>
    <xf numFmtId="0" fontId="16" fillId="18" borderId="1" xfId="0" applyFont="1" applyFill="1" applyBorder="1"/>
    <xf numFmtId="0" fontId="16" fillId="18" borderId="0" xfId="0" applyFont="1" applyFill="1" applyAlignment="1">
      <alignment horizontal="center"/>
    </xf>
    <xf numFmtId="0" fontId="16" fillId="18" borderId="4" xfId="0" applyFont="1" applyFill="1" applyBorder="1"/>
    <xf numFmtId="0" fontId="16" fillId="18" borderId="3" xfId="0" applyFont="1" applyFill="1" applyBorder="1"/>
    <xf numFmtId="0" fontId="16" fillId="18" borderId="4" xfId="0" applyFont="1" applyFill="1" applyBorder="1" applyAlignment="1">
      <alignment horizontal="center"/>
    </xf>
    <xf numFmtId="0" fontId="1" fillId="18" borderId="4" xfId="0" applyFont="1" applyFill="1" applyBorder="1" applyAlignment="1">
      <alignment horizontal="center"/>
    </xf>
    <xf numFmtId="1" fontId="1" fillId="18" borderId="4" xfId="0" applyNumberFormat="1" applyFont="1" applyFill="1" applyBorder="1" applyAlignment="1">
      <alignment horizontal="center"/>
    </xf>
    <xf numFmtId="0" fontId="1" fillId="0" borderId="4" xfId="0" applyFont="1" applyBorder="1" applyAlignment="1">
      <alignment horizontal="center"/>
    </xf>
    <xf numFmtId="0" fontId="16" fillId="0" borderId="4" xfId="0" applyFont="1" applyBorder="1" applyAlignment="1">
      <alignment horizontal="center"/>
    </xf>
    <xf numFmtId="10" fontId="3" fillId="0" borderId="8" xfId="0" applyNumberFormat="1" applyFont="1" applyBorder="1"/>
    <xf numFmtId="10" fontId="3" fillId="0" borderId="7" xfId="0" applyNumberFormat="1" applyFont="1" applyBorder="1"/>
    <xf numFmtId="10" fontId="3" fillId="0" borderId="8" xfId="0" applyNumberFormat="1" applyFont="1" applyBorder="1" applyAlignment="1">
      <alignment horizontal="center"/>
    </xf>
    <xf numFmtId="1" fontId="1" fillId="0" borderId="4" xfId="0" applyNumberFormat="1" applyFont="1" applyBorder="1" applyAlignment="1">
      <alignment horizontal="center"/>
    </xf>
    <xf numFmtId="0" fontId="12" fillId="0" borderId="7" xfId="0" applyFont="1" applyBorder="1" applyAlignment="1">
      <alignment horizontal="center"/>
    </xf>
    <xf numFmtId="0" fontId="3" fillId="19" borderId="41" xfId="0" applyFont="1" applyFill="1" applyBorder="1" applyAlignment="1">
      <alignment wrapText="1"/>
    </xf>
    <xf numFmtId="0" fontId="3" fillId="19" borderId="36" xfId="0" applyFont="1" applyFill="1" applyBorder="1"/>
    <xf numFmtId="1" fontId="3" fillId="19" borderId="36" xfId="0" applyNumberFormat="1" applyFont="1" applyFill="1" applyBorder="1"/>
    <xf numFmtId="0" fontId="1" fillId="8" borderId="4" xfId="0" applyFont="1" applyFill="1" applyBorder="1"/>
    <xf numFmtId="168" fontId="3" fillId="8" borderId="0" xfId="0" applyNumberFormat="1" applyFont="1" applyFill="1" applyAlignment="1">
      <alignment horizontal="center"/>
    </xf>
    <xf numFmtId="1" fontId="3" fillId="8" borderId="0" xfId="0" applyNumberFormat="1" applyFont="1" applyFill="1"/>
    <xf numFmtId="0" fontId="12" fillId="0" borderId="3" xfId="0" applyFont="1" applyBorder="1" applyAlignment="1">
      <alignment wrapText="1"/>
    </xf>
    <xf numFmtId="0" fontId="1" fillId="7" borderId="0" xfId="0" applyFont="1" applyFill="1" applyAlignment="1">
      <alignment horizontal="center"/>
    </xf>
    <xf numFmtId="168" fontId="12" fillId="0" borderId="0" xfId="0" applyNumberFormat="1" applyFont="1" applyAlignment="1">
      <alignment horizontal="center"/>
    </xf>
    <xf numFmtId="1" fontId="3" fillId="0" borderId="16" xfId="0" applyNumberFormat="1" applyFont="1" applyBorder="1"/>
    <xf numFmtId="1" fontId="3" fillId="0" borderId="28" xfId="0" applyNumberFormat="1" applyFont="1" applyBorder="1"/>
    <xf numFmtId="167" fontId="3" fillId="0" borderId="28" xfId="0" applyNumberFormat="1" applyFont="1" applyBorder="1"/>
    <xf numFmtId="0" fontId="26" fillId="0" borderId="1" xfId="0" applyFont="1" applyBorder="1" applyAlignment="1">
      <alignment horizontal="left" wrapText="1" indent="1"/>
    </xf>
    <xf numFmtId="0" fontId="26" fillId="0" borderId="1" xfId="0" applyFont="1" applyBorder="1" applyAlignment="1">
      <alignment horizontal="left" indent="1"/>
    </xf>
    <xf numFmtId="0" fontId="3" fillId="0" borderId="1" xfId="0" applyFont="1" applyBorder="1" applyAlignment="1">
      <alignment horizontal="left" indent="2"/>
    </xf>
    <xf numFmtId="0" fontId="27" fillId="0" borderId="1" xfId="0" applyFont="1" applyBorder="1" applyAlignment="1">
      <alignment horizontal="left" indent="1"/>
    </xf>
    <xf numFmtId="0" fontId="3" fillId="20" borderId="1" xfId="0" applyFont="1" applyFill="1" applyBorder="1" applyAlignment="1">
      <alignment horizontal="left"/>
    </xf>
    <xf numFmtId="0" fontId="3" fillId="20" borderId="7" xfId="0" applyFont="1" applyFill="1" applyBorder="1"/>
    <xf numFmtId="0" fontId="3" fillId="15" borderId="0" xfId="0" applyFont="1" applyFill="1" applyAlignment="1">
      <alignment horizontal="left" wrapText="1" indent="1"/>
    </xf>
    <xf numFmtId="168" fontId="12" fillId="8" borderId="0" xfId="0" applyNumberFormat="1" applyFont="1" applyFill="1" applyAlignment="1">
      <alignment horizontal="center"/>
    </xf>
    <xf numFmtId="0" fontId="3" fillId="0" borderId="0" xfId="0" applyFont="1" applyAlignment="1">
      <alignment horizontal="left" wrapText="1" indent="1"/>
    </xf>
    <xf numFmtId="1" fontId="3" fillId="7" borderId="0" xfId="0" applyNumberFormat="1" applyFont="1" applyFill="1"/>
    <xf numFmtId="1" fontId="3" fillId="3" borderId="0" xfId="0" applyNumberFormat="1" applyFont="1" applyFill="1"/>
    <xf numFmtId="167" fontId="3" fillId="7" borderId="28" xfId="0" applyNumberFormat="1" applyFont="1" applyFill="1" applyBorder="1"/>
    <xf numFmtId="167" fontId="3" fillId="0" borderId="0" xfId="0" applyNumberFormat="1" applyFont="1"/>
    <xf numFmtId="1" fontId="3" fillId="7" borderId="8" xfId="0" applyNumberFormat="1" applyFont="1" applyFill="1" applyBorder="1" applyAlignment="1">
      <alignment horizontal="center"/>
    </xf>
    <xf numFmtId="0" fontId="12" fillId="7" borderId="7" xfId="0" applyFont="1" applyFill="1" applyBorder="1" applyAlignment="1">
      <alignment horizontal="centerContinuous" vertical="center"/>
    </xf>
    <xf numFmtId="0" fontId="12" fillId="7" borderId="2" xfId="0" applyFont="1" applyFill="1" applyBorder="1" applyAlignment="1">
      <alignment horizontal="centerContinuous" vertical="center"/>
    </xf>
    <xf numFmtId="0" fontId="12" fillId="7" borderId="1" xfId="0" applyFont="1" applyFill="1" applyBorder="1" applyAlignment="1">
      <alignment horizontal="centerContinuous" vertical="center"/>
    </xf>
    <xf numFmtId="0" fontId="12" fillId="7" borderId="0" xfId="0" applyFont="1" applyFill="1" applyAlignment="1">
      <alignment horizontal="centerContinuous" vertical="center"/>
    </xf>
    <xf numFmtId="168" fontId="16" fillId="0" borderId="4" xfId="0" applyNumberFormat="1" applyFont="1" applyBorder="1" applyAlignment="1">
      <alignment horizontal="center"/>
    </xf>
    <xf numFmtId="0" fontId="3" fillId="0" borderId="29" xfId="0" applyFont="1" applyBorder="1"/>
    <xf numFmtId="0" fontId="3" fillId="0" borderId="16" xfId="0" applyFont="1" applyBorder="1"/>
    <xf numFmtId="1" fontId="3" fillId="8" borderId="16" xfId="0" applyNumberFormat="1" applyFont="1" applyFill="1" applyBorder="1"/>
    <xf numFmtId="0" fontId="3" fillId="0" borderId="30" xfId="0" applyFont="1" applyBorder="1" applyAlignment="1">
      <alignment horizontal="left" wrapText="1" indent="1"/>
    </xf>
    <xf numFmtId="0" fontId="3" fillId="0" borderId="30" xfId="0" applyFont="1" applyBorder="1" applyAlignment="1">
      <alignment horizontal="left" wrapText="1" indent="2"/>
    </xf>
    <xf numFmtId="0" fontId="3" fillId="0" borderId="31" xfId="0" applyFont="1" applyBorder="1" applyAlignment="1">
      <alignment horizontal="left" wrapText="1" indent="2"/>
    </xf>
    <xf numFmtId="0" fontId="3" fillId="0" borderId="28" xfId="0" applyFont="1" applyBorder="1"/>
    <xf numFmtId="1" fontId="3" fillId="0" borderId="42" xfId="0" applyNumberFormat="1" applyFont="1" applyBorder="1"/>
    <xf numFmtId="1" fontId="3" fillId="3" borderId="16" xfId="0" applyNumberFormat="1" applyFont="1" applyFill="1" applyBorder="1"/>
    <xf numFmtId="1" fontId="3" fillId="21" borderId="16" xfId="0" applyNumberFormat="1" applyFont="1" applyFill="1" applyBorder="1"/>
    <xf numFmtId="1" fontId="3" fillId="21" borderId="0" xfId="0" applyNumberFormat="1" applyFont="1" applyFill="1"/>
    <xf numFmtId="1" fontId="3" fillId="0" borderId="43" xfId="0" applyNumberFormat="1" applyFont="1" applyBorder="1"/>
    <xf numFmtId="1" fontId="3" fillId="3" borderId="28" xfId="0" applyNumberFormat="1" applyFont="1" applyFill="1" applyBorder="1"/>
    <xf numFmtId="1" fontId="3" fillId="21" borderId="28" xfId="0" applyNumberFormat="1" applyFont="1" applyFill="1" applyBorder="1"/>
    <xf numFmtId="1" fontId="3" fillId="8" borderId="28" xfId="0" applyNumberFormat="1" applyFont="1" applyFill="1" applyBorder="1"/>
    <xf numFmtId="1" fontId="3" fillId="7" borderId="28" xfId="0" applyNumberFormat="1" applyFont="1" applyFill="1" applyBorder="1"/>
    <xf numFmtId="167" fontId="3" fillId="8" borderId="28" xfId="0" applyNumberFormat="1" applyFont="1" applyFill="1" applyBorder="1"/>
    <xf numFmtId="1" fontId="3" fillId="0" borderId="1" xfId="0" applyNumberFormat="1" applyFont="1" applyBorder="1"/>
    <xf numFmtId="0" fontId="3" fillId="0" borderId="3" xfId="0" applyFont="1" applyBorder="1" applyAlignment="1">
      <alignment horizontal="right"/>
    </xf>
    <xf numFmtId="0" fontId="3" fillId="0" borderId="3" xfId="0" applyFont="1" applyBorder="1" applyAlignment="1">
      <alignment horizontal="center"/>
    </xf>
    <xf numFmtId="0" fontId="12" fillId="0" borderId="35" xfId="0" applyFont="1" applyBorder="1" applyAlignment="1">
      <alignment horizontal="center"/>
    </xf>
    <xf numFmtId="0" fontId="16" fillId="0" borderId="1" xfId="0" applyFont="1" applyBorder="1" applyAlignment="1">
      <alignment horizontal="center"/>
    </xf>
    <xf numFmtId="168" fontId="3" fillId="8" borderId="8" xfId="0" applyNumberFormat="1" applyFont="1" applyFill="1" applyBorder="1" applyAlignment="1">
      <alignment horizontal="center"/>
    </xf>
    <xf numFmtId="0" fontId="12" fillId="0" borderId="0" xfId="0" applyFont="1" applyAlignment="1">
      <alignment horizontal="left" indent="1"/>
    </xf>
    <xf numFmtId="1" fontId="3" fillId="8" borderId="35" xfId="0" applyNumberFormat="1" applyFont="1" applyFill="1" applyBorder="1"/>
    <xf numFmtId="0" fontId="1" fillId="0" borderId="0" xfId="0" applyFont="1" applyAlignment="1">
      <alignment horizontal="center" wrapText="1"/>
    </xf>
    <xf numFmtId="168" fontId="3" fillId="8" borderId="35" xfId="0" applyNumberFormat="1" applyFont="1" applyFill="1" applyBorder="1" applyAlignment="1">
      <alignment horizontal="center"/>
    </xf>
    <xf numFmtId="3" fontId="3" fillId="0" borderId="0" xfId="0" applyNumberFormat="1" applyFont="1"/>
    <xf numFmtId="3" fontId="3" fillId="0" borderId="8" xfId="0" applyNumberFormat="1" applyFont="1" applyBorder="1"/>
    <xf numFmtId="3" fontId="3" fillId="0" borderId="2"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2" fillId="0" borderId="36" xfId="0" applyFont="1" applyBorder="1"/>
    <xf numFmtId="0" fontId="12" fillId="0" borderId="15" xfId="0" applyFont="1" applyBorder="1"/>
    <xf numFmtId="169" fontId="3" fillId="12" borderId="4" xfId="0" applyNumberFormat="1" applyFont="1" applyFill="1" applyBorder="1"/>
    <xf numFmtId="4" fontId="3" fillId="0" borderId="0" xfId="0" applyNumberFormat="1" applyFont="1"/>
    <xf numFmtId="3" fontId="3" fillId="0" borderId="6" xfId="0" applyNumberFormat="1" applyFont="1" applyBorder="1"/>
    <xf numFmtId="169" fontId="3" fillId="12" borderId="5" xfId="0" applyNumberFormat="1" applyFont="1" applyFill="1" applyBorder="1"/>
    <xf numFmtId="3" fontId="3" fillId="0" borderId="7" xfId="0" applyNumberFormat="1" applyFont="1" applyBorder="1"/>
    <xf numFmtId="0" fontId="3" fillId="8" borderId="6" xfId="0" applyFont="1" applyFill="1" applyBorder="1"/>
    <xf numFmtId="1" fontId="3" fillId="8" borderId="8" xfId="0" applyNumberFormat="1" applyFont="1" applyFill="1" applyBorder="1"/>
    <xf numFmtId="0" fontId="3" fillId="0" borderId="35" xfId="0" applyFont="1" applyBorder="1"/>
    <xf numFmtId="1" fontId="3" fillId="0" borderId="35" xfId="0" applyNumberFormat="1" applyFont="1" applyBorder="1"/>
    <xf numFmtId="168" fontId="3" fillId="0" borderId="2" xfId="0" applyNumberFormat="1" applyFont="1" applyBorder="1"/>
    <xf numFmtId="168" fontId="3" fillId="8" borderId="5" xfId="0" applyNumberFormat="1" applyFont="1" applyFill="1" applyBorder="1" applyAlignment="1">
      <alignment horizontal="center"/>
    </xf>
    <xf numFmtId="168" fontId="16" fillId="8" borderId="6" xfId="0" applyNumberFormat="1" applyFont="1" applyFill="1" applyBorder="1" applyAlignment="1">
      <alignment horizontal="center"/>
    </xf>
    <xf numFmtId="0" fontId="12" fillId="7" borderId="9" xfId="0" applyFont="1" applyFill="1" applyBorder="1" applyAlignment="1">
      <alignment horizontal="centerContinuous"/>
    </xf>
    <xf numFmtId="0" fontId="12" fillId="7" borderId="10" xfId="0" applyFont="1" applyFill="1" applyBorder="1" applyAlignment="1">
      <alignment horizontal="centerContinuous"/>
    </xf>
    <xf numFmtId="168" fontId="3" fillId="8" borderId="6" xfId="0" applyNumberFormat="1" applyFont="1" applyFill="1" applyBorder="1" applyAlignment="1">
      <alignment horizontal="center"/>
    </xf>
    <xf numFmtId="0" fontId="3" fillId="8" borderId="7" xfId="0" applyFont="1" applyFill="1" applyBorder="1"/>
    <xf numFmtId="0" fontId="3" fillId="0" borderId="0" xfId="0" applyFont="1" applyAlignment="1">
      <alignment horizontal="right"/>
    </xf>
    <xf numFmtId="168" fontId="3" fillId="12" borderId="0" xfId="0" applyNumberFormat="1" applyFont="1" applyFill="1" applyAlignment="1">
      <alignment horizontal="center"/>
    </xf>
    <xf numFmtId="168" fontId="3" fillId="22" borderId="0" xfId="0" applyNumberFormat="1" applyFont="1" applyFill="1" applyAlignment="1">
      <alignment horizontal="center"/>
    </xf>
    <xf numFmtId="168" fontId="16" fillId="23" borderId="0" xfId="0" applyNumberFormat="1" applyFont="1" applyFill="1" applyAlignment="1">
      <alignment horizontal="center"/>
    </xf>
    <xf numFmtId="0" fontId="3" fillId="20" borderId="1" xfId="0" applyFont="1" applyFill="1" applyBorder="1" applyAlignment="1">
      <alignment horizontal="left" wrapText="1"/>
    </xf>
    <xf numFmtId="0" fontId="3" fillId="0" borderId="44" xfId="0" applyFont="1" applyBorder="1" applyAlignment="1">
      <alignment horizontal="left" indent="1"/>
    </xf>
    <xf numFmtId="0" fontId="12" fillId="0" borderId="44" xfId="0" applyFont="1" applyBorder="1" applyAlignment="1">
      <alignment horizontal="left"/>
    </xf>
    <xf numFmtId="168" fontId="12" fillId="8" borderId="6" xfId="0" applyNumberFormat="1" applyFont="1" applyFill="1" applyBorder="1" applyAlignment="1">
      <alignment horizontal="center"/>
    </xf>
    <xf numFmtId="0" fontId="1" fillId="0" borderId="2" xfId="0" applyFont="1" applyBorder="1"/>
    <xf numFmtId="0" fontId="1" fillId="0" borderId="7" xfId="0" applyFont="1" applyBorder="1"/>
    <xf numFmtId="0" fontId="1" fillId="0" borderId="1" xfId="0" applyFont="1" applyBorder="1" applyAlignment="1">
      <alignment horizontal="left" indent="1"/>
    </xf>
    <xf numFmtId="0" fontId="1" fillId="0" borderId="6" xfId="0" applyFont="1" applyBorder="1" applyAlignment="1">
      <alignment horizontal="left" indent="1"/>
    </xf>
    <xf numFmtId="0" fontId="1" fillId="0" borderId="3" xfId="0" applyFont="1" applyBorder="1" applyAlignment="1">
      <alignment horizontal="left"/>
    </xf>
    <xf numFmtId="0" fontId="1" fillId="0" borderId="7" xfId="0" applyFont="1" applyBorder="1" applyAlignment="1">
      <alignment horizontal="left"/>
    </xf>
    <xf numFmtId="0" fontId="28" fillId="0" borderId="0" xfId="0" applyFont="1" applyAlignment="1">
      <alignment horizontal="center"/>
    </xf>
    <xf numFmtId="174" fontId="1" fillId="0" borderId="0" xfId="0" applyNumberFormat="1" applyFont="1" applyAlignment="1">
      <alignment horizontal="center"/>
    </xf>
    <xf numFmtId="0" fontId="1" fillId="24" borderId="0" xfId="0" applyFont="1" applyFill="1" applyAlignment="1">
      <alignment horizontal="center"/>
    </xf>
    <xf numFmtId="0" fontId="28" fillId="0" borderId="0" xfId="0" applyFont="1" applyAlignment="1">
      <alignment horizontal="center" wrapText="1"/>
    </xf>
    <xf numFmtId="166" fontId="1" fillId="0" borderId="0" xfId="0" applyNumberFormat="1" applyFont="1" applyAlignment="1">
      <alignment horizontal="center"/>
    </xf>
    <xf numFmtId="169" fontId="1" fillId="0" borderId="0" xfId="0" applyNumberFormat="1" applyFont="1" applyAlignment="1">
      <alignment horizontal="center"/>
    </xf>
    <xf numFmtId="169" fontId="28" fillId="0" borderId="0" xfId="0" applyNumberFormat="1" applyFont="1" applyAlignment="1">
      <alignment horizontal="center"/>
    </xf>
    <xf numFmtId="166" fontId="28" fillId="0" borderId="0" xfId="0" applyNumberFormat="1" applyFont="1" applyAlignment="1">
      <alignment horizontal="center"/>
    </xf>
    <xf numFmtId="0" fontId="7" fillId="0" borderId="0" xfId="0" applyFont="1"/>
    <xf numFmtId="2" fontId="1" fillId="15" borderId="0" xfId="0" applyNumberFormat="1" applyFont="1" applyFill="1"/>
    <xf numFmtId="0" fontId="7" fillId="25" borderId="0" xfId="0" applyFont="1" applyFill="1" applyAlignment="1">
      <alignment horizontal="center"/>
    </xf>
    <xf numFmtId="0" fontId="3" fillId="18" borderId="5" xfId="0" applyFont="1" applyFill="1" applyBorder="1"/>
    <xf numFmtId="167" fontId="3" fillId="18" borderId="4" xfId="0" applyNumberFormat="1" applyFont="1" applyFill="1" applyBorder="1" applyAlignment="1">
      <alignment horizontal="center"/>
    </xf>
    <xf numFmtId="0" fontId="3" fillId="18" borderId="4" xfId="0" applyFont="1" applyFill="1" applyBorder="1" applyAlignment="1">
      <alignment horizontal="center"/>
    </xf>
    <xf numFmtId="0" fontId="12" fillId="0" borderId="7" xfId="0" applyFont="1" applyBorder="1"/>
    <xf numFmtId="0" fontId="29" fillId="0" borderId="7" xfId="0" applyFont="1" applyBorder="1" applyAlignment="1">
      <alignment wrapText="1"/>
    </xf>
    <xf numFmtId="165" fontId="2" fillId="0" borderId="19" xfId="0" applyNumberFormat="1" applyFont="1" applyBorder="1" applyAlignment="1">
      <alignment horizontal="right"/>
    </xf>
    <xf numFmtId="175" fontId="29" fillId="0" borderId="35" xfId="0" applyNumberFormat="1" applyFont="1" applyBorder="1" applyAlignment="1">
      <alignment horizontal="center"/>
    </xf>
    <xf numFmtId="0" fontId="20" fillId="0" borderId="7" xfId="0" applyFont="1" applyBorder="1" applyAlignment="1">
      <alignment wrapText="1"/>
    </xf>
    <xf numFmtId="1" fontId="20" fillId="0" borderId="35" xfId="0" applyNumberFormat="1" applyFont="1" applyBorder="1" applyAlignment="1">
      <alignment horizontal="center"/>
    </xf>
    <xf numFmtId="0" fontId="20" fillId="0" borderId="3" xfId="0" applyFont="1" applyBorder="1"/>
    <xf numFmtId="1" fontId="20" fillId="0" borderId="4" xfId="0" applyNumberFormat="1" applyFont="1" applyBorder="1" applyAlignment="1">
      <alignment horizontal="center"/>
    </xf>
    <xf numFmtId="175" fontId="29" fillId="13" borderId="35" xfId="0" applyNumberFormat="1" applyFont="1" applyFill="1" applyBorder="1" applyAlignment="1">
      <alignment horizontal="center"/>
    </xf>
    <xf numFmtId="1" fontId="3" fillId="0" borderId="4" xfId="0" applyNumberFormat="1" applyFont="1" applyBorder="1" applyAlignment="1">
      <alignment horizontal="center" vertical="center"/>
    </xf>
    <xf numFmtId="169" fontId="3" fillId="0" borderId="35" xfId="0" applyNumberFormat="1" applyFont="1" applyBorder="1"/>
    <xf numFmtId="168" fontId="16" fillId="0" borderId="0" xfId="0" applyNumberFormat="1" applyFont="1"/>
    <xf numFmtId="1" fontId="3" fillId="8" borderId="2" xfId="0" applyNumberFormat="1" applyFont="1" applyFill="1" applyBorder="1" applyAlignment="1">
      <alignment horizontal="center"/>
    </xf>
    <xf numFmtId="1" fontId="3" fillId="8" borderId="35"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4" xfId="0" applyNumberFormat="1" applyFont="1" applyBorder="1"/>
    <xf numFmtId="1" fontId="3" fillId="8" borderId="4" xfId="0" applyNumberFormat="1" applyFont="1" applyFill="1" applyBorder="1"/>
    <xf numFmtId="168" fontId="16" fillId="26" borderId="0" xfId="0" applyNumberFormat="1" applyFont="1" applyFill="1" applyAlignment="1">
      <alignment horizontal="center" vertical="top" wrapText="1"/>
    </xf>
    <xf numFmtId="1" fontId="3" fillId="14" borderId="0" xfId="0" applyNumberFormat="1" applyFont="1" applyFill="1" applyAlignment="1">
      <alignment horizontal="center" vertical="top" wrapText="1"/>
    </xf>
    <xf numFmtId="1" fontId="16" fillId="0" borderId="0" xfId="0" applyNumberFormat="1" applyFont="1" applyAlignment="1">
      <alignment horizontal="center" vertical="top" wrapText="1"/>
    </xf>
    <xf numFmtId="1" fontId="3" fillId="0" borderId="28" xfId="0" applyNumberFormat="1" applyFont="1" applyBorder="1" applyAlignment="1">
      <alignment horizontal="center" vertical="top" wrapText="1"/>
    </xf>
    <xf numFmtId="168" fontId="16" fillId="0" borderId="0" xfId="0" applyNumberFormat="1" applyFont="1" applyAlignment="1">
      <alignment horizontal="center" vertical="top" wrapText="1"/>
    </xf>
    <xf numFmtId="168" fontId="3" fillId="0" borderId="35" xfId="0" applyNumberFormat="1" applyFont="1" applyBorder="1" applyAlignment="1">
      <alignment horizontal="right" vertical="top" wrapText="1"/>
    </xf>
    <xf numFmtId="10" fontId="3" fillId="0" borderId="0" xfId="0" applyNumberFormat="1" applyFont="1"/>
    <xf numFmtId="0" fontId="3" fillId="0" borderId="3" xfId="0" applyFont="1" applyBorder="1" applyAlignment="1">
      <alignment horizontal="left" indent="1"/>
    </xf>
    <xf numFmtId="9" fontId="3" fillId="0" borderId="4" xfId="0" applyNumberFormat="1" applyFont="1" applyBorder="1"/>
    <xf numFmtId="2" fontId="3" fillId="0" borderId="4" xfId="0" applyNumberFormat="1" applyFont="1" applyBorder="1" applyAlignment="1">
      <alignment horizontal="center"/>
    </xf>
    <xf numFmtId="167" fontId="3" fillId="0" borderId="3" xfId="0" applyNumberFormat="1" applyFont="1" applyBorder="1" applyAlignment="1">
      <alignment horizontal="center"/>
    </xf>
    <xf numFmtId="167" fontId="3" fillId="0" borderId="4" xfId="0" applyNumberFormat="1" applyFont="1" applyBorder="1" applyAlignment="1">
      <alignment horizontal="center"/>
    </xf>
    <xf numFmtId="1" fontId="3" fillId="0" borderId="1" xfId="0" applyNumberFormat="1" applyFont="1" applyBorder="1" applyAlignment="1">
      <alignment horizontal="center"/>
    </xf>
    <xf numFmtId="0" fontId="12" fillId="0" borderId="36" xfId="0" applyFont="1" applyBorder="1" applyAlignment="1">
      <alignment horizontal="center"/>
    </xf>
    <xf numFmtId="0" fontId="3" fillId="0" borderId="2" xfId="0" applyFont="1" applyBorder="1" applyAlignment="1">
      <alignment horizontal="center"/>
    </xf>
    <xf numFmtId="0" fontId="20" fillId="0" borderId="1" xfId="0" applyFont="1" applyBorder="1" applyAlignment="1">
      <alignment wrapText="1"/>
    </xf>
    <xf numFmtId="167" fontId="3" fillId="7" borderId="6" xfId="0" applyNumberFormat="1" applyFont="1" applyFill="1" applyBorder="1" applyAlignment="1">
      <alignment horizontal="center"/>
    </xf>
    <xf numFmtId="167" fontId="3" fillId="7" borderId="4" xfId="0" applyNumberFormat="1" applyFont="1" applyFill="1" applyBorder="1" applyAlignment="1">
      <alignment horizontal="center"/>
    </xf>
    <xf numFmtId="1" fontId="3" fillId="0" borderId="4" xfId="0" applyNumberFormat="1" applyFont="1" applyBorder="1" applyAlignment="1">
      <alignment horizontal="center"/>
    </xf>
    <xf numFmtId="167" fontId="3" fillId="0" borderId="1" xfId="0" applyNumberFormat="1" applyFont="1" applyBorder="1" applyAlignment="1">
      <alignment horizontal="center"/>
    </xf>
    <xf numFmtId="0" fontId="16" fillId="0" borderId="0" xfId="0" applyFont="1" applyAlignment="1">
      <alignment horizontal="center" vertical="top" wrapText="1"/>
    </xf>
    <xf numFmtId="3" fontId="16" fillId="0" borderId="0" xfId="0" applyNumberFormat="1" applyFont="1" applyAlignment="1">
      <alignment horizontal="center" vertical="top" wrapText="1"/>
    </xf>
    <xf numFmtId="0" fontId="16" fillId="0" borderId="0" xfId="0" applyFont="1" applyAlignment="1">
      <alignment horizontal="left" vertical="top" wrapText="1"/>
    </xf>
    <xf numFmtId="0" fontId="20" fillId="0" borderId="43" xfId="0" applyFont="1" applyBorder="1" applyAlignment="1">
      <alignment horizontal="left" indent="2"/>
    </xf>
    <xf numFmtId="165" fontId="3" fillId="0" borderId="28" xfId="0" applyNumberFormat="1" applyFont="1" applyBorder="1" applyAlignment="1">
      <alignment horizontal="center" vertical="top" wrapText="1"/>
    </xf>
    <xf numFmtId="0" fontId="3" fillId="0" borderId="7" xfId="0" applyFont="1" applyBorder="1" applyAlignment="1">
      <alignment horizontal="left" indent="1"/>
    </xf>
    <xf numFmtId="0" fontId="29" fillId="0" borderId="1" xfId="0" applyFont="1" applyBorder="1" applyAlignment="1">
      <alignment horizontal="left" wrapText="1"/>
    </xf>
    <xf numFmtId="0" fontId="30" fillId="0" borderId="0" xfId="0" applyFont="1"/>
    <xf numFmtId="0" fontId="20" fillId="0" borderId="0" xfId="0" applyFont="1"/>
    <xf numFmtId="0" fontId="31" fillId="0" borderId="1" xfId="0" applyFont="1" applyBorder="1" applyAlignment="1">
      <alignment horizontal="left"/>
    </xf>
    <xf numFmtId="167" fontId="16" fillId="0" borderId="0" xfId="0" applyNumberFormat="1" applyFont="1"/>
    <xf numFmtId="0" fontId="16" fillId="0" borderId="3" xfId="0" applyFont="1" applyBorder="1" applyAlignment="1">
      <alignment horizontal="left" vertical="top" wrapText="1"/>
    </xf>
    <xf numFmtId="0" fontId="3" fillId="0" borderId="45" xfId="0" applyFont="1" applyBorder="1"/>
    <xf numFmtId="168" fontId="16" fillId="0" borderId="0" xfId="0" applyNumberFormat="1" applyFont="1" applyAlignment="1">
      <alignment horizontal="right" vertical="top" wrapText="1"/>
    </xf>
    <xf numFmtId="175" fontId="29" fillId="0" borderId="0" xfId="0" applyNumberFormat="1" applyFont="1" applyAlignment="1">
      <alignment horizontal="center"/>
    </xf>
    <xf numFmtId="1" fontId="3" fillId="0" borderId="0" xfId="0" applyNumberFormat="1" applyFont="1" applyAlignment="1">
      <alignment horizontal="center" vertical="top" wrapText="1"/>
    </xf>
    <xf numFmtId="1" fontId="3" fillId="0" borderId="35" xfId="0" applyNumberFormat="1" applyFont="1" applyBorder="1" applyAlignment="1">
      <alignment horizontal="center" vertical="center"/>
    </xf>
    <xf numFmtId="168" fontId="3" fillId="7" borderId="0" xfId="0" applyNumberFormat="1" applyFont="1" applyFill="1" applyAlignment="1">
      <alignment horizontal="center" vertical="top" wrapText="1"/>
    </xf>
    <xf numFmtId="1" fontId="16" fillId="8" borderId="0" xfId="0" applyNumberFormat="1" applyFont="1" applyFill="1" applyAlignment="1">
      <alignment horizontal="center" vertical="top" wrapText="1"/>
    </xf>
    <xf numFmtId="1" fontId="3" fillId="8" borderId="0" xfId="0" applyNumberFormat="1" applyFont="1" applyFill="1" applyAlignment="1">
      <alignment horizontal="center" vertical="top" wrapText="1"/>
    </xf>
    <xf numFmtId="168" fontId="16" fillId="26" borderId="4" xfId="0" applyNumberFormat="1" applyFont="1" applyFill="1" applyBorder="1" applyAlignment="1">
      <alignment horizontal="center" vertical="top" wrapText="1"/>
    </xf>
    <xf numFmtId="168" fontId="16" fillId="13" borderId="0" xfId="0" applyNumberFormat="1" applyFont="1" applyFill="1" applyAlignment="1">
      <alignment horizontal="center" vertical="top" wrapText="1"/>
    </xf>
    <xf numFmtId="167" fontId="3" fillId="7" borderId="0" xfId="0" applyNumberFormat="1" applyFont="1" applyFill="1" applyAlignment="1">
      <alignment horizontal="center"/>
    </xf>
    <xf numFmtId="167" fontId="3" fillId="8" borderId="0" xfId="0" applyNumberFormat="1" applyFont="1" applyFill="1" applyAlignment="1">
      <alignment horizontal="center"/>
    </xf>
    <xf numFmtId="167" fontId="3" fillId="0" borderId="0" xfId="0" applyNumberFormat="1" applyFont="1" applyAlignment="1">
      <alignment horizontal="center"/>
    </xf>
    <xf numFmtId="167" fontId="3" fillId="26" borderId="5" xfId="0" applyNumberFormat="1" applyFont="1" applyFill="1" applyBorder="1" applyAlignment="1">
      <alignment horizontal="center"/>
    </xf>
    <xf numFmtId="168" fontId="3" fillId="8" borderId="35" xfId="0" applyNumberFormat="1" applyFont="1" applyFill="1" applyBorder="1" applyAlignment="1">
      <alignment horizontal="right" vertical="top" wrapText="1"/>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29" fillId="0" borderId="0" xfId="0" applyNumberFormat="1" applyFont="1" applyAlignment="1">
      <alignment horizontal="center"/>
    </xf>
    <xf numFmtId="175" fontId="29" fillId="0" borderId="0" xfId="0" applyNumberFormat="1" applyFont="1"/>
    <xf numFmtId="1" fontId="12" fillId="0" borderId="0" xfId="0" applyNumberFormat="1" applyFont="1" applyAlignment="1">
      <alignment horizontal="center"/>
    </xf>
    <xf numFmtId="168" fontId="3" fillId="0" borderId="1" xfId="0" applyNumberFormat="1" applyFont="1" applyBorder="1" applyAlignment="1">
      <alignment horizontal="right" vertical="top" wrapText="1"/>
    </xf>
    <xf numFmtId="3" fontId="16" fillId="0" borderId="4" xfId="0" applyNumberFormat="1" applyFont="1" applyBorder="1" applyAlignment="1">
      <alignment horizontal="center" vertical="top" wrapText="1"/>
    </xf>
    <xf numFmtId="0" fontId="12" fillId="13" borderId="36" xfId="0" applyFont="1" applyFill="1" applyBorder="1" applyAlignment="1">
      <alignment horizontal="center"/>
    </xf>
    <xf numFmtId="0" fontId="12" fillId="13" borderId="15" xfId="0" applyFont="1" applyFill="1" applyBorder="1" applyAlignment="1">
      <alignment horizontal="center"/>
    </xf>
    <xf numFmtId="0" fontId="20" fillId="0" borderId="1" xfId="0" applyFont="1" applyBorder="1"/>
    <xf numFmtId="2" fontId="3" fillId="0" borderId="5" xfId="0" applyNumberFormat="1" applyFont="1" applyBorder="1" applyAlignment="1">
      <alignment horizontal="center"/>
    </xf>
    <xf numFmtId="175" fontId="29" fillId="8" borderId="15" xfId="0" applyNumberFormat="1" applyFont="1" applyFill="1" applyBorder="1" applyAlignment="1">
      <alignment horizontal="center"/>
    </xf>
    <xf numFmtId="1" fontId="3" fillId="0" borderId="2" xfId="0" applyNumberFormat="1" applyFont="1" applyBorder="1" applyAlignment="1">
      <alignment horizontal="center"/>
    </xf>
    <xf numFmtId="176" fontId="3" fillId="0" borderId="0" xfId="0" applyNumberFormat="1" applyFont="1" applyAlignment="1">
      <alignment horizontal="center"/>
    </xf>
    <xf numFmtId="175" fontId="29" fillId="0" borderId="36" xfId="0" applyNumberFormat="1" applyFont="1" applyBorder="1" applyAlignment="1">
      <alignment horizontal="center"/>
    </xf>
    <xf numFmtId="3" fontId="3" fillId="0" borderId="34" xfId="0" applyNumberFormat="1" applyFont="1" applyBorder="1" applyAlignment="1">
      <alignment horizontal="center"/>
    </xf>
    <xf numFmtId="175" fontId="20" fillId="0" borderId="0" xfId="0" applyNumberFormat="1" applyFont="1" applyAlignment="1">
      <alignment horizontal="left" indent="2"/>
    </xf>
    <xf numFmtId="175" fontId="29" fillId="8" borderId="36" xfId="0" applyNumberFormat="1" applyFont="1" applyFill="1" applyBorder="1" applyAlignment="1">
      <alignment horizontal="center"/>
    </xf>
    <xf numFmtId="0" fontId="12" fillId="0" borderId="37" xfId="0" applyFont="1" applyBorder="1" applyAlignment="1">
      <alignment wrapText="1"/>
    </xf>
    <xf numFmtId="1" fontId="3" fillId="0" borderId="5" xfId="0" applyNumberFormat="1" applyFont="1" applyBorder="1" applyAlignment="1">
      <alignment horizontal="center"/>
    </xf>
    <xf numFmtId="1" fontId="16" fillId="0" borderId="1" xfId="0" applyNumberFormat="1" applyFont="1" applyBorder="1" applyAlignment="1">
      <alignment horizontal="center" vertical="top" wrapText="1"/>
    </xf>
    <xf numFmtId="0" fontId="32" fillId="0" borderId="0" xfId="0" applyFont="1"/>
    <xf numFmtId="3" fontId="3" fillId="0" borderId="8" xfId="0" applyNumberFormat="1" applyFont="1" applyBorder="1" applyAlignment="1">
      <alignment horizontal="center" vertical="top" wrapText="1"/>
    </xf>
    <xf numFmtId="9" fontId="1" fillId="0" borderId="0" xfId="0" applyNumberFormat="1" applyFont="1"/>
    <xf numFmtId="0" fontId="19" fillId="0" borderId="0" xfId="0" applyFont="1" applyAlignment="1">
      <alignment horizontal="left" vertical="top" wrapText="1"/>
    </xf>
    <xf numFmtId="168" fontId="3" fillId="8" borderId="0" xfId="0" applyNumberFormat="1" applyFont="1" applyFill="1" applyAlignment="1">
      <alignment horizontal="right" vertical="top" wrapText="1"/>
    </xf>
    <xf numFmtId="175" fontId="20" fillId="0" borderId="0" xfId="0" applyNumberFormat="1" applyFont="1" applyAlignment="1">
      <alignment horizontal="center"/>
    </xf>
    <xf numFmtId="2" fontId="3" fillId="0" borderId="2" xfId="0" applyNumberFormat="1" applyFont="1" applyBorder="1" applyAlignment="1">
      <alignment horizontal="center"/>
    </xf>
    <xf numFmtId="1" fontId="3" fillId="0" borderId="34" xfId="0" applyNumberFormat="1" applyFont="1" applyBorder="1" applyAlignment="1">
      <alignment horizontal="center"/>
    </xf>
    <xf numFmtId="37" fontId="3" fillId="0" borderId="0" xfId="0" applyNumberFormat="1" applyFont="1" applyAlignment="1">
      <alignment horizontal="center" wrapText="1"/>
    </xf>
    <xf numFmtId="1" fontId="20" fillId="0" borderId="0" xfId="0" applyNumberFormat="1" applyFont="1" applyAlignment="1">
      <alignment horizontal="center"/>
    </xf>
    <xf numFmtId="177" fontId="3" fillId="0" borderId="0" xfId="0" applyNumberFormat="1" applyFont="1" applyAlignment="1">
      <alignment horizontal="center"/>
    </xf>
    <xf numFmtId="168" fontId="3" fillId="0" borderId="0" xfId="0" applyNumberFormat="1" applyFont="1" applyAlignment="1">
      <alignment horizontal="center" vertical="top" wrapText="1"/>
    </xf>
    <xf numFmtId="175" fontId="29" fillId="8" borderId="35" xfId="0" applyNumberFormat="1" applyFont="1" applyFill="1" applyBorder="1" applyAlignment="1">
      <alignment horizontal="center"/>
    </xf>
    <xf numFmtId="0" fontId="12" fillId="13" borderId="35" xfId="0" applyFont="1" applyFill="1" applyBorder="1" applyAlignment="1">
      <alignment horizontal="center"/>
    </xf>
    <xf numFmtId="175" fontId="20" fillId="0" borderId="35" xfId="0" applyNumberFormat="1" applyFont="1" applyBorder="1" applyAlignment="1">
      <alignment horizontal="center"/>
    </xf>
    <xf numFmtId="175" fontId="20" fillId="0" borderId="4" xfId="0" applyNumberFormat="1" applyFont="1" applyBorder="1" applyAlignment="1">
      <alignment horizontal="center"/>
    </xf>
    <xf numFmtId="0" fontId="20" fillId="0" borderId="7" xfId="0" applyFont="1" applyBorder="1" applyAlignment="1">
      <alignment horizontal="left" indent="1"/>
    </xf>
    <xf numFmtId="167" fontId="3" fillId="0" borderId="35" xfId="0" applyNumberFormat="1" applyFont="1" applyBorder="1" applyAlignment="1">
      <alignment horizontal="center"/>
    </xf>
    <xf numFmtId="167" fontId="3" fillId="0" borderId="2" xfId="0" applyNumberFormat="1" applyFont="1" applyBorder="1" applyAlignment="1">
      <alignment vertical="center" wrapText="1"/>
    </xf>
    <xf numFmtId="167" fontId="3" fillId="0" borderId="34" xfId="0" applyNumberFormat="1" applyFont="1" applyBorder="1" applyAlignment="1">
      <alignment vertical="center" wrapText="1"/>
    </xf>
    <xf numFmtId="167" fontId="3" fillId="0" borderId="5" xfId="0" applyNumberFormat="1" applyFont="1" applyBorder="1" applyAlignment="1">
      <alignment vertical="center" wrapText="1"/>
    </xf>
    <xf numFmtId="1" fontId="3" fillId="0" borderId="0" xfId="0" applyNumberFormat="1" applyFont="1" applyAlignment="1">
      <alignment horizontal="center" vertical="center"/>
    </xf>
    <xf numFmtId="0" fontId="12" fillId="0" borderId="14" xfId="0" applyFont="1" applyBorder="1" applyAlignment="1">
      <alignment horizontal="left" indent="1"/>
    </xf>
    <xf numFmtId="2" fontId="3" fillId="0" borderId="35" xfId="0" applyNumberFormat="1" applyFont="1" applyBorder="1" applyAlignment="1">
      <alignment horizontal="center"/>
    </xf>
    <xf numFmtId="9" fontId="3" fillId="0" borderId="0" xfId="0" applyNumberFormat="1" applyFont="1"/>
    <xf numFmtId="175" fontId="20" fillId="0" borderId="7" xfId="0" applyNumberFormat="1" applyFont="1" applyBorder="1" applyAlignment="1">
      <alignment horizontal="center"/>
    </xf>
    <xf numFmtId="175" fontId="20" fillId="0" borderId="1" xfId="0" applyNumberFormat="1" applyFont="1" applyBorder="1" applyAlignment="1">
      <alignment horizontal="center"/>
    </xf>
    <xf numFmtId="175" fontId="20" fillId="0" borderId="34" xfId="0" applyNumberFormat="1" applyFont="1" applyBorder="1" applyAlignment="1">
      <alignment horizontal="center"/>
    </xf>
    <xf numFmtId="0" fontId="20" fillId="0" borderId="1" xfId="0" applyFont="1" applyBorder="1" applyAlignment="1">
      <alignment horizontal="left" indent="1"/>
    </xf>
    <xf numFmtId="0" fontId="20" fillId="0" borderId="3"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2" fillId="3" borderId="0" xfId="0" applyFont="1" applyFill="1" applyAlignment="1">
      <alignment horizontal="left"/>
    </xf>
    <xf numFmtId="0" fontId="12" fillId="3" borderId="0" xfId="0" applyFont="1" applyFill="1"/>
    <xf numFmtId="168" fontId="16" fillId="0" borderId="1" xfId="0" applyNumberFormat="1" applyFont="1" applyBorder="1" applyAlignment="1">
      <alignment horizontal="center" vertical="top" wrapText="1"/>
    </xf>
    <xf numFmtId="168" fontId="16" fillId="0" borderId="3" xfId="0" applyNumberFormat="1" applyFont="1" applyBorder="1" applyAlignment="1">
      <alignment horizontal="center" vertical="top" wrapText="1"/>
    </xf>
    <xf numFmtId="0" fontId="3" fillId="0" borderId="7" xfId="0" applyFont="1" applyBorder="1" applyAlignment="1">
      <alignment horizontal="left" indent="2"/>
    </xf>
    <xf numFmtId="0" fontId="3" fillId="0" borderId="0" xfId="0" applyFont="1" applyAlignment="1">
      <alignment horizontal="left" indent="2"/>
    </xf>
    <xf numFmtId="175" fontId="20" fillId="0" borderId="5" xfId="0" applyNumberFormat="1" applyFont="1" applyBorder="1" applyAlignment="1">
      <alignment horizontal="center"/>
    </xf>
    <xf numFmtId="10" fontId="16" fillId="0" borderId="0" xfId="0" applyNumberFormat="1" applyFont="1" applyAlignment="1">
      <alignment horizontal="center" vertical="top" wrapText="1"/>
    </xf>
    <xf numFmtId="0" fontId="29" fillId="0" borderId="7" xfId="0" applyFont="1" applyBorder="1" applyAlignment="1">
      <alignment horizontal="left"/>
    </xf>
    <xf numFmtId="1" fontId="3" fillId="8" borderId="28" xfId="0" applyNumberFormat="1" applyFont="1" applyFill="1" applyBorder="1" applyAlignment="1">
      <alignment horizontal="center" vertical="top" wrapText="1"/>
    </xf>
    <xf numFmtId="168" fontId="3" fillId="0" borderId="7" xfId="0" applyNumberFormat="1" applyFont="1" applyBorder="1" applyAlignment="1">
      <alignment horizontal="right" vertical="top" wrapText="1"/>
    </xf>
    <xf numFmtId="168" fontId="3" fillId="0" borderId="8" xfId="0" applyNumberFormat="1" applyFont="1" applyBorder="1" applyAlignment="1">
      <alignment horizontal="right" vertical="top" wrapText="1"/>
    </xf>
    <xf numFmtId="168" fontId="3" fillId="8" borderId="8" xfId="0" applyNumberFormat="1" applyFont="1" applyFill="1" applyBorder="1" applyAlignment="1">
      <alignment horizontal="right" vertical="top" wrapText="1"/>
    </xf>
    <xf numFmtId="168" fontId="3" fillId="0" borderId="28" xfId="0" applyNumberFormat="1" applyFont="1" applyBorder="1" applyAlignment="1">
      <alignment horizontal="center" vertical="top" wrapText="1"/>
    </xf>
    <xf numFmtId="168" fontId="3" fillId="0" borderId="43" xfId="0" applyNumberFormat="1" applyFont="1" applyBorder="1" applyAlignment="1">
      <alignment horizontal="center" vertical="top" wrapText="1"/>
    </xf>
    <xf numFmtId="0" fontId="19" fillId="0" borderId="0" xfId="0" applyFont="1" applyAlignment="1">
      <alignment horizontal="center" vertical="top" wrapText="1"/>
    </xf>
    <xf numFmtId="0" fontId="12" fillId="0" borderId="7" xfId="0" applyFont="1" applyBorder="1" applyAlignment="1">
      <alignment horizontal="left" vertical="top" wrapText="1"/>
    </xf>
    <xf numFmtId="168" fontId="16" fillId="0" borderId="4" xfId="0" applyNumberFormat="1" applyFont="1" applyBorder="1" applyAlignment="1">
      <alignment horizontal="center" vertical="top" wrapText="1"/>
    </xf>
    <xf numFmtId="168" fontId="33" fillId="8" borderId="4" xfId="0" applyNumberFormat="1" applyFont="1" applyFill="1" applyBorder="1" applyAlignment="1">
      <alignment horizontal="center"/>
    </xf>
    <xf numFmtId="168" fontId="16" fillId="26" borderId="5" xfId="0" applyNumberFormat="1" applyFont="1" applyFill="1" applyBorder="1" applyAlignment="1">
      <alignment horizontal="center" vertical="top" wrapText="1"/>
    </xf>
    <xf numFmtId="1" fontId="3" fillId="0" borderId="8" xfId="0" applyNumberFormat="1" applyFont="1" applyBorder="1" applyAlignment="1">
      <alignment horizontal="center"/>
    </xf>
    <xf numFmtId="167" fontId="3" fillId="7" borderId="5" xfId="0" applyNumberFormat="1" applyFont="1" applyFill="1" applyBorder="1" applyAlignment="1">
      <alignment horizontal="center"/>
    </xf>
    <xf numFmtId="0" fontId="3" fillId="18" borderId="1" xfId="0" applyFont="1" applyFill="1" applyBorder="1" applyAlignment="1">
      <alignment horizontal="left" indent="2"/>
    </xf>
    <xf numFmtId="0" fontId="1" fillId="18" borderId="6" xfId="0" applyFont="1" applyFill="1" applyBorder="1"/>
    <xf numFmtId="167" fontId="3" fillId="18" borderId="0" xfId="0" applyNumberFormat="1" applyFont="1" applyFill="1" applyAlignment="1">
      <alignment horizontal="center"/>
    </xf>
    <xf numFmtId="0" fontId="3" fillId="18" borderId="0" xfId="0" applyFont="1" applyFill="1" applyAlignment="1">
      <alignment horizontal="center"/>
    </xf>
    <xf numFmtId="0" fontId="3" fillId="18" borderId="1" xfId="0" applyFont="1" applyFill="1" applyBorder="1" applyAlignment="1">
      <alignment horizontal="left" indent="4"/>
    </xf>
    <xf numFmtId="0" fontId="3" fillId="18" borderId="6" xfId="0" applyFont="1" applyFill="1" applyBorder="1"/>
    <xf numFmtId="0" fontId="3" fillId="18" borderId="3" xfId="0" applyFont="1" applyFill="1" applyBorder="1" applyAlignment="1">
      <alignment horizontal="left" indent="2"/>
    </xf>
    <xf numFmtId="0" fontId="12" fillId="7" borderId="36" xfId="0" applyFont="1" applyFill="1" applyBorder="1"/>
    <xf numFmtId="0" fontId="28" fillId="0" borderId="0" xfId="0" applyFont="1"/>
    <xf numFmtId="10" fontId="28" fillId="0" borderId="6" xfId="0" applyNumberFormat="1" applyFont="1" applyBorder="1" applyAlignment="1">
      <alignment horizontal="center"/>
    </xf>
    <xf numFmtId="0" fontId="3" fillId="7" borderId="14" xfId="0" applyFont="1" applyFill="1" applyBorder="1" applyAlignment="1">
      <alignment horizontal="center"/>
    </xf>
    <xf numFmtId="0" fontId="3" fillId="7" borderId="12" xfId="0" applyFont="1" applyFill="1" applyBorder="1" applyAlignment="1">
      <alignment horizontal="center"/>
    </xf>
    <xf numFmtId="10" fontId="28" fillId="0" borderId="46" xfId="0" applyNumberFormat="1" applyFont="1" applyBorder="1" applyAlignment="1">
      <alignment horizontal="center"/>
    </xf>
    <xf numFmtId="0" fontId="1" fillId="7" borderId="41" xfId="0" applyFont="1" applyFill="1" applyBorder="1"/>
    <xf numFmtId="1" fontId="28" fillId="0" borderId="0" xfId="0" applyNumberFormat="1" applyFont="1"/>
    <xf numFmtId="1" fontId="28" fillId="0" borderId="4" xfId="0" applyNumberFormat="1" applyFont="1" applyBorder="1"/>
    <xf numFmtId="0" fontId="28" fillId="0" borderId="4" xfId="0" applyFont="1" applyBorder="1"/>
    <xf numFmtId="0" fontId="22" fillId="0" borderId="1" xfId="0" applyFont="1" applyBorder="1" applyAlignment="1">
      <alignment wrapText="1"/>
    </xf>
    <xf numFmtId="0" fontId="1" fillId="0" borderId="8" xfId="0" applyFont="1" applyBorder="1"/>
    <xf numFmtId="10" fontId="28" fillId="0" borderId="0" xfId="0" applyNumberFormat="1" applyFont="1" applyAlignment="1">
      <alignment horizontal="center"/>
    </xf>
    <xf numFmtId="0" fontId="1" fillId="18" borderId="1" xfId="0" applyFont="1" applyFill="1" applyBorder="1"/>
    <xf numFmtId="0" fontId="1" fillId="18" borderId="3" xfId="0" applyFont="1" applyFill="1" applyBorder="1"/>
    <xf numFmtId="10" fontId="28" fillId="0" borderId="3" xfId="0" applyNumberFormat="1" applyFont="1" applyBorder="1" applyAlignment="1">
      <alignment horizontal="center"/>
    </xf>
    <xf numFmtId="10" fontId="28" fillId="0" borderId="4" xfId="0" applyNumberFormat="1" applyFont="1" applyBorder="1" applyAlignment="1">
      <alignment horizontal="center"/>
    </xf>
    <xf numFmtId="10" fontId="28" fillId="0" borderId="5" xfId="0" applyNumberFormat="1" applyFont="1" applyBorder="1" applyAlignment="1">
      <alignment horizontal="center"/>
    </xf>
    <xf numFmtId="0" fontId="28" fillId="0" borderId="1" xfId="0" applyFont="1" applyBorder="1" applyAlignment="1">
      <alignment wrapText="1"/>
    </xf>
    <xf numFmtId="2" fontId="28" fillId="0" borderId="0" xfId="0" applyNumberFormat="1" applyFont="1" applyAlignment="1">
      <alignment horizontal="center"/>
    </xf>
    <xf numFmtId="2" fontId="34" fillId="0" borderId="0" xfId="0" applyNumberFormat="1" applyFont="1" applyAlignment="1">
      <alignment horizontal="center"/>
    </xf>
    <xf numFmtId="0" fontId="34" fillId="0" borderId="0" xfId="0" applyFont="1" applyAlignment="1">
      <alignment horizontal="center"/>
    </xf>
    <xf numFmtId="2" fontId="28" fillId="0" borderId="4" xfId="0" applyNumberFormat="1" applyFont="1" applyBorder="1" applyAlignment="1">
      <alignment horizontal="center"/>
    </xf>
    <xf numFmtId="2" fontId="28" fillId="0" borderId="8" xfId="0" applyNumberFormat="1" applyFont="1" applyBorder="1" applyAlignment="1">
      <alignment horizontal="center"/>
    </xf>
    <xf numFmtId="0" fontId="12" fillId="0" borderId="7" xfId="0" applyFont="1" applyBorder="1" applyAlignment="1">
      <alignment vertical="center" wrapText="1"/>
    </xf>
    <xf numFmtId="0" fontId="35" fillId="0" borderId="2" xfId="0" applyFont="1" applyBorder="1" applyAlignment="1">
      <alignment wrapText="1"/>
    </xf>
    <xf numFmtId="0" fontId="35" fillId="0" borderId="36" xfId="0" applyFont="1" applyBorder="1" applyAlignment="1">
      <alignment wrapText="1"/>
    </xf>
    <xf numFmtId="10" fontId="28" fillId="18" borderId="0" xfId="0" applyNumberFormat="1" applyFont="1" applyFill="1" applyAlignment="1">
      <alignment horizontal="center"/>
    </xf>
    <xf numFmtId="10" fontId="28" fillId="18" borderId="6" xfId="0" applyNumberFormat="1" applyFont="1" applyFill="1" applyBorder="1" applyAlignment="1">
      <alignment horizontal="center"/>
    </xf>
    <xf numFmtId="10" fontId="1" fillId="18" borderId="1" xfId="0" applyNumberFormat="1" applyFont="1" applyFill="1" applyBorder="1"/>
    <xf numFmtId="10" fontId="28" fillId="12" borderId="0" xfId="0" applyNumberFormat="1" applyFont="1" applyFill="1" applyAlignment="1">
      <alignment horizontal="center"/>
    </xf>
    <xf numFmtId="0" fontId="4" fillId="0" borderId="0" xfId="0" applyFont="1" applyAlignment="1">
      <alignment horizontal="left"/>
    </xf>
    <xf numFmtId="10" fontId="28" fillId="7" borderId="0" xfId="0" applyNumberFormat="1" applyFont="1" applyFill="1" applyAlignment="1">
      <alignment horizontal="center"/>
    </xf>
    <xf numFmtId="0" fontId="3" fillId="0" borderId="0" xfId="0" applyFont="1" applyAlignment="1">
      <alignment vertical="top"/>
    </xf>
    <xf numFmtId="10" fontId="28" fillId="0" borderId="2" xfId="0" applyNumberFormat="1" applyFont="1" applyBorder="1" applyAlignment="1">
      <alignment horizontal="center"/>
    </xf>
    <xf numFmtId="10" fontId="28" fillId="7" borderId="8" xfId="0" applyNumberFormat="1" applyFont="1" applyFill="1" applyBorder="1" applyAlignment="1">
      <alignment horizontal="center"/>
    </xf>
    <xf numFmtId="10" fontId="28" fillId="0" borderId="35" xfId="0" applyNumberFormat="1" applyFont="1" applyBorder="1" applyAlignment="1">
      <alignment horizontal="center"/>
    </xf>
    <xf numFmtId="0" fontId="4" fillId="18" borderId="6" xfId="0" applyFont="1" applyFill="1" applyBorder="1" applyAlignment="1">
      <alignment horizontal="left"/>
    </xf>
    <xf numFmtId="0" fontId="4" fillId="18" borderId="5" xfId="0" applyFont="1" applyFill="1" applyBorder="1" applyAlignment="1">
      <alignment horizontal="left"/>
    </xf>
    <xf numFmtId="10" fontId="28" fillId="18" borderId="4" xfId="0" applyNumberFormat="1" applyFont="1" applyFill="1" applyBorder="1" applyAlignment="1">
      <alignment horizontal="center"/>
    </xf>
    <xf numFmtId="10" fontId="28" fillId="18" borderId="5" xfId="0" applyNumberFormat="1" applyFont="1" applyFill="1" applyBorder="1" applyAlignment="1">
      <alignment horizontal="center"/>
    </xf>
    <xf numFmtId="10" fontId="1" fillId="0" borderId="7" xfId="0" applyNumberFormat="1" applyFont="1" applyBorder="1"/>
    <xf numFmtId="0" fontId="4" fillId="0" borderId="2" xfId="0" applyFont="1" applyBorder="1" applyAlignment="1">
      <alignment horizontal="left"/>
    </xf>
    <xf numFmtId="0" fontId="4" fillId="0" borderId="5" xfId="0" applyFont="1" applyBorder="1" applyAlignment="1">
      <alignment horizontal="left"/>
    </xf>
    <xf numFmtId="10" fontId="28" fillId="0" borderId="47" xfId="0" applyNumberFormat="1" applyFont="1" applyBorder="1" applyAlignment="1">
      <alignment horizontal="center"/>
    </xf>
    <xf numFmtId="10" fontId="28" fillId="0" borderId="48" xfId="0" applyNumberFormat="1" applyFont="1" applyBorder="1" applyAlignment="1">
      <alignment horizontal="center"/>
    </xf>
    <xf numFmtId="10" fontId="1" fillId="0" borderId="3" xfId="0" applyNumberFormat="1" applyFont="1" applyBorder="1"/>
    <xf numFmtId="0" fontId="12" fillId="0" borderId="35" xfId="0" applyFont="1" applyBorder="1" applyAlignment="1">
      <alignment vertical="center" wrapText="1"/>
    </xf>
    <xf numFmtId="10" fontId="28" fillId="7" borderId="4" xfId="0" applyNumberFormat="1" applyFont="1" applyFill="1" applyBorder="1" applyAlignment="1">
      <alignment horizontal="center"/>
    </xf>
    <xf numFmtId="10" fontId="28" fillId="0" borderId="7" xfId="0" applyNumberFormat="1" applyFont="1" applyBorder="1" applyAlignment="1">
      <alignment horizontal="center"/>
    </xf>
    <xf numFmtId="10" fontId="28" fillId="7" borderId="35" xfId="0" applyNumberFormat="1" applyFont="1" applyFill="1" applyBorder="1" applyAlignment="1">
      <alignment horizontal="center"/>
    </xf>
    <xf numFmtId="0" fontId="35" fillId="0" borderId="0" xfId="0" applyFont="1" applyAlignment="1">
      <alignment wrapText="1"/>
    </xf>
    <xf numFmtId="0" fontId="35" fillId="0" borderId="4" xfId="0" applyFont="1" applyBorder="1" applyAlignment="1">
      <alignment wrapText="1"/>
    </xf>
    <xf numFmtId="167" fontId="2" fillId="0" borderId="0" xfId="0" applyNumberFormat="1" applyFont="1" applyAlignment="1">
      <alignment wrapText="1"/>
    </xf>
    <xf numFmtId="0" fontId="4" fillId="0" borderId="8" xfId="0" applyFont="1" applyBorder="1" applyAlignment="1">
      <alignment horizontal="left"/>
    </xf>
    <xf numFmtId="0" fontId="4" fillId="0" borderId="4" xfId="0" applyFont="1" applyBorder="1" applyAlignment="1">
      <alignment horizontal="left"/>
    </xf>
    <xf numFmtId="178" fontId="1" fillId="0" borderId="0" xfId="0" applyNumberFormat="1" applyFont="1"/>
    <xf numFmtId="10" fontId="28" fillId="0" borderId="8" xfId="0" applyNumberFormat="1" applyFont="1" applyBorder="1" applyAlignment="1">
      <alignment horizontal="center"/>
    </xf>
    <xf numFmtId="10" fontId="28" fillId="0" borderId="1" xfId="0" applyNumberFormat="1" applyFont="1" applyBorder="1" applyAlignment="1">
      <alignment horizontal="center"/>
    </xf>
    <xf numFmtId="3" fontId="3" fillId="0" borderId="8" xfId="0" applyNumberFormat="1" applyFont="1" applyBorder="1" applyAlignment="1">
      <alignment horizontal="center"/>
    </xf>
    <xf numFmtId="2" fontId="3" fillId="0" borderId="1" xfId="0" applyNumberFormat="1" applyFont="1" applyBorder="1" applyAlignment="1">
      <alignment horizontal="center"/>
    </xf>
    <xf numFmtId="2" fontId="3" fillId="0" borderId="3" xfId="0" applyNumberFormat="1" applyFont="1" applyBorder="1" applyAlignment="1">
      <alignment horizontal="center"/>
    </xf>
    <xf numFmtId="2" fontId="3" fillId="0" borderId="0" xfId="0" applyNumberFormat="1" applyFont="1"/>
    <xf numFmtId="0" fontId="3" fillId="8" borderId="14" xfId="0" applyFont="1" applyFill="1" applyBorder="1"/>
    <xf numFmtId="3" fontId="3" fillId="0" borderId="1" xfId="0" applyNumberFormat="1" applyFont="1" applyBorder="1" applyAlignment="1">
      <alignment horizontal="center"/>
    </xf>
    <xf numFmtId="167" fontId="3" fillId="0" borderId="5" xfId="0" applyNumberFormat="1" applyFont="1" applyBorder="1" applyAlignment="1">
      <alignment horizontal="center"/>
    </xf>
    <xf numFmtId="0" fontId="3" fillId="8" borderId="12" xfId="0" applyFont="1" applyFill="1" applyBorder="1" applyAlignment="1">
      <alignment horizontal="center" wrapText="1"/>
    </xf>
    <xf numFmtId="0" fontId="3" fillId="7" borderId="37" xfId="0" applyFont="1" applyFill="1" applyBorder="1" applyAlignment="1">
      <alignment horizontal="center" wrapText="1"/>
    </xf>
    <xf numFmtId="0" fontId="3" fillId="7" borderId="15" xfId="0" applyFont="1" applyFill="1" applyBorder="1" applyAlignment="1">
      <alignment horizontal="center" wrapText="1"/>
    </xf>
    <xf numFmtId="14" fontId="3" fillId="7" borderId="14" xfId="0" applyNumberFormat="1" applyFont="1" applyFill="1" applyBorder="1" applyAlignment="1">
      <alignment horizontal="right"/>
    </xf>
    <xf numFmtId="3" fontId="3" fillId="0" borderId="7" xfId="0" applyNumberFormat="1" applyFont="1" applyBorder="1" applyAlignment="1">
      <alignment horizontal="center"/>
    </xf>
    <xf numFmtId="3" fontId="3" fillId="0" borderId="0" xfId="0" applyNumberFormat="1" applyFont="1" applyAlignment="1">
      <alignment wrapText="1"/>
    </xf>
    <xf numFmtId="0" fontId="36"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7" borderId="13" xfId="0" applyNumberFormat="1" applyFont="1" applyFill="1" applyBorder="1" applyAlignment="1">
      <alignment horizontal="right"/>
    </xf>
    <xf numFmtId="14" fontId="3" fillId="7" borderId="12" xfId="0" applyNumberFormat="1" applyFont="1" applyFill="1" applyBorder="1" applyAlignment="1">
      <alignment horizontal="right"/>
    </xf>
    <xf numFmtId="0" fontId="3" fillId="7" borderId="3" xfId="0" applyFont="1" applyFill="1" applyBorder="1" applyAlignment="1">
      <alignment horizontal="center" wrapText="1"/>
    </xf>
    <xf numFmtId="0" fontId="3" fillId="7" borderId="4" xfId="0" applyFont="1" applyFill="1" applyBorder="1" applyAlignment="1">
      <alignment horizontal="center" wrapText="1"/>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6" xfId="0" applyFont="1" applyFill="1" applyBorder="1" applyAlignment="1">
      <alignment horizontal="center"/>
    </xf>
    <xf numFmtId="165" fontId="1" fillId="12" borderId="5" xfId="0" applyNumberFormat="1" applyFont="1" applyFill="1" applyBorder="1" applyAlignment="1">
      <alignment horizontal="center"/>
    </xf>
    <xf numFmtId="0" fontId="4" fillId="0" borderId="7" xfId="0" applyFont="1" applyBorder="1" applyAlignment="1">
      <alignment horizontal="left" wrapText="1" indent="2"/>
    </xf>
    <xf numFmtId="0" fontId="1" fillId="7" borderId="4" xfId="0" applyFont="1" applyFill="1" applyBorder="1" applyAlignment="1">
      <alignment horizontal="center"/>
    </xf>
    <xf numFmtId="165" fontId="1" fillId="0" borderId="35" xfId="0" applyNumberFormat="1" applyFont="1" applyBorder="1" applyAlignment="1">
      <alignment horizontal="center"/>
    </xf>
    <xf numFmtId="165" fontId="1" fillId="7" borderId="2" xfId="0" applyNumberFormat="1" applyFont="1" applyFill="1" applyBorder="1" applyAlignment="1">
      <alignment horizontal="center"/>
    </xf>
    <xf numFmtId="165" fontId="1" fillId="0" borderId="0" xfId="0" applyNumberFormat="1" applyFont="1" applyAlignment="1">
      <alignment horizontal="center"/>
    </xf>
    <xf numFmtId="0" fontId="1" fillId="3" borderId="11" xfId="0" applyFont="1" applyFill="1" applyBorder="1" applyAlignment="1">
      <alignment wrapText="1"/>
    </xf>
    <xf numFmtId="0" fontId="1" fillId="12" borderId="5" xfId="0" applyFont="1" applyFill="1" applyBorder="1" applyAlignment="1">
      <alignment horizontal="center"/>
    </xf>
    <xf numFmtId="165" fontId="1" fillId="7" borderId="0" xfId="0" applyNumberFormat="1" applyFont="1" applyFill="1" applyAlignment="1">
      <alignment horizontal="center"/>
    </xf>
    <xf numFmtId="165" fontId="1" fillId="7" borderId="35" xfId="0" applyNumberFormat="1" applyFont="1" applyFill="1" applyBorder="1" applyAlignment="1">
      <alignment horizontal="center"/>
    </xf>
    <xf numFmtId="0" fontId="1" fillId="0" borderId="7" xfId="0" applyFont="1" applyBorder="1" applyAlignment="1">
      <alignment horizontal="left" wrapText="1" indent="2"/>
    </xf>
    <xf numFmtId="0" fontId="1" fillId="0" borderId="35" xfId="0" applyFont="1" applyBorder="1" applyAlignment="1">
      <alignment horizontal="left" wrapText="1" indent="2"/>
    </xf>
    <xf numFmtId="165" fontId="1" fillId="7" borderId="6" xfId="0" applyNumberFormat="1" applyFont="1" applyFill="1" applyBorder="1" applyAlignment="1">
      <alignment horizontal="center"/>
    </xf>
    <xf numFmtId="0" fontId="1" fillId="7" borderId="5" xfId="0" applyFont="1" applyFill="1" applyBorder="1" applyAlignment="1">
      <alignment horizontal="center"/>
    </xf>
    <xf numFmtId="0" fontId="1" fillId="0" borderId="1" xfId="0" applyFont="1" applyBorder="1" applyAlignment="1">
      <alignment horizontal="left" wrapText="1" indent="2"/>
    </xf>
    <xf numFmtId="0" fontId="1" fillId="0" borderId="1" xfId="0" applyFont="1" applyBorder="1" applyAlignment="1">
      <alignment horizontal="left" indent="2"/>
    </xf>
    <xf numFmtId="0" fontId="1" fillId="0" borderId="0" xfId="0" applyFont="1" applyAlignment="1">
      <alignment horizontal="right"/>
    </xf>
    <xf numFmtId="0" fontId="1" fillId="0" borderId="3" xfId="0" applyFont="1" applyBorder="1" applyAlignment="1">
      <alignment horizontal="left" indent="2"/>
    </xf>
    <xf numFmtId="0" fontId="1" fillId="7" borderId="14" xfId="0" applyFont="1" applyFill="1" applyBorder="1" applyAlignment="1">
      <alignment horizontal="center" wrapText="1"/>
    </xf>
    <xf numFmtId="0" fontId="1" fillId="3" borderId="15" xfId="0" applyFont="1" applyFill="1" applyBorder="1" applyAlignment="1">
      <alignment wrapText="1"/>
    </xf>
    <xf numFmtId="0" fontId="1" fillId="0" borderId="0" xfId="0" applyFont="1" applyAlignment="1">
      <alignment horizontal="left" vertical="top" wrapText="1"/>
    </xf>
    <xf numFmtId="0" fontId="1" fillId="0" borderId="4" xfId="0" applyFont="1" applyBorder="1" applyAlignment="1">
      <alignment horizontal="left" indent="2"/>
    </xf>
    <xf numFmtId="0" fontId="1" fillId="0" borderId="8" xfId="0" applyFont="1" applyBorder="1" applyAlignment="1">
      <alignment horizontal="left" wrapText="1" indent="2"/>
    </xf>
    <xf numFmtId="0" fontId="16" fillId="8" borderId="5" xfId="0" applyFont="1" applyFill="1" applyBorder="1" applyAlignment="1">
      <alignment horizontal="center"/>
    </xf>
    <xf numFmtId="0" fontId="1" fillId="0" borderId="12" xfId="0" applyFont="1" applyBorder="1" applyAlignment="1">
      <alignment horizontal="left"/>
    </xf>
    <xf numFmtId="0" fontId="1" fillId="7" borderId="3" xfId="0" applyFont="1" applyFill="1" applyBorder="1" applyAlignment="1">
      <alignment horizontal="center"/>
    </xf>
    <xf numFmtId="165" fontId="1" fillId="0" borderId="4" xfId="0" applyNumberFormat="1" applyFont="1" applyBorder="1" applyAlignment="1">
      <alignment horizontal="center"/>
    </xf>
    <xf numFmtId="165" fontId="1" fillId="0" borderId="5" xfId="0" applyNumberFormat="1" applyFont="1" applyBorder="1" applyAlignment="1">
      <alignment horizontal="center"/>
    </xf>
    <xf numFmtId="0" fontId="16" fillId="8" borderId="0" xfId="0" applyFont="1" applyFill="1" applyAlignment="1">
      <alignment horizontal="center"/>
    </xf>
    <xf numFmtId="0" fontId="16" fillId="8" borderId="6" xfId="0" applyFont="1" applyFill="1" applyBorder="1" applyAlignment="1">
      <alignment horizontal="center"/>
    </xf>
    <xf numFmtId="0" fontId="16" fillId="7" borderId="0" xfId="0" applyFont="1" applyFill="1" applyAlignment="1">
      <alignment horizontal="center"/>
    </xf>
    <xf numFmtId="0" fontId="16" fillId="0" borderId="5" xfId="0" applyFont="1" applyBorder="1" applyAlignment="1">
      <alignment horizontal="center"/>
    </xf>
    <xf numFmtId="0" fontId="3" fillId="8" borderId="13" xfId="0" applyFont="1" applyFill="1" applyBorder="1" applyAlignment="1">
      <alignment horizontal="center"/>
    </xf>
    <xf numFmtId="0" fontId="16" fillId="7" borderId="6" xfId="0" applyFont="1" applyFill="1" applyBorder="1" applyAlignment="1">
      <alignment horizontal="center"/>
    </xf>
    <xf numFmtId="0" fontId="1" fillId="0" borderId="1" xfId="0" applyFont="1" applyBorder="1" applyAlignment="1">
      <alignment horizontal="center"/>
    </xf>
    <xf numFmtId="0" fontId="16" fillId="8" borderId="4" xfId="0" applyFont="1" applyFill="1" applyBorder="1" applyAlignment="1">
      <alignment horizontal="center"/>
    </xf>
    <xf numFmtId="0" fontId="3" fillId="0" borderId="4" xfId="0" applyFont="1" applyBorder="1" applyAlignment="1">
      <alignment horizontal="right" vertical="center"/>
    </xf>
    <xf numFmtId="0" fontId="38" fillId="0" borderId="0" xfId="0" applyFont="1" applyAlignment="1">
      <alignment vertical="center"/>
    </xf>
    <xf numFmtId="0" fontId="36" fillId="0" borderId="0" xfId="0" applyFont="1" applyAlignment="1">
      <alignment horizontal="left"/>
    </xf>
    <xf numFmtId="165" fontId="3" fillId="0" borderId="0" xfId="0" applyNumberFormat="1" applyFont="1" applyAlignment="1">
      <alignment horizontal="right"/>
    </xf>
    <xf numFmtId="3" fontId="3" fillId="0" borderId="4" xfId="0" applyNumberFormat="1" applyFont="1" applyBorder="1"/>
    <xf numFmtId="1" fontId="3" fillId="0" borderId="0" xfId="0" applyNumberFormat="1" applyFont="1" applyAlignment="1">
      <alignment horizontal="right"/>
    </xf>
    <xf numFmtId="0" fontId="3" fillId="0" borderId="4"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4" xfId="0" applyFont="1" applyBorder="1" applyAlignment="1">
      <alignment vertical="center"/>
    </xf>
    <xf numFmtId="3" fontId="3" fillId="0" borderId="8" xfId="0" applyNumberFormat="1" applyFont="1" applyBorder="1" applyAlignment="1">
      <alignment horizontal="right"/>
    </xf>
    <xf numFmtId="3" fontId="3" fillId="0" borderId="4" xfId="0" applyNumberFormat="1" applyFont="1" applyBorder="1" applyAlignment="1">
      <alignment horizontal="right"/>
    </xf>
    <xf numFmtId="0" fontId="39" fillId="0" borderId="0" xfId="0" applyFont="1" applyAlignment="1">
      <alignment horizontal="left"/>
    </xf>
    <xf numFmtId="0" fontId="39" fillId="0" borderId="0" xfId="0" applyFont="1" applyAlignment="1">
      <alignment horizontal="center" wrapText="1"/>
    </xf>
    <xf numFmtId="1" fontId="40" fillId="0" borderId="49" xfId="0" applyNumberFormat="1" applyFont="1" applyBorder="1" applyAlignment="1">
      <alignment horizontal="center" vertical="top"/>
    </xf>
    <xf numFmtId="0" fontId="39" fillId="28" borderId="49" xfId="0" applyFont="1" applyFill="1" applyBorder="1" applyAlignment="1">
      <alignment horizontal="center" vertical="top"/>
    </xf>
    <xf numFmtId="0" fontId="39" fillId="0" borderId="0" xfId="0" applyFont="1" applyAlignment="1">
      <alignment horizontal="center"/>
    </xf>
    <xf numFmtId="0" fontId="39" fillId="0" borderId="0" xfId="0" applyFont="1" applyAlignment="1">
      <alignment horizontal="left" wrapText="1"/>
    </xf>
    <xf numFmtId="0" fontId="40" fillId="0" borderId="0" xfId="0" applyFont="1" applyAlignment="1">
      <alignment horizontal="left" vertical="top"/>
    </xf>
    <xf numFmtId="0" fontId="40" fillId="0" borderId="0" xfId="0" applyFont="1" applyAlignment="1">
      <alignment horizontal="center" vertical="top" wrapText="1"/>
    </xf>
    <xf numFmtId="1" fontId="40" fillId="15" borderId="0" xfId="0" applyNumberFormat="1" applyFont="1" applyFill="1" applyAlignment="1">
      <alignment horizontal="center" vertical="top"/>
    </xf>
    <xf numFmtId="0" fontId="39" fillId="15" borderId="0" xfId="0" applyFont="1" applyFill="1" applyAlignment="1">
      <alignment horizontal="center" vertical="top"/>
    </xf>
    <xf numFmtId="0" fontId="39" fillId="15" borderId="0" xfId="0" applyFont="1" applyFill="1" applyAlignment="1">
      <alignment horizontal="left" vertical="top" wrapText="1"/>
    </xf>
    <xf numFmtId="0" fontId="39" fillId="0" borderId="0" xfId="0" applyFont="1" applyAlignment="1">
      <alignment horizontal="left" vertical="top" wrapText="1"/>
    </xf>
    <xf numFmtId="0" fontId="40" fillId="0" borderId="36" xfId="0" applyFont="1" applyBorder="1" applyAlignment="1">
      <alignment horizontal="left" vertical="top"/>
    </xf>
    <xf numFmtId="0" fontId="40" fillId="0" borderId="36" xfId="0" applyFont="1" applyBorder="1" applyAlignment="1">
      <alignment horizontal="center" vertical="top" wrapText="1"/>
    </xf>
    <xf numFmtId="1" fontId="40" fillId="3" borderId="36" xfId="0" applyNumberFormat="1" applyFont="1" applyFill="1" applyBorder="1" applyAlignment="1">
      <alignment horizontal="center" vertical="top"/>
    </xf>
    <xf numFmtId="3" fontId="40" fillId="3" borderId="36" xfId="0" applyNumberFormat="1" applyFont="1" applyFill="1" applyBorder="1" applyAlignment="1">
      <alignment horizontal="center" vertical="top"/>
    </xf>
    <xf numFmtId="0" fontId="39" fillId="3" borderId="36" xfId="0" applyFont="1" applyFill="1" applyBorder="1" applyAlignment="1">
      <alignment horizontal="center" vertical="top"/>
    </xf>
    <xf numFmtId="0" fontId="39" fillId="0" borderId="36" xfId="0" applyFont="1" applyBorder="1" applyAlignment="1">
      <alignment horizontal="left" vertical="top" wrapText="1"/>
    </xf>
    <xf numFmtId="0" fontId="40" fillId="0" borderId="8" xfId="0" applyFont="1" applyBorder="1" applyAlignment="1">
      <alignment horizontal="left" vertical="top"/>
    </xf>
    <xf numFmtId="0" fontId="40" fillId="0" borderId="8" xfId="0" applyFont="1" applyBorder="1" applyAlignment="1">
      <alignment horizontal="center" vertical="top" wrapText="1"/>
    </xf>
    <xf numFmtId="3" fontId="41" fillId="0" borderId="0" xfId="0" applyNumberFormat="1" applyFont="1" applyAlignment="1">
      <alignment vertical="top"/>
    </xf>
    <xf numFmtId="0" fontId="40" fillId="15" borderId="8" xfId="0" applyFont="1" applyFill="1" applyBorder="1" applyAlignment="1">
      <alignment horizontal="center" vertical="top"/>
    </xf>
    <xf numFmtId="0" fontId="39" fillId="0" borderId="8" xfId="0" applyFont="1" applyBorder="1" applyAlignment="1">
      <alignment horizontal="left" vertical="top" wrapText="1"/>
    </xf>
    <xf numFmtId="0" fontId="39" fillId="0" borderId="0" xfId="0" applyFont="1" applyAlignment="1">
      <alignment horizontal="left" vertical="top"/>
    </xf>
    <xf numFmtId="0" fontId="39" fillId="0" borderId="0" xfId="0" applyFont="1" applyAlignment="1">
      <alignment horizontal="center" vertical="top" wrapText="1"/>
    </xf>
    <xf numFmtId="3" fontId="40" fillId="15" borderId="0" xfId="0" applyNumberFormat="1" applyFont="1" applyFill="1" applyAlignment="1">
      <alignment horizontal="center" vertical="top"/>
    </xf>
    <xf numFmtId="0" fontId="40" fillId="15" borderId="0" xfId="0" applyFont="1" applyFill="1" applyAlignment="1">
      <alignment horizontal="center" vertical="top"/>
    </xf>
    <xf numFmtId="1" fontId="39" fillId="15" borderId="0" xfId="0" applyNumberFormat="1" applyFont="1" applyFill="1" applyAlignment="1">
      <alignment horizontal="center" vertical="top"/>
    </xf>
    <xf numFmtId="0" fontId="39" fillId="0" borderId="0" xfId="0" applyFont="1" applyAlignment="1">
      <alignment horizontal="center" vertical="top"/>
    </xf>
    <xf numFmtId="1" fontId="39" fillId="15" borderId="0" xfId="0" applyNumberFormat="1" applyFont="1" applyFill="1" applyAlignment="1">
      <alignment horizontal="center"/>
    </xf>
    <xf numFmtId="1" fontId="39" fillId="15" borderId="0" xfId="0" applyNumberFormat="1" applyFont="1" applyFill="1" applyAlignment="1">
      <alignment horizontal="center" vertical="center"/>
    </xf>
    <xf numFmtId="1" fontId="40" fillId="15" borderId="0" xfId="0" applyNumberFormat="1" applyFont="1" applyFill="1" applyAlignment="1">
      <alignment horizontal="center" vertical="center"/>
    </xf>
    <xf numFmtId="0" fontId="39" fillId="0" borderId="0" xfId="0" applyFont="1" applyAlignment="1">
      <alignment horizontal="left" vertical="center"/>
    </xf>
    <xf numFmtId="0" fontId="39" fillId="0" borderId="0" xfId="0" applyFont="1" applyAlignment="1">
      <alignment horizontal="center" vertical="center" wrapText="1"/>
    </xf>
    <xf numFmtId="0" fontId="40" fillId="0" borderId="0" xfId="0" applyFont="1" applyAlignment="1">
      <alignment horizontal="left" vertical="top" wrapText="1"/>
    </xf>
    <xf numFmtId="1" fontId="40" fillId="15" borderId="8" xfId="0" applyNumberFormat="1" applyFont="1" applyFill="1" applyBorder="1" applyAlignment="1">
      <alignment horizontal="center" vertical="top"/>
    </xf>
    <xf numFmtId="3" fontId="40" fillId="15" borderId="8" xfId="0" applyNumberFormat="1" applyFont="1" applyFill="1" applyBorder="1" applyAlignment="1">
      <alignment horizontal="center" vertical="top"/>
    </xf>
    <xf numFmtId="0" fontId="39" fillId="15" borderId="8" xfId="0" applyFont="1" applyFill="1" applyBorder="1" applyAlignment="1">
      <alignment horizontal="center" vertical="top"/>
    </xf>
    <xf numFmtId="0" fontId="11" fillId="15" borderId="8" xfId="0" applyFont="1" applyFill="1" applyBorder="1" applyAlignment="1">
      <alignment horizontal="left" vertical="top" wrapText="1"/>
    </xf>
    <xf numFmtId="0" fontId="40" fillId="28" borderId="0" xfId="0" applyFont="1" applyFill="1" applyAlignment="1">
      <alignment horizontal="center"/>
    </xf>
    <xf numFmtId="0" fontId="39" fillId="28" borderId="0" xfId="0" applyFont="1" applyFill="1" applyAlignment="1">
      <alignment horizontal="left" wrapText="1"/>
    </xf>
    <xf numFmtId="1" fontId="40" fillId="29" borderId="0" xfId="0" applyNumberFormat="1" applyFont="1" applyFill="1" applyAlignment="1">
      <alignment horizontal="center" vertical="top"/>
    </xf>
    <xf numFmtId="3" fontId="40" fillId="29" borderId="0" xfId="0" applyNumberFormat="1" applyFont="1" applyFill="1" applyAlignment="1">
      <alignment horizontal="center" vertical="top"/>
    </xf>
    <xf numFmtId="0" fontId="39" fillId="29" borderId="0" xfId="0" applyFont="1" applyFill="1" applyAlignment="1">
      <alignment horizontal="center" vertical="top"/>
    </xf>
    <xf numFmtId="0" fontId="39" fillId="29" borderId="0" xfId="0" applyFont="1" applyFill="1" applyAlignment="1">
      <alignment horizontal="left" vertical="top" wrapText="1"/>
    </xf>
    <xf numFmtId="1" fontId="39" fillId="30" borderId="0" xfId="0" applyNumberFormat="1" applyFont="1" applyFill="1" applyAlignment="1">
      <alignment horizontal="center" vertical="top"/>
    </xf>
    <xf numFmtId="0" fontId="39" fillId="30" borderId="0" xfId="0" applyFont="1" applyFill="1" applyAlignment="1">
      <alignment horizontal="center" vertical="top"/>
    </xf>
    <xf numFmtId="0" fontId="39" fillId="30" borderId="0" xfId="0" applyFont="1" applyFill="1" applyAlignment="1">
      <alignment horizontal="left" vertical="top" wrapText="1"/>
    </xf>
    <xf numFmtId="1" fontId="39" fillId="30" borderId="0" xfId="0" applyNumberFormat="1" applyFont="1" applyFill="1" applyAlignment="1">
      <alignment horizontal="center"/>
    </xf>
    <xf numFmtId="1" fontId="40" fillId="30" borderId="0" xfId="0" applyNumberFormat="1" applyFont="1" applyFill="1" applyAlignment="1">
      <alignment horizontal="center" vertical="top"/>
    </xf>
    <xf numFmtId="3" fontId="40" fillId="30" borderId="0" xfId="0" applyNumberFormat="1" applyFont="1" applyFill="1" applyAlignment="1">
      <alignment horizontal="center" vertical="top"/>
    </xf>
    <xf numFmtId="1" fontId="40" fillId="31" borderId="0" xfId="0" applyNumberFormat="1" applyFont="1" applyFill="1" applyAlignment="1">
      <alignment horizontal="center" vertical="top"/>
    </xf>
    <xf numFmtId="0" fontId="39" fillId="31" borderId="0" xfId="0" applyFont="1" applyFill="1" applyAlignment="1">
      <alignment horizontal="center" vertical="top"/>
    </xf>
    <xf numFmtId="3" fontId="40" fillId="31" borderId="0" xfId="0" applyNumberFormat="1" applyFont="1" applyFill="1" applyAlignment="1">
      <alignment horizontal="center" vertical="top"/>
    </xf>
    <xf numFmtId="0" fontId="40" fillId="31" borderId="0" xfId="0" applyFont="1" applyFill="1" applyAlignment="1">
      <alignment horizontal="center" vertical="top"/>
    </xf>
    <xf numFmtId="0" fontId="40" fillId="32" borderId="0" xfId="0" applyFont="1" applyFill="1" applyAlignment="1">
      <alignment horizontal="left" vertical="top"/>
    </xf>
    <xf numFmtId="0" fontId="40" fillId="32" borderId="0" xfId="0" applyFont="1" applyFill="1" applyAlignment="1">
      <alignment horizontal="center" vertical="top" wrapText="1"/>
    </xf>
    <xf numFmtId="0" fontId="39" fillId="32" borderId="0" xfId="0" applyFont="1" applyFill="1" applyAlignment="1">
      <alignment horizontal="left" vertical="top" wrapText="1"/>
    </xf>
    <xf numFmtId="1" fontId="40" fillId="31" borderId="41" xfId="0" applyNumberFormat="1" applyFont="1" applyFill="1" applyBorder="1" applyAlignment="1">
      <alignment horizontal="center" vertical="top"/>
    </xf>
    <xf numFmtId="1" fontId="40" fillId="31" borderId="36" xfId="0" applyNumberFormat="1" applyFont="1" applyFill="1" applyBorder="1" applyAlignment="1">
      <alignment horizontal="center" vertical="top"/>
    </xf>
    <xf numFmtId="3" fontId="40" fillId="31" borderId="36" xfId="0" applyNumberFormat="1" applyFont="1" applyFill="1" applyBorder="1" applyAlignment="1">
      <alignment horizontal="center" vertical="top"/>
    </xf>
    <xf numFmtId="0" fontId="39" fillId="31" borderId="15" xfId="0" applyFont="1" applyFill="1" applyBorder="1" applyAlignment="1">
      <alignment horizontal="center" vertical="top" wrapText="1"/>
    </xf>
    <xf numFmtId="1" fontId="40" fillId="7" borderId="0" xfId="0" applyNumberFormat="1" applyFont="1" applyFill="1" applyAlignment="1">
      <alignment horizontal="center" vertical="top"/>
    </xf>
    <xf numFmtId="1" fontId="39" fillId="7" borderId="0" xfId="0" applyNumberFormat="1" applyFont="1" applyFill="1" applyAlignment="1">
      <alignment horizontal="center" vertical="top"/>
    </xf>
    <xf numFmtId="1" fontId="41" fillId="0" borderId="0" xfId="0" applyNumberFormat="1" applyFont="1" applyAlignment="1">
      <alignment horizontal="center" vertical="top"/>
    </xf>
    <xf numFmtId="0" fontId="42" fillId="28" borderId="0" xfId="0" applyFont="1" applyFill="1" applyAlignment="1">
      <alignment vertical="top"/>
    </xf>
    <xf numFmtId="0" fontId="40" fillId="15" borderId="35" xfId="0" applyFont="1" applyFill="1" applyBorder="1" applyAlignment="1">
      <alignment horizontal="center" vertical="top"/>
    </xf>
    <xf numFmtId="0" fontId="39" fillId="15" borderId="35" xfId="0" applyFont="1" applyFill="1" applyBorder="1" applyAlignment="1">
      <alignment horizontal="center" vertical="top"/>
    </xf>
    <xf numFmtId="0" fontId="39" fillId="31" borderId="0" xfId="0" applyFont="1" applyFill="1" applyAlignment="1">
      <alignment horizontal="center" vertical="top" wrapText="1"/>
    </xf>
    <xf numFmtId="0" fontId="40" fillId="7" borderId="0" xfId="0" applyFont="1" applyFill="1" applyAlignment="1">
      <alignment horizontal="center" vertical="top"/>
    </xf>
    <xf numFmtId="0" fontId="11" fillId="0" borderId="0" xfId="0" applyFont="1" applyAlignment="1">
      <alignment horizontal="left" vertical="top" wrapText="1"/>
    </xf>
    <xf numFmtId="1" fontId="40" fillId="16" borderId="0" xfId="0" applyNumberFormat="1" applyFont="1" applyFill="1" applyAlignment="1">
      <alignment horizontal="center" vertical="top"/>
    </xf>
    <xf numFmtId="3" fontId="40" fillId="16" borderId="0" xfId="0" applyNumberFormat="1" applyFont="1" applyFill="1" applyAlignment="1">
      <alignment horizontal="center" vertical="top"/>
    </xf>
    <xf numFmtId="0" fontId="40" fillId="0" borderId="0" xfId="0" applyFont="1" applyAlignment="1">
      <alignment horizontal="center" vertical="top"/>
    </xf>
    <xf numFmtId="0" fontId="39" fillId="16" borderId="0" xfId="0" applyFont="1" applyFill="1" applyAlignment="1">
      <alignment horizontal="left" vertical="top" wrapText="1"/>
    </xf>
    <xf numFmtId="0" fontId="39" fillId="16" borderId="0" xfId="0" applyFont="1" applyFill="1" applyAlignment="1">
      <alignment horizontal="center" vertical="top"/>
    </xf>
    <xf numFmtId="0" fontId="40" fillId="16" borderId="0" xfId="0" applyFont="1" applyFill="1" applyAlignment="1">
      <alignment horizontal="center" vertical="top"/>
    </xf>
    <xf numFmtId="0" fontId="43" fillId="16" borderId="0" xfId="0" applyFont="1" applyFill="1" applyAlignment="1">
      <alignment horizontal="left" vertical="top" wrapText="1"/>
    </xf>
    <xf numFmtId="1" fontId="41" fillId="0" borderId="49" xfId="0" applyNumberFormat="1" applyFont="1" applyBorder="1" applyAlignment="1">
      <alignment vertical="top"/>
    </xf>
    <xf numFmtId="1" fontId="41" fillId="0" borderId="49" xfId="0" applyNumberFormat="1" applyFont="1" applyBorder="1" applyAlignment="1">
      <alignment horizontal="right" vertical="top"/>
    </xf>
    <xf numFmtId="0" fontId="42" fillId="28" borderId="49" xfId="0" applyFont="1" applyFill="1" applyBorder="1" applyAlignment="1">
      <alignment vertical="top"/>
    </xf>
    <xf numFmtId="0" fontId="1" fillId="0" borderId="41" xfId="0" applyFont="1" applyBorder="1"/>
    <xf numFmtId="0" fontId="1" fillId="0" borderId="36" xfId="0" applyFont="1" applyBorder="1"/>
    <xf numFmtId="3" fontId="1" fillId="0" borderId="36" xfId="0" applyNumberFormat="1" applyFont="1" applyBorder="1"/>
    <xf numFmtId="3" fontId="1" fillId="0" borderId="15" xfId="0" applyNumberFormat="1" applyFont="1" applyBorder="1"/>
    <xf numFmtId="1" fontId="41" fillId="0" borderId="0" xfId="0" applyNumberFormat="1" applyFont="1" applyAlignment="1">
      <alignment vertical="top"/>
    </xf>
    <xf numFmtId="1" fontId="41" fillId="0" borderId="0" xfId="0" applyNumberFormat="1" applyFont="1" applyAlignment="1">
      <alignment horizontal="right" vertical="top"/>
    </xf>
    <xf numFmtId="0" fontId="42" fillId="28" borderId="4" xfId="0" applyFont="1" applyFill="1" applyBorder="1" applyAlignment="1">
      <alignment vertical="top"/>
    </xf>
    <xf numFmtId="1" fontId="44" fillId="0" borderId="0" xfId="0" applyNumberFormat="1" applyFont="1"/>
    <xf numFmtId="1" fontId="39" fillId="16" borderId="0" xfId="0" applyNumberFormat="1" applyFont="1" applyFill="1" applyAlignment="1">
      <alignment horizontal="center"/>
    </xf>
    <xf numFmtId="0" fontId="40" fillId="28" borderId="0" xfId="0" applyFont="1" applyFill="1" applyAlignment="1">
      <alignment horizontal="center" vertical="center"/>
    </xf>
    <xf numFmtId="0" fontId="39" fillId="28" borderId="0" xfId="0" applyFont="1" applyFill="1" applyAlignment="1">
      <alignment horizontal="left" vertical="center" wrapText="1"/>
    </xf>
    <xf numFmtId="1" fontId="40" fillId="6" borderId="0" xfId="0" applyNumberFormat="1" applyFont="1" applyFill="1" applyAlignment="1">
      <alignment horizontal="center" vertical="top"/>
    </xf>
    <xf numFmtId="0" fontId="39" fillId="6" borderId="0" xfId="0" applyFont="1" applyFill="1" applyAlignment="1">
      <alignment horizontal="center" vertical="top"/>
    </xf>
    <xf numFmtId="0" fontId="44" fillId="0" borderId="0" xfId="0" applyFont="1"/>
    <xf numFmtId="0" fontId="2" fillId="15" borderId="0" xfId="0" applyFont="1" applyFill="1" applyAlignment="1">
      <alignment horizontal="left"/>
    </xf>
    <xf numFmtId="0" fontId="2" fillId="6" borderId="0" xfId="0" applyFont="1" applyFill="1" applyAlignment="1">
      <alignment horizontal="left"/>
    </xf>
    <xf numFmtId="0" fontId="2" fillId="8" borderId="0" xfId="0" applyFont="1" applyFill="1" applyAlignment="1">
      <alignment horizontal="left"/>
    </xf>
    <xf numFmtId="0" fontId="2" fillId="33" borderId="0" xfId="0" applyFont="1" applyFill="1" applyAlignment="1">
      <alignment horizontal="left"/>
    </xf>
    <xf numFmtId="0" fontId="2" fillId="31" borderId="0" xfId="0" applyFont="1" applyFill="1" applyAlignment="1">
      <alignment horizontal="left"/>
    </xf>
    <xf numFmtId="0" fontId="2" fillId="3" borderId="0" xfId="0" applyFont="1" applyFill="1" applyAlignment="1">
      <alignment horizontal="left"/>
    </xf>
    <xf numFmtId="169" fontId="44" fillId="0" borderId="0" xfId="0" applyNumberFormat="1" applyFont="1"/>
    <xf numFmtId="2" fontId="44" fillId="0" borderId="0" xfId="0" applyNumberFormat="1" applyFont="1"/>
    <xf numFmtId="0" fontId="45"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46" fillId="0" borderId="0" xfId="0" applyFont="1" applyAlignment="1">
      <alignment horizontal="left" vertical="top"/>
    </xf>
    <xf numFmtId="0" fontId="12" fillId="0" borderId="0" xfId="0" applyFont="1" applyAlignment="1">
      <alignment horizontal="left"/>
    </xf>
    <xf numFmtId="0" fontId="47" fillId="0" borderId="0" xfId="0" applyFont="1"/>
    <xf numFmtId="0" fontId="12" fillId="34" borderId="0" xfId="0" applyFont="1" applyFill="1"/>
    <xf numFmtId="0" fontId="12" fillId="34" borderId="0" xfId="0" applyFont="1" applyFill="1" applyAlignment="1">
      <alignment horizontal="left"/>
    </xf>
    <xf numFmtId="0" fontId="3" fillId="34" borderId="0" xfId="0" applyFont="1" applyFill="1" applyAlignment="1">
      <alignment horizontal="left" indent="2"/>
    </xf>
    <xf numFmtId="0" fontId="3" fillId="34" borderId="0" xfId="0" applyFont="1" applyFill="1" applyAlignment="1">
      <alignment horizontal="right"/>
    </xf>
    <xf numFmtId="0" fontId="48" fillId="0" borderId="0" xfId="0" applyFont="1" applyAlignment="1">
      <alignment horizontal="right" vertical="top"/>
    </xf>
    <xf numFmtId="3" fontId="28" fillId="0" borderId="0" xfId="0" applyNumberFormat="1" applyFont="1"/>
    <xf numFmtId="3" fontId="49" fillId="0" borderId="0" xfId="0" applyNumberFormat="1" applyFont="1" applyAlignment="1">
      <alignment horizontal="right" vertical="top"/>
    </xf>
    <xf numFmtId="0" fontId="50" fillId="36" borderId="0" xfId="0" applyFont="1" applyFill="1" applyAlignment="1">
      <alignment horizontal="right"/>
    </xf>
    <xf numFmtId="0" fontId="51" fillId="0" borderId="0" xfId="0" applyFont="1"/>
    <xf numFmtId="0" fontId="40" fillId="0" borderId="0" xfId="0" applyFont="1" applyAlignment="1">
      <alignment horizontal="right"/>
    </xf>
    <xf numFmtId="165" fontId="52" fillId="0" borderId="0" xfId="0" applyNumberFormat="1" applyFont="1" applyAlignment="1">
      <alignment horizontal="right" vertical="top"/>
    </xf>
    <xf numFmtId="165" fontId="50" fillId="36" borderId="0" xfId="0" applyNumberFormat="1" applyFont="1" applyFill="1" applyAlignment="1">
      <alignment horizontal="right"/>
    </xf>
    <xf numFmtId="3" fontId="7" fillId="0" borderId="0" xfId="0" applyNumberFormat="1" applyFont="1"/>
    <xf numFmtId="165" fontId="40" fillId="0" borderId="0" xfId="0" applyNumberFormat="1" applyFont="1" applyAlignment="1">
      <alignment horizontal="right"/>
    </xf>
    <xf numFmtId="3" fontId="40" fillId="0" borderId="0" xfId="0" applyNumberFormat="1" applyFont="1" applyAlignment="1">
      <alignment horizontal="right"/>
    </xf>
    <xf numFmtId="0" fontId="7" fillId="37" borderId="0" xfId="0" applyFont="1" applyFill="1" applyAlignment="1">
      <alignment wrapText="1"/>
    </xf>
    <xf numFmtId="0" fontId="8" fillId="37" borderId="0" xfId="0" applyFont="1" applyFill="1" applyAlignment="1">
      <alignment vertical="top"/>
    </xf>
    <xf numFmtId="0" fontId="7" fillId="37" borderId="0" xfId="0" applyFont="1" applyFill="1" applyAlignment="1">
      <alignment horizontal="right"/>
    </xf>
    <xf numFmtId="0" fontId="7" fillId="37" borderId="0" xfId="0" applyFont="1" applyFill="1"/>
    <xf numFmtId="168" fontId="7" fillId="37" borderId="0" xfId="0" applyNumberFormat="1" applyFont="1" applyFill="1" applyAlignment="1">
      <alignment horizontal="center"/>
    </xf>
    <xf numFmtId="0" fontId="1" fillId="37" borderId="0" xfId="0" applyFont="1" applyFill="1" applyAlignment="1">
      <alignment wrapText="1"/>
    </xf>
    <xf numFmtId="171" fontId="7" fillId="0" borderId="0" xfId="0" applyNumberFormat="1" applyFont="1" applyAlignment="1">
      <alignment horizontal="right"/>
    </xf>
    <xf numFmtId="0" fontId="34" fillId="37" borderId="0" xfId="0" applyFont="1" applyFill="1" applyAlignment="1">
      <alignment horizontal="center" wrapText="1"/>
    </xf>
    <xf numFmtId="0" fontId="7" fillId="37" borderId="0" xfId="0" applyFont="1" applyFill="1" applyAlignment="1">
      <alignment horizontal="center"/>
    </xf>
    <xf numFmtId="1" fontId="7" fillId="0" borderId="0" xfId="0" applyNumberFormat="1" applyFont="1" applyAlignment="1">
      <alignment horizontal="right"/>
    </xf>
    <xf numFmtId="0" fontId="8" fillId="0" borderId="0" xfId="0" applyFont="1" applyAlignment="1">
      <alignment vertical="top"/>
    </xf>
    <xf numFmtId="0" fontId="7" fillId="38" borderId="0" xfId="0" applyFont="1" applyFill="1" applyAlignment="1">
      <alignment horizontal="center" wrapText="1"/>
    </xf>
    <xf numFmtId="0" fontId="8" fillId="39" borderId="0" xfId="0" applyFont="1" applyFill="1" applyAlignment="1">
      <alignment vertical="top"/>
    </xf>
    <xf numFmtId="0" fontId="28" fillId="39" borderId="0" xfId="0" applyFont="1" applyFill="1"/>
    <xf numFmtId="0" fontId="7" fillId="39" borderId="0" xfId="0" applyFont="1" applyFill="1"/>
    <xf numFmtId="0" fontId="53" fillId="39" borderId="0" xfId="0" applyFont="1" applyFill="1"/>
    <xf numFmtId="0" fontId="7" fillId="39" borderId="0" xfId="0" applyFont="1" applyFill="1" applyAlignment="1">
      <alignment horizontal="right"/>
    </xf>
    <xf numFmtId="0" fontId="1" fillId="39" borderId="0" xfId="0" applyFont="1" applyFill="1" applyAlignment="1">
      <alignment horizontal="center" wrapText="1"/>
    </xf>
    <xf numFmtId="0" fontId="8" fillId="0" borderId="0" xfId="0" applyFont="1" applyAlignment="1">
      <alignment vertical="top" wrapText="1"/>
    </xf>
    <xf numFmtId="1" fontId="8" fillId="0" borderId="0" xfId="0" applyNumberFormat="1" applyFont="1" applyAlignment="1">
      <alignment vertical="top" wrapText="1"/>
    </xf>
    <xf numFmtId="0" fontId="8" fillId="39" borderId="0" xfId="0" applyFont="1" applyFill="1" applyAlignment="1">
      <alignment vertical="top" wrapText="1"/>
    </xf>
    <xf numFmtId="0" fontId="8" fillId="37" borderId="0" xfId="0" applyFont="1" applyFill="1" applyAlignment="1">
      <alignment wrapText="1"/>
    </xf>
    <xf numFmtId="0" fontId="53" fillId="0" borderId="0" xfId="0" applyFont="1"/>
    <xf numFmtId="1" fontId="8" fillId="0" borderId="0" xfId="0" applyNumberFormat="1" applyFont="1" applyAlignment="1">
      <alignment vertical="top"/>
    </xf>
    <xf numFmtId="0" fontId="7" fillId="0" borderId="0" xfId="0" applyFont="1" applyAlignment="1">
      <alignment horizontal="right"/>
    </xf>
    <xf numFmtId="0" fontId="28" fillId="0" borderId="0" xfId="0" applyFont="1" applyAlignment="1">
      <alignment horizontal="right"/>
    </xf>
    <xf numFmtId="0" fontId="1" fillId="12" borderId="0" xfId="0" applyFont="1" applyFill="1" applyAlignment="1">
      <alignment wrapText="1"/>
    </xf>
    <xf numFmtId="0" fontId="8" fillId="12" borderId="0" xfId="0" applyFont="1" applyFill="1" applyAlignment="1">
      <alignment vertical="top"/>
    </xf>
    <xf numFmtId="0" fontId="8" fillId="12" borderId="0" xfId="0" applyFont="1" applyFill="1" applyAlignment="1">
      <alignment vertical="top" wrapText="1"/>
    </xf>
    <xf numFmtId="0" fontId="7" fillId="40" borderId="0" xfId="0" applyFont="1" applyFill="1" applyAlignment="1">
      <alignment wrapText="1"/>
    </xf>
    <xf numFmtId="0" fontId="7" fillId="41" borderId="0" xfId="0" applyFont="1" applyFill="1" applyAlignment="1">
      <alignment horizontal="center" wrapText="1"/>
    </xf>
    <xf numFmtId="0" fontId="28" fillId="12" borderId="0" xfId="0" applyFont="1" applyFill="1" applyAlignment="1">
      <alignment horizontal="right"/>
    </xf>
    <xf numFmtId="0" fontId="7" fillId="12" borderId="0" xfId="0" applyFont="1" applyFill="1" applyAlignment="1">
      <alignment horizontal="right"/>
    </xf>
    <xf numFmtId="0" fontId="50" fillId="0" borderId="0" xfId="0" applyFont="1"/>
    <xf numFmtId="171" fontId="48" fillId="0" borderId="0" xfId="0" applyNumberFormat="1" applyFont="1" applyAlignment="1">
      <alignment horizontal="right" vertical="top"/>
    </xf>
    <xf numFmtId="1" fontId="7" fillId="0" borderId="0" xfId="0" applyNumberFormat="1" applyFont="1"/>
    <xf numFmtId="0" fontId="28" fillId="0" borderId="0" xfId="0" applyFont="1" applyAlignment="1">
      <alignment wrapText="1"/>
    </xf>
    <xf numFmtId="0" fontId="28" fillId="44" borderId="0" xfId="0" applyFont="1" applyFill="1" applyAlignment="1">
      <alignment wrapText="1"/>
    </xf>
    <xf numFmtId="0" fontId="1" fillId="44" borderId="0" xfId="0" applyFont="1" applyFill="1"/>
    <xf numFmtId="2" fontId="7" fillId="0" borderId="0" xfId="0" applyNumberFormat="1" applyFont="1"/>
    <xf numFmtId="0" fontId="7" fillId="0" borderId="0" xfId="0" applyFont="1" applyAlignment="1">
      <alignment horizontal="center"/>
    </xf>
    <xf numFmtId="2" fontId="7" fillId="0" borderId="0" xfId="0" applyNumberFormat="1" applyFont="1" applyAlignment="1">
      <alignment horizontal="center"/>
    </xf>
    <xf numFmtId="0" fontId="34" fillId="0" borderId="0" xfId="0" applyFont="1" applyAlignment="1">
      <alignment horizontal="left" wrapText="1"/>
    </xf>
    <xf numFmtId="168" fontId="7" fillId="0" borderId="0" xfId="0" applyNumberFormat="1" applyFont="1" applyAlignment="1">
      <alignment horizontal="center"/>
    </xf>
    <xf numFmtId="1" fontId="7" fillId="0" borderId="0" xfId="0" applyNumberFormat="1" applyFont="1" applyAlignment="1">
      <alignment horizontal="center"/>
    </xf>
    <xf numFmtId="0" fontId="34" fillId="0" borderId="0" xfId="0" applyFont="1" applyAlignment="1">
      <alignment horizontal="center" wrapText="1"/>
    </xf>
    <xf numFmtId="0" fontId="7" fillId="13" borderId="0" xfId="0" applyFont="1" applyFill="1"/>
    <xf numFmtId="0" fontId="20" fillId="15" borderId="1" xfId="0" applyFont="1" applyFill="1" applyBorder="1" applyAlignment="1">
      <alignment horizontal="left" indent="2"/>
    </xf>
    <xf numFmtId="0" fontId="63" fillId="9" borderId="0" xfId="0" applyFont="1" applyFill="1"/>
    <xf numFmtId="168" fontId="3" fillId="8" borderId="0" xfId="0" applyNumberFormat="1" applyFont="1" applyFill="1" applyAlignment="1">
      <alignment horizontal="center" vertical="top" wrapText="1"/>
    </xf>
    <xf numFmtId="0" fontId="61" fillId="9" borderId="0" xfId="0" applyFont="1" applyFill="1"/>
    <xf numFmtId="0" fontId="65" fillId="9" borderId="0" xfId="0" applyFont="1" applyFill="1"/>
    <xf numFmtId="2" fontId="61" fillId="9" borderId="0" xfId="0" applyNumberFormat="1" applyFont="1" applyFill="1"/>
    <xf numFmtId="2" fontId="65" fillId="9" borderId="0" xfId="0" applyNumberFormat="1" applyFont="1" applyFill="1"/>
    <xf numFmtId="0" fontId="66" fillId="45" borderId="0" xfId="0" applyFont="1" applyFill="1" applyAlignment="1">
      <alignment horizontal="right" vertical="center"/>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6" xfId="0" applyFont="1" applyFill="1" applyBorder="1" applyAlignment="1">
      <alignment horizontal="left" vertical="top" wrapText="1"/>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2" borderId="0" xfId="0" applyFont="1" applyFill="1" applyAlignment="1">
      <alignment horizontal="left" vertical="top"/>
    </xf>
    <xf numFmtId="0" fontId="1" fillId="2" borderId="6" xfId="0" applyFont="1" applyFill="1" applyBorder="1" applyAlignment="1">
      <alignment horizontal="left" vertical="top"/>
    </xf>
    <xf numFmtId="0" fontId="5" fillId="0" borderId="1" xfId="0" applyFont="1" applyBorder="1" applyAlignment="1">
      <alignment horizontal="center" wrapText="1"/>
    </xf>
    <xf numFmtId="0" fontId="5" fillId="0" borderId="0" xfId="0" applyFont="1" applyAlignment="1">
      <alignment horizontal="center" wrapText="1"/>
    </xf>
    <xf numFmtId="0" fontId="6" fillId="4" borderId="9" xfId="0" applyFont="1" applyFill="1" applyBorder="1" applyAlignment="1">
      <alignment horizontal="center" wrapText="1"/>
    </xf>
    <xf numFmtId="0" fontId="6" fillId="4" borderId="10" xfId="0" applyFont="1" applyFill="1" applyBorder="1" applyAlignment="1">
      <alignment horizontal="center" wrapText="1"/>
    </xf>
    <xf numFmtId="0" fontId="6" fillId="4" borderId="11"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7" fillId="0" borderId="0" xfId="0" applyFont="1" applyAlignment="1">
      <alignment horizontal="left" wrapText="1"/>
    </xf>
    <xf numFmtId="0" fontId="5" fillId="0" borderId="7" xfId="0" applyFont="1" applyBorder="1" applyAlignment="1">
      <alignment horizontal="center" wrapText="1"/>
    </xf>
    <xf numFmtId="0" fontId="5" fillId="0" borderId="8" xfId="0" applyFont="1" applyBorder="1" applyAlignment="1">
      <alignment horizontal="center" wrapText="1"/>
    </xf>
    <xf numFmtId="0" fontId="5" fillId="0" borderId="2" xfId="0" applyFont="1" applyBorder="1" applyAlignment="1">
      <alignment horizontal="center" wrapText="1"/>
    </xf>
    <xf numFmtId="0" fontId="5" fillId="0" borderId="3" xfId="0" applyFont="1" applyBorder="1" applyAlignment="1">
      <alignment horizontal="center" wrapText="1"/>
    </xf>
    <xf numFmtId="0" fontId="5" fillId="0" borderId="4" xfId="0" applyFont="1" applyBorder="1" applyAlignment="1">
      <alignment horizontal="center" wrapText="1"/>
    </xf>
    <xf numFmtId="0" fontId="5" fillId="0" borderId="5" xfId="0" applyFont="1" applyBorder="1" applyAlignment="1">
      <alignment horizontal="center" wrapText="1"/>
    </xf>
    <xf numFmtId="0" fontId="7" fillId="0" borderId="8" xfId="0" applyFont="1" applyBorder="1" applyAlignment="1">
      <alignment horizontal="left" wrapText="1"/>
    </xf>
    <xf numFmtId="0" fontId="7" fillId="0" borderId="2" xfId="0" applyFont="1" applyBorder="1" applyAlignment="1">
      <alignment horizontal="left" wrapText="1"/>
    </xf>
    <xf numFmtId="0" fontId="2" fillId="3" borderId="0" xfId="0" applyFont="1" applyFill="1" applyAlignment="1">
      <alignment horizontal="center"/>
    </xf>
    <xf numFmtId="0" fontId="1" fillId="0" borderId="0" xfId="0" applyFont="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horizontal="left" wrapText="1"/>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168" fontId="13" fillId="0" borderId="0" xfId="0" applyNumberFormat="1" applyFont="1" applyAlignment="1">
      <alignment horizontal="center"/>
    </xf>
    <xf numFmtId="0" fontId="2" fillId="0" borderId="17" xfId="0" applyFont="1" applyBorder="1" applyAlignment="1">
      <alignment horizontal="center"/>
    </xf>
    <xf numFmtId="168" fontId="1" fillId="0" borderId="18" xfId="0" applyNumberFormat="1" applyFont="1" applyBorder="1" applyAlignment="1">
      <alignment horizontal="center" vertical="center"/>
    </xf>
    <xf numFmtId="168" fontId="1" fillId="0" borderId="19" xfId="0" applyNumberFormat="1" applyFont="1" applyBorder="1" applyAlignment="1">
      <alignment horizontal="center" vertical="center"/>
    </xf>
    <xf numFmtId="168" fontId="1" fillId="0" borderId="20" xfId="0" applyNumberFormat="1" applyFont="1" applyBorder="1" applyAlignment="1">
      <alignment horizontal="center" vertical="center"/>
    </xf>
    <xf numFmtId="168" fontId="1" fillId="0" borderId="21" xfId="0" applyNumberFormat="1" applyFont="1" applyBorder="1" applyAlignment="1">
      <alignment horizontal="center"/>
    </xf>
    <xf numFmtId="168" fontId="1" fillId="0" borderId="22" xfId="0" applyNumberFormat="1" applyFont="1" applyBorder="1" applyAlignment="1">
      <alignment horizontal="center"/>
    </xf>
    <xf numFmtId="168" fontId="1" fillId="0" borderId="23" xfId="0" applyNumberFormat="1" applyFont="1" applyBorder="1" applyAlignment="1">
      <alignment horizontal="center"/>
    </xf>
    <xf numFmtId="168" fontId="1" fillId="0" borderId="24" xfId="0" applyNumberFormat="1" applyFont="1" applyBorder="1" applyAlignment="1">
      <alignment horizontal="center"/>
    </xf>
    <xf numFmtId="168" fontId="1" fillId="0" borderId="25" xfId="0" applyNumberFormat="1" applyFont="1" applyBorder="1" applyAlignment="1">
      <alignment horizontal="center"/>
    </xf>
    <xf numFmtId="1" fontId="1" fillId="0" borderId="26" xfId="0" applyNumberFormat="1" applyFont="1" applyBorder="1" applyAlignment="1">
      <alignment horizontal="center"/>
    </xf>
    <xf numFmtId="1" fontId="1" fillId="0" borderId="24" xfId="0" applyNumberFormat="1" applyFont="1" applyBorder="1" applyAlignment="1">
      <alignment horizontal="center"/>
    </xf>
    <xf numFmtId="1" fontId="1" fillId="0" borderId="25" xfId="0" applyNumberFormat="1" applyFont="1" applyBorder="1" applyAlignment="1">
      <alignment horizontal="center"/>
    </xf>
    <xf numFmtId="168" fontId="1" fillId="0" borderId="16" xfId="0" applyNumberFormat="1" applyFont="1" applyBorder="1" applyAlignment="1">
      <alignment horizontal="left" indent="1"/>
    </xf>
    <xf numFmtId="0" fontId="14" fillId="0" borderId="0" xfId="0"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4" xfId="0" applyFont="1" applyFill="1" applyBorder="1" applyAlignment="1">
      <alignment horizontal="center"/>
    </xf>
    <xf numFmtId="0" fontId="12" fillId="7" borderId="7" xfId="0" applyFont="1" applyFill="1" applyBorder="1" applyAlignment="1">
      <alignment horizontal="center"/>
    </xf>
    <xf numFmtId="0" fontId="12" fillId="7" borderId="2" xfId="0" applyFont="1" applyFill="1" applyBorder="1" applyAlignment="1">
      <alignment horizontal="center"/>
    </xf>
    <xf numFmtId="0" fontId="12" fillId="7" borderId="1" xfId="0" applyFont="1" applyFill="1" applyBorder="1" applyAlignment="1">
      <alignment horizontal="center"/>
    </xf>
    <xf numFmtId="0" fontId="12" fillId="7" borderId="6" xfId="0" applyFont="1" applyFill="1" applyBorder="1" applyAlignment="1">
      <alignment horizontal="center"/>
    </xf>
    <xf numFmtId="0" fontId="12" fillId="7" borderId="3" xfId="0" applyFont="1" applyFill="1" applyBorder="1" applyAlignment="1">
      <alignment horizontal="center"/>
    </xf>
    <xf numFmtId="0" fontId="12" fillId="7" borderId="5" xfId="0" applyFont="1" applyFill="1" applyBorder="1" applyAlignment="1">
      <alignment horizontal="center"/>
    </xf>
    <xf numFmtId="0" fontId="3" fillId="8" borderId="7" xfId="0" applyFont="1" applyFill="1" applyBorder="1" applyAlignment="1">
      <alignment horizontal="center"/>
    </xf>
    <xf numFmtId="0" fontId="3" fillId="8" borderId="35" xfId="0" applyFont="1" applyFill="1" applyBorder="1" applyAlignment="1">
      <alignment horizontal="center"/>
    </xf>
    <xf numFmtId="0" fontId="12" fillId="8" borderId="36" xfId="0" applyFont="1" applyFill="1" applyBorder="1" applyAlignment="1">
      <alignment horizontal="center"/>
    </xf>
    <xf numFmtId="0" fontId="12" fillId="8" borderId="15" xfId="0" applyFont="1" applyFill="1" applyBorder="1" applyAlignment="1">
      <alignment horizontal="center"/>
    </xf>
    <xf numFmtId="0" fontId="12" fillId="7" borderId="37" xfId="0" applyFont="1" applyFill="1" applyBorder="1" applyAlignment="1">
      <alignment horizontal="center"/>
    </xf>
    <xf numFmtId="0" fontId="3" fillId="8" borderId="2" xfId="0" applyFont="1" applyFill="1" applyBorder="1" applyAlignment="1">
      <alignment horizontal="center"/>
    </xf>
    <xf numFmtId="0" fontId="3" fillId="8" borderId="8" xfId="0" applyFont="1" applyFill="1" applyBorder="1" applyAlignment="1">
      <alignment horizontal="center"/>
    </xf>
    <xf numFmtId="0" fontId="12" fillId="7" borderId="9" xfId="0" applyFont="1" applyFill="1" applyBorder="1" applyAlignment="1">
      <alignment horizontal="center"/>
    </xf>
    <xf numFmtId="0" fontId="12" fillId="7" borderId="10" xfId="0" applyFont="1" applyFill="1" applyBorder="1" applyAlignment="1">
      <alignment horizontal="center"/>
    </xf>
    <xf numFmtId="0" fontId="12" fillId="7" borderId="11" xfId="0" applyFont="1" applyFill="1" applyBorder="1" applyAlignment="1">
      <alignment horizontal="center"/>
    </xf>
    <xf numFmtId="0" fontId="12" fillId="8" borderId="9" xfId="0" applyFont="1" applyFill="1" applyBorder="1" applyAlignment="1">
      <alignment horizontal="center"/>
    </xf>
    <xf numFmtId="0" fontId="12" fillId="8" borderId="10" xfId="0" applyFont="1" applyFill="1" applyBorder="1" applyAlignment="1">
      <alignment horizontal="center"/>
    </xf>
    <xf numFmtId="0" fontId="12" fillId="8" borderId="11" xfId="0" applyFont="1" applyFill="1" applyBorder="1" applyAlignment="1">
      <alignment horizontal="center"/>
    </xf>
    <xf numFmtId="0" fontId="3" fillId="7" borderId="7" xfId="0" applyFont="1" applyFill="1" applyBorder="1" applyAlignment="1">
      <alignment horizontal="center"/>
    </xf>
    <xf numFmtId="0" fontId="3" fillId="7" borderId="8" xfId="0" applyFont="1" applyFill="1" applyBorder="1" applyAlignment="1">
      <alignment horizontal="center"/>
    </xf>
    <xf numFmtId="0" fontId="3" fillId="7" borderId="2" xfId="0" applyFont="1" applyFill="1" applyBorder="1" applyAlignment="1">
      <alignment horizontal="center"/>
    </xf>
    <xf numFmtId="0" fontId="3" fillId="7" borderId="7" xfId="0" applyFont="1" applyFill="1" applyBorder="1" applyAlignment="1">
      <alignment horizontal="right"/>
    </xf>
    <xf numFmtId="0" fontId="3" fillId="7" borderId="35" xfId="0" applyFont="1" applyFill="1" applyBorder="1" applyAlignment="1">
      <alignment horizontal="right"/>
    </xf>
    <xf numFmtId="0" fontId="12" fillId="7" borderId="41" xfId="0" applyFont="1" applyFill="1" applyBorder="1" applyAlignment="1">
      <alignment horizontal="center"/>
    </xf>
    <xf numFmtId="0" fontId="12" fillId="7" borderId="36" xfId="0" applyFont="1" applyFill="1" applyBorder="1" applyAlignment="1">
      <alignment horizontal="center"/>
    </xf>
    <xf numFmtId="0" fontId="12" fillId="7" borderId="15" xfId="0" applyFont="1" applyFill="1" applyBorder="1" applyAlignment="1">
      <alignment horizontal="center"/>
    </xf>
    <xf numFmtId="0" fontId="12" fillId="8" borderId="41" xfId="0" applyFont="1" applyFill="1" applyBorder="1" applyAlignment="1">
      <alignment horizontal="center"/>
    </xf>
    <xf numFmtId="0" fontId="3" fillId="0" borderId="6" xfId="0" applyFont="1" applyBorder="1" applyAlignment="1">
      <alignment horizontal="center" wrapText="1"/>
    </xf>
    <xf numFmtId="0" fontId="3" fillId="8" borderId="1" xfId="0" applyFont="1" applyFill="1" applyBorder="1" applyAlignment="1">
      <alignment horizontal="center"/>
    </xf>
    <xf numFmtId="0" fontId="3" fillId="8" borderId="0" xfId="0" applyFont="1" applyFill="1" applyAlignment="1">
      <alignment horizontal="center"/>
    </xf>
    <xf numFmtId="0" fontId="3" fillId="7" borderId="35" xfId="0" applyFont="1" applyFill="1" applyBorder="1" applyAlignment="1">
      <alignment horizontal="center"/>
    </xf>
    <xf numFmtId="0" fontId="12" fillId="9" borderId="41" xfId="0" applyFont="1" applyFill="1" applyBorder="1" applyAlignment="1">
      <alignment horizontal="center" vertical="center" wrapText="1"/>
    </xf>
    <xf numFmtId="0" fontId="12" fillId="9" borderId="36" xfId="0" applyFont="1" applyFill="1" applyBorder="1" applyAlignment="1">
      <alignment horizontal="center" vertical="center" wrapText="1"/>
    </xf>
    <xf numFmtId="0" fontId="12" fillId="0" borderId="0" xfId="0" applyFont="1" applyAlignment="1">
      <alignment horizontal="center"/>
    </xf>
    <xf numFmtId="0" fontId="3" fillId="0" borderId="0" xfId="0" applyFont="1" applyAlignment="1">
      <alignment horizontal="center"/>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3" borderId="2" xfId="0" applyFont="1" applyFill="1" applyBorder="1" applyAlignment="1">
      <alignment horizontal="center" wrapText="1"/>
    </xf>
    <xf numFmtId="0" fontId="3" fillId="3" borderId="6" xfId="0" applyFont="1" applyFill="1" applyBorder="1" applyAlignment="1">
      <alignment horizontal="center" wrapText="1"/>
    </xf>
    <xf numFmtId="0" fontId="3" fillId="3" borderId="5" xfId="0" applyFont="1" applyFill="1" applyBorder="1" applyAlignment="1">
      <alignment horizontal="center" wrapText="1"/>
    </xf>
    <xf numFmtId="0" fontId="12" fillId="7" borderId="35" xfId="0" applyFont="1" applyFill="1" applyBorder="1" applyAlignment="1">
      <alignment horizontal="center"/>
    </xf>
    <xf numFmtId="0" fontId="12" fillId="0" borderId="0" xfId="0" applyFont="1" applyAlignment="1">
      <alignment horizontal="left" wrapText="1"/>
    </xf>
    <xf numFmtId="0" fontId="12" fillId="15" borderId="0" xfId="0" applyFont="1" applyFill="1" applyAlignment="1">
      <alignment horizontal="center"/>
    </xf>
    <xf numFmtId="0" fontId="12" fillId="7" borderId="8" xfId="0" applyFont="1" applyFill="1" applyBorder="1" applyAlignment="1">
      <alignment horizontal="center"/>
    </xf>
    <xf numFmtId="0" fontId="12" fillId="7" borderId="0" xfId="0" applyFont="1" applyFill="1" applyAlignment="1">
      <alignment horizontal="center"/>
    </xf>
    <xf numFmtId="0" fontId="12" fillId="7" borderId="4" xfId="0" applyFont="1" applyFill="1" applyBorder="1" applyAlignment="1">
      <alignment horizontal="center"/>
    </xf>
    <xf numFmtId="0" fontId="12" fillId="7" borderId="7" xfId="0" applyFont="1" applyFill="1" applyBorder="1" applyAlignment="1">
      <alignment horizontal="center" vertical="center"/>
    </xf>
    <xf numFmtId="0" fontId="12" fillId="7" borderId="2" xfId="0" applyFont="1" applyFill="1" applyBorder="1" applyAlignment="1">
      <alignment horizontal="center" vertical="center"/>
    </xf>
    <xf numFmtId="0" fontId="12" fillId="7" borderId="1" xfId="0" applyFont="1" applyFill="1" applyBorder="1" applyAlignment="1">
      <alignment horizontal="center" vertical="center"/>
    </xf>
    <xf numFmtId="0" fontId="12" fillId="7" borderId="6"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3" fillId="7" borderId="34" xfId="0" applyFont="1" applyFill="1" applyBorder="1" applyAlignment="1">
      <alignment horizontal="center" vertical="center"/>
    </xf>
    <xf numFmtId="0" fontId="12" fillId="7" borderId="37" xfId="0" applyFont="1" applyFill="1" applyBorder="1" applyAlignment="1">
      <alignment horizontal="center" vertical="center"/>
    </xf>
    <xf numFmtId="0" fontId="12" fillId="0" borderId="7" xfId="0" applyFont="1" applyBorder="1" applyAlignment="1">
      <alignment horizontal="center" vertical="top" wrapText="1"/>
    </xf>
    <xf numFmtId="0" fontId="12" fillId="0" borderId="8" xfId="0" applyFont="1" applyBorder="1" applyAlignment="1">
      <alignment horizontal="center" vertical="top" wrapText="1"/>
    </xf>
    <xf numFmtId="0" fontId="12" fillId="0" borderId="7" xfId="0" applyFont="1" applyBorder="1" applyAlignment="1">
      <alignment horizontal="center" wrapText="1"/>
    </xf>
    <xf numFmtId="0" fontId="12" fillId="0" borderId="0" xfId="0" applyFont="1" applyAlignment="1">
      <alignment horizontal="center" wrapText="1"/>
    </xf>
    <xf numFmtId="0" fontId="3" fillId="7" borderId="6" xfId="0" applyFont="1" applyFill="1" applyBorder="1" applyAlignment="1">
      <alignment horizontal="center"/>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6" xfId="0" applyFont="1" applyBorder="1" applyAlignment="1">
      <alignment horizontal="left" wrapText="1" indent="3"/>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5" xfId="0" applyFont="1" applyBorder="1" applyAlignment="1">
      <alignment horizontal="left" wrapText="1"/>
    </xf>
    <xf numFmtId="0" fontId="3" fillId="9" borderId="1" xfId="0" applyFont="1" applyFill="1" applyBorder="1" applyAlignment="1">
      <alignment horizontal="left" wrapText="1" indent="3"/>
    </xf>
    <xf numFmtId="0" fontId="3" fillId="9" borderId="0" xfId="0" applyFont="1" applyFill="1" applyAlignment="1">
      <alignment horizontal="left" wrapText="1" indent="3"/>
    </xf>
    <xf numFmtId="0" fontId="3" fillId="9" borderId="6" xfId="0" applyFont="1" applyFill="1" applyBorder="1" applyAlignment="1">
      <alignment horizontal="left" wrapText="1" indent="3"/>
    </xf>
    <xf numFmtId="0" fontId="3" fillId="0" borderId="1" xfId="0" applyFont="1" applyBorder="1" applyAlignment="1">
      <alignment horizontal="left" wrapText="1"/>
    </xf>
    <xf numFmtId="0" fontId="3" fillId="0" borderId="0" xfId="0" applyFont="1" applyAlignment="1">
      <alignment horizontal="left" wrapText="1"/>
    </xf>
    <xf numFmtId="0" fontId="3" fillId="0" borderId="6" xfId="0" applyFont="1" applyBorder="1" applyAlignment="1">
      <alignment horizontal="left" wrapText="1"/>
    </xf>
    <xf numFmtId="0" fontId="3" fillId="9" borderId="1" xfId="0" applyFont="1" applyFill="1" applyBorder="1" applyAlignment="1">
      <alignment horizontal="left" vertical="top" wrapText="1" indent="3"/>
    </xf>
    <xf numFmtId="0" fontId="3" fillId="9" borderId="0" xfId="0" applyFont="1" applyFill="1" applyAlignment="1">
      <alignment horizontal="left" vertical="top" wrapText="1" indent="3"/>
    </xf>
    <xf numFmtId="0" fontId="3" fillId="9" borderId="6" xfId="0" applyFont="1" applyFill="1" applyBorder="1" applyAlignment="1">
      <alignment horizontal="left" vertical="top" wrapText="1" indent="3"/>
    </xf>
    <xf numFmtId="0" fontId="3" fillId="0" borderId="7" xfId="0" applyFont="1" applyBorder="1" applyAlignment="1">
      <alignment horizontal="left" wrapText="1" indent="3"/>
    </xf>
    <xf numFmtId="0" fontId="3" fillId="0" borderId="8" xfId="0" applyFont="1" applyBorder="1" applyAlignment="1">
      <alignment horizontal="left" wrapText="1" indent="3"/>
    </xf>
    <xf numFmtId="0" fontId="3" fillId="0" borderId="2" xfId="0" applyFont="1" applyBorder="1" applyAlignment="1">
      <alignment horizontal="left" wrapText="1" indent="3"/>
    </xf>
    <xf numFmtId="0" fontId="22" fillId="0" borderId="0" xfId="0" applyFont="1" applyAlignment="1">
      <alignment horizontal="left" vertical="top" wrapText="1"/>
    </xf>
    <xf numFmtId="0" fontId="12" fillId="0" borderId="0" xfId="0" applyFont="1" applyAlignment="1">
      <alignment horizontal="center" vertical="top" wrapText="1"/>
    </xf>
    <xf numFmtId="0" fontId="24" fillId="0" borderId="0" xfId="0" applyFont="1" applyAlignment="1">
      <alignment horizontal="left" vertical="top" wrapText="1"/>
    </xf>
    <xf numFmtId="0" fontId="3" fillId="7" borderId="8" xfId="0" applyFont="1" applyFill="1" applyBorder="1" applyAlignment="1">
      <alignment horizontal="right"/>
    </xf>
    <xf numFmtId="0" fontId="12" fillId="8" borderId="4" xfId="0" applyFont="1" applyFill="1" applyBorder="1" applyAlignment="1">
      <alignment horizontal="center"/>
    </xf>
    <xf numFmtId="0" fontId="12" fillId="8" borderId="0" xfId="0" applyFont="1" applyFill="1" applyAlignment="1">
      <alignment horizontal="center"/>
    </xf>
    <xf numFmtId="0" fontId="12" fillId="8" borderId="3" xfId="0" applyFont="1" applyFill="1" applyBorder="1" applyAlignment="1">
      <alignment horizontal="center"/>
    </xf>
    <xf numFmtId="0" fontId="12" fillId="7" borderId="7" xfId="0" applyFont="1" applyFill="1" applyBorder="1" applyAlignment="1">
      <alignment horizontal="center" wrapText="1"/>
    </xf>
    <xf numFmtId="0" fontId="12" fillId="7" borderId="2" xfId="0" applyFont="1" applyFill="1" applyBorder="1" applyAlignment="1">
      <alignment horizontal="center" wrapText="1"/>
    </xf>
    <xf numFmtId="0" fontId="12" fillId="7" borderId="1" xfId="0" applyFont="1" applyFill="1" applyBorder="1" applyAlignment="1">
      <alignment horizontal="center" wrapText="1"/>
    </xf>
    <xf numFmtId="0" fontId="12" fillId="7" borderId="0" xfId="0" applyFont="1" applyFill="1" applyAlignment="1">
      <alignment horizontal="center" wrapText="1"/>
    </xf>
    <xf numFmtId="0" fontId="12" fillId="0" borderId="7" xfId="0" applyFont="1" applyBorder="1" applyAlignment="1">
      <alignment horizontal="center"/>
    </xf>
    <xf numFmtId="0" fontId="12" fillId="0" borderId="8" xfId="0" applyFont="1" applyBorder="1" applyAlignment="1">
      <alignment horizontal="center"/>
    </xf>
    <xf numFmtId="0" fontId="3" fillId="0" borderId="4" xfId="0" applyFont="1" applyBorder="1" applyAlignment="1">
      <alignment horizontal="left" vertical="top" wrapText="1"/>
    </xf>
    <xf numFmtId="0" fontId="12" fillId="9" borderId="0" xfId="0" applyFont="1" applyFill="1" applyAlignment="1">
      <alignment horizontal="center"/>
    </xf>
    <xf numFmtId="0" fontId="1" fillId="0" borderId="0" xfId="0" applyFont="1" applyAlignment="1">
      <alignment horizontal="center" wrapText="1"/>
    </xf>
    <xf numFmtId="0" fontId="1" fillId="0" borderId="0" xfId="0" applyFont="1" applyAlignment="1">
      <alignment horizontal="center"/>
    </xf>
    <xf numFmtId="0" fontId="12" fillId="7" borderId="41" xfId="0" applyFont="1" applyFill="1" applyBorder="1" applyAlignment="1">
      <alignment horizontal="center" wrapText="1"/>
    </xf>
    <xf numFmtId="0" fontId="12" fillId="7" borderId="36" xfId="0" applyFont="1" applyFill="1" applyBorder="1" applyAlignment="1">
      <alignment horizontal="center" wrapText="1"/>
    </xf>
    <xf numFmtId="0" fontId="12" fillId="7" borderId="15" xfId="0" applyFont="1" applyFill="1" applyBorder="1" applyAlignment="1">
      <alignment horizontal="center" wrapText="1"/>
    </xf>
    <xf numFmtId="0" fontId="5" fillId="0" borderId="4" xfId="0" applyFont="1" applyBorder="1" applyAlignment="1">
      <alignment horizontal="center"/>
    </xf>
    <xf numFmtId="0" fontId="12" fillId="0" borderId="7" xfId="0" applyFont="1" applyBorder="1" applyAlignment="1">
      <alignment horizontal="left"/>
    </xf>
    <xf numFmtId="0" fontId="12" fillId="0" borderId="8" xfId="0" applyFont="1" applyBorder="1" applyAlignment="1">
      <alignment horizontal="left"/>
    </xf>
    <xf numFmtId="0" fontId="12" fillId="0" borderId="2" xfId="0" applyFont="1" applyBorder="1" applyAlignment="1">
      <alignment horizontal="center"/>
    </xf>
    <xf numFmtId="0" fontId="12" fillId="0" borderId="1" xfId="0" applyFont="1" applyBorder="1" applyAlignment="1">
      <alignment horizontal="center"/>
    </xf>
    <xf numFmtId="0" fontId="12" fillId="0" borderId="6" xfId="0" applyFont="1" applyBorder="1" applyAlignment="1">
      <alignment horizontal="center"/>
    </xf>
    <xf numFmtId="0" fontId="3" fillId="8" borderId="6" xfId="0" applyFont="1" applyFill="1" applyBorder="1" applyAlignment="1">
      <alignment horizontal="center"/>
    </xf>
    <xf numFmtId="0" fontId="12" fillId="0" borderId="41" xfId="0" applyFont="1" applyBorder="1" applyAlignment="1">
      <alignment horizontal="center"/>
    </xf>
    <xf numFmtId="0" fontId="12" fillId="0" borderId="36" xfId="0" applyFont="1" applyBorder="1" applyAlignment="1">
      <alignment horizontal="center"/>
    </xf>
    <xf numFmtId="0" fontId="12" fillId="0" borderId="15" xfId="0" applyFont="1" applyBorder="1" applyAlignment="1">
      <alignment horizontal="center"/>
    </xf>
    <xf numFmtId="0" fontId="16" fillId="0" borderId="4" xfId="0" applyFont="1" applyBorder="1" applyAlignment="1">
      <alignment horizontal="left" vertical="top" wrapText="1"/>
    </xf>
    <xf numFmtId="0" fontId="16" fillId="0" borderId="0" xfId="0" applyFont="1" applyAlignment="1">
      <alignment horizontal="left" vertical="top" wrapText="1"/>
    </xf>
    <xf numFmtId="0" fontId="5" fillId="18" borderId="41" xfId="0" applyFont="1" applyFill="1" applyBorder="1" applyAlignment="1">
      <alignment horizontal="center"/>
    </xf>
    <xf numFmtId="0" fontId="5" fillId="18" borderId="36" xfId="0" applyFont="1" applyFill="1" applyBorder="1" applyAlignment="1">
      <alignment horizontal="center"/>
    </xf>
    <xf numFmtId="0" fontId="5" fillId="18" borderId="15" xfId="0" applyFont="1" applyFill="1" applyBorder="1" applyAlignment="1">
      <alignment horizontal="center"/>
    </xf>
    <xf numFmtId="0" fontId="19" fillId="27" borderId="41" xfId="0" applyFont="1" applyFill="1" applyBorder="1" applyAlignment="1">
      <alignment horizontal="center"/>
    </xf>
    <xf numFmtId="0" fontId="19" fillId="27" borderId="36" xfId="0" applyFont="1" applyFill="1" applyBorder="1" applyAlignment="1">
      <alignment horizontal="center"/>
    </xf>
    <xf numFmtId="0" fontId="19" fillId="27" borderId="15" xfId="0" applyFont="1" applyFill="1" applyBorder="1" applyAlignment="1">
      <alignment horizontal="center"/>
    </xf>
    <xf numFmtId="0" fontId="12" fillId="7" borderId="3" xfId="0" applyFont="1" applyFill="1" applyBorder="1" applyAlignment="1">
      <alignment horizontal="center" wrapText="1"/>
    </xf>
    <xf numFmtId="0" fontId="12" fillId="7" borderId="4" xfId="0" applyFont="1" applyFill="1" applyBorder="1" applyAlignment="1">
      <alignment horizontal="center" wrapText="1"/>
    </xf>
    <xf numFmtId="0" fontId="1" fillId="0" borderId="0" xfId="0" applyFont="1" applyAlignment="1">
      <alignment horizontal="left" vertical="top" wrapText="1"/>
    </xf>
    <xf numFmtId="0" fontId="2" fillId="7" borderId="7" xfId="0" applyFont="1" applyFill="1" applyBorder="1" applyAlignment="1">
      <alignment horizontal="center" wrapText="1"/>
    </xf>
    <xf numFmtId="0" fontId="2" fillId="7" borderId="8" xfId="0" applyFont="1" applyFill="1" applyBorder="1" applyAlignment="1">
      <alignment horizontal="center" wrapText="1"/>
    </xf>
    <xf numFmtId="0" fontId="2" fillId="7" borderId="1" xfId="0" applyFont="1" applyFill="1" applyBorder="1" applyAlignment="1">
      <alignment horizontal="center" wrapText="1"/>
    </xf>
    <xf numFmtId="0" fontId="2" fillId="7" borderId="0" xfId="0" applyFont="1" applyFill="1" applyAlignment="1">
      <alignment horizontal="center" wrapText="1"/>
    </xf>
    <xf numFmtId="0" fontId="1" fillId="7" borderId="7" xfId="0" applyFont="1" applyFill="1" applyBorder="1" applyAlignment="1">
      <alignment horizontal="center"/>
    </xf>
    <xf numFmtId="0" fontId="1" fillId="7" borderId="8" xfId="0" applyFont="1" applyFill="1" applyBorder="1" applyAlignment="1">
      <alignment horizontal="center"/>
    </xf>
    <xf numFmtId="0" fontId="1" fillId="7" borderId="7" xfId="0" applyFont="1" applyFill="1" applyBorder="1" applyAlignment="1">
      <alignment horizontal="center" wrapText="1"/>
    </xf>
    <xf numFmtId="0" fontId="1" fillId="7" borderId="8" xfId="0" applyFont="1" applyFill="1" applyBorder="1" applyAlignment="1">
      <alignment horizontal="center" wrapText="1"/>
    </xf>
    <xf numFmtId="0" fontId="1" fillId="7" borderId="2" xfId="0" applyFont="1" applyFill="1" applyBorder="1" applyAlignment="1">
      <alignment horizontal="center" wrapText="1"/>
    </xf>
    <xf numFmtId="0" fontId="37" fillId="7" borderId="7" xfId="0" applyFont="1" applyFill="1" applyBorder="1" applyAlignment="1">
      <alignment horizontal="center"/>
    </xf>
    <xf numFmtId="0" fontId="37" fillId="7" borderId="8" xfId="0" applyFont="1" applyFill="1" applyBorder="1" applyAlignment="1">
      <alignment horizontal="center"/>
    </xf>
    <xf numFmtId="0" fontId="37" fillId="7" borderId="2" xfId="0" applyFont="1" applyFill="1" applyBorder="1" applyAlignment="1">
      <alignment horizontal="center"/>
    </xf>
    <xf numFmtId="0" fontId="1" fillId="7" borderId="35" xfId="0" applyFont="1" applyFill="1" applyBorder="1" applyAlignment="1">
      <alignment horizontal="center"/>
    </xf>
    <xf numFmtId="0" fontId="1" fillId="7" borderId="2"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3" fillId="0" borderId="0" xfId="0" applyFont="1" applyAlignment="1">
      <alignment horizontal="left" vertical="center" wrapText="1"/>
    </xf>
    <xf numFmtId="3" fontId="12" fillId="0" borderId="0" xfId="0" applyNumberFormat="1" applyFont="1" applyAlignment="1">
      <alignment horizontal="left" wrapText="1"/>
    </xf>
    <xf numFmtId="3" fontId="12" fillId="0" borderId="0" xfId="0" applyNumberFormat="1" applyFont="1" applyAlignment="1">
      <alignment horizontal="left"/>
    </xf>
    <xf numFmtId="0" fontId="3" fillId="0" borderId="4"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12" borderId="0" xfId="0" applyFont="1" applyFill="1" applyAlignment="1">
      <alignment horizontal="left" vertical="top" wrapText="1"/>
    </xf>
    <xf numFmtId="1" fontId="41" fillId="0" borderId="50" xfId="0" applyNumberFormat="1" applyFont="1" applyBorder="1" applyAlignment="1">
      <alignment horizontal="center" vertical="top"/>
    </xf>
    <xf numFmtId="1" fontId="41" fillId="0" borderId="0" xfId="0" applyNumberFormat="1" applyFont="1" applyAlignment="1">
      <alignment horizontal="center" vertical="top"/>
    </xf>
    <xf numFmtId="1" fontId="41" fillId="0" borderId="41" xfId="0" applyNumberFormat="1" applyFont="1" applyBorder="1" applyAlignment="1">
      <alignment horizontal="center" vertical="top"/>
    </xf>
    <xf numFmtId="1" fontId="41" fillId="0" borderId="36" xfId="0" applyNumberFormat="1" applyFont="1" applyBorder="1" applyAlignment="1">
      <alignment horizontal="center" vertical="top"/>
    </xf>
    <xf numFmtId="1" fontId="41" fillId="0" borderId="15" xfId="0" applyNumberFormat="1" applyFont="1" applyBorder="1" applyAlignment="1">
      <alignment horizontal="center" vertical="top"/>
    </xf>
    <xf numFmtId="0" fontId="12" fillId="35" borderId="0" xfId="0" applyFont="1" applyFill="1" applyAlignment="1">
      <alignment horizontal="center"/>
    </xf>
    <xf numFmtId="0" fontId="7" fillId="0" borderId="0" xfId="0" applyFont="1" applyAlignment="1">
      <alignment horizontal="center" wrapText="1"/>
    </xf>
    <xf numFmtId="0" fontId="7" fillId="40" borderId="0" xfId="0" applyFont="1" applyFill="1" applyAlignment="1">
      <alignment wrapText="1"/>
    </xf>
    <xf numFmtId="0" fontId="1" fillId="0" borderId="0" xfId="0" applyFont="1" applyAlignment="1">
      <alignment wrapText="1"/>
    </xf>
    <xf numFmtId="0" fontId="7" fillId="42" borderId="0" xfId="0" applyFont="1" applyFill="1" applyAlignment="1">
      <alignment horizontal="center" wrapText="1"/>
    </xf>
    <xf numFmtId="0" fontId="1" fillId="12" borderId="0" xfId="0" applyFont="1" applyFill="1" applyAlignment="1">
      <alignment horizontal="center" wrapText="1"/>
    </xf>
    <xf numFmtId="0" fontId="7" fillId="41" borderId="0" xfId="0" applyFont="1" applyFill="1" applyAlignment="1">
      <alignment horizontal="center" wrapText="1"/>
    </xf>
    <xf numFmtId="0" fontId="7" fillId="43" borderId="0" xfId="0" applyFont="1" applyFill="1" applyAlignment="1">
      <alignment horizontal="center" wrapText="1"/>
    </xf>
    <xf numFmtId="10" fontId="28" fillId="0" borderId="51" xfId="0" applyNumberFormat="1" applyFont="1" applyBorder="1" applyAlignment="1">
      <alignment horizontal="center"/>
    </xf>
    <xf numFmtId="10" fontId="3" fillId="7" borderId="0" xfId="2" applyNumberFormat="1" applyFont="1" applyFill="1" applyAlignment="1">
      <alignment horizontal="center" vertical="center"/>
    </xf>
    <xf numFmtId="168" fontId="3" fillId="8" borderId="0" xfId="0" applyNumberFormat="1" applyFont="1" applyFill="1" applyAlignment="1">
      <alignment horizontal="center" vertical="center"/>
    </xf>
    <xf numFmtId="10" fontId="3" fillId="8" borderId="0" xfId="2" applyNumberFormat="1" applyFont="1" applyFill="1" applyAlignment="1">
      <alignment horizontal="center" vertical="center"/>
    </xf>
    <xf numFmtId="2" fontId="0" fillId="0" borderId="0" xfId="0" applyNumberFormat="1"/>
    <xf numFmtId="1" fontId="3" fillId="8" borderId="0" xfId="0" applyNumberFormat="1" applyFont="1" applyFill="1" applyBorder="1"/>
    <xf numFmtId="0" fontId="1" fillId="8" borderId="0" xfId="0" applyFont="1" applyFill="1" applyBorder="1"/>
  </cellXfs>
  <cellStyles count="3">
    <cellStyle name="Normal" xfId="0" builtinId="0"/>
    <cellStyle name="Normal 2" xfId="1" xr:uid="{67FFF33D-DEF9-4EF2-AB54-D4CCE3ECD637}"/>
    <cellStyle name="Percent" xfId="2" builtinId="5"/>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pivotCacheDefinition" Target="pivotCache/pivotCacheDefinition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872</c:v>
                </c:pt>
                <c:pt idx="6">
                  <c:v>1795.8</c:v>
                </c:pt>
                <c:pt idx="7">
                  <c:v>1656.8</c:v>
                </c:pt>
                <c:pt idx="8">
                  <c:v>1191.7</c:v>
                </c:pt>
                <c:pt idx="9">
                  <c:v>1473.1</c:v>
                </c:pt>
                <c:pt idx="10">
                  <c:v>1346.4</c:v>
                </c:pt>
                <c:pt idx="11">
                  <c:v>1318.833333333333</c:v>
                </c:pt>
                <c:pt idx="12">
                  <c:v>1157.333333333333</c:v>
                </c:pt>
                <c:pt idx="13">
                  <c:v>1036.4000000000001</c:v>
                </c:pt>
                <c:pt idx="14">
                  <c:v>1042.6000000000001</c:v>
                </c:pt>
                <c:pt idx="15">
                  <c:v>1054.8</c:v>
                </c:pt>
                <c:pt idx="16">
                  <c:v>1078.7</c:v>
                </c:pt>
                <c:pt idx="17">
                  <c:v>1045.2</c:v>
                </c:pt>
                <c:pt idx="18">
                  <c:v>1066.76</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4.0506371546650453</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59.094295378613374</c:v>
                </c:pt>
                <c:pt idx="11">
                  <c:v>70.233547553942245</c:v>
                </c:pt>
                <c:pt idx="12">
                  <c:v>81.462813888263668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1" Type="http://schemas.openxmlformats.org/officeDocument/2006/relationships/hyperlink" Target="#MPI!A1"/></Relationships>
</file>

<file path=xl/drawings/_rels/drawing6.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MPI!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2.xml.rels><?xml version="1.0" encoding="UTF-8" standalone="yes"?>
<Relationships xmlns="http://schemas.openxmlformats.org/package/2006/relationships"><Relationship Id="rId1" Type="http://schemas.openxmlformats.org/officeDocument/2006/relationships/hyperlink" Target="#MPI!A1"/></Relationships>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5.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drawing1.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539750</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0</xdr:row>
      <xdr:rowOff>114300</xdr:rowOff>
    </xdr:from>
    <xdr:to>
      <xdr:col>13</xdr:col>
      <xdr:colOff>542925</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2</xdr:row>
      <xdr:rowOff>114300</xdr:rowOff>
    </xdr:from>
    <xdr:to>
      <xdr:col>13</xdr:col>
      <xdr:colOff>542925</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12</xdr:col>
      <xdr:colOff>76200</xdr:colOff>
      <xdr:row>8</xdr:row>
      <xdr:rowOff>114300</xdr:rowOff>
    </xdr:from>
    <xdr:to>
      <xdr:col>13</xdr:col>
      <xdr:colOff>609600</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106892</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88265</xdr:rowOff>
    </xdr:from>
    <xdr:to>
      <xdr:col>4</xdr:col>
      <xdr:colOff>0</xdr:colOff>
      <xdr:row>25</xdr:row>
      <xdr:rowOff>87842</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88265</xdr:rowOff>
    </xdr:from>
    <xdr:to>
      <xdr:col>4</xdr:col>
      <xdr:colOff>0</xdr:colOff>
      <xdr:row>25</xdr:row>
      <xdr:rowOff>87842</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84032</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88265</xdr:rowOff>
    </xdr:from>
    <xdr:to>
      <xdr:col>4</xdr:col>
      <xdr:colOff>0</xdr:colOff>
      <xdr:row>25</xdr:row>
      <xdr:rowOff>68792</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68792</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164042</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164042</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86995</xdr:rowOff>
    </xdr:from>
    <xdr:to>
      <xdr:col>3</xdr:col>
      <xdr:colOff>609600</xdr:colOff>
      <xdr:row>24</xdr:row>
      <xdr:rowOff>164042</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46037</xdr:rowOff>
    </xdr:from>
    <xdr:to>
      <xdr:col>24</xdr:col>
      <xdr:colOff>647700</xdr:colOff>
      <xdr:row>42</xdr:row>
      <xdr:rowOff>103981</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27781</xdr:rowOff>
    </xdr:from>
    <xdr:to>
      <xdr:col>3</xdr:col>
      <xdr:colOff>609600</xdr:colOff>
      <xdr:row>45</xdr:row>
      <xdr:rowOff>103981</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27781</xdr:rowOff>
    </xdr:from>
    <xdr:to>
      <xdr:col>21</xdr:col>
      <xdr:colOff>0</xdr:colOff>
      <xdr:row>46</xdr:row>
      <xdr:rowOff>103981</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46037</xdr:rowOff>
    </xdr:from>
    <xdr:to>
      <xdr:col>24</xdr:col>
      <xdr:colOff>647700</xdr:colOff>
      <xdr:row>42</xdr:row>
      <xdr:rowOff>103981</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27781</xdr:rowOff>
    </xdr:from>
    <xdr:to>
      <xdr:col>3</xdr:col>
      <xdr:colOff>609600</xdr:colOff>
      <xdr:row>45</xdr:row>
      <xdr:rowOff>103981</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27781</xdr:rowOff>
    </xdr:from>
    <xdr:to>
      <xdr:col>21</xdr:col>
      <xdr:colOff>0</xdr:colOff>
      <xdr:row>46</xdr:row>
      <xdr:rowOff>103981</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37</xdr:col>
      <xdr:colOff>29075</xdr:colOff>
      <xdr:row>62</xdr:row>
      <xdr:rowOff>201291</xdr:rowOff>
    </xdr:from>
    <xdr:to>
      <xdr:col>38</xdr:col>
      <xdr:colOff>4561</xdr:colOff>
      <xdr:row>62</xdr:row>
      <xdr:rowOff>201291</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703669</xdr:colOff>
      <xdr:row>62</xdr:row>
      <xdr:rowOff>201291</xdr:rowOff>
    </xdr:from>
    <xdr:to>
      <xdr:col>37</xdr:col>
      <xdr:colOff>850605</xdr:colOff>
      <xdr:row>63</xdr:row>
      <xdr:rowOff>295650</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703669</xdr:colOff>
      <xdr:row>73</xdr:row>
      <xdr:rowOff>68185</xdr:rowOff>
    </xdr:from>
    <xdr:to>
      <xdr:col>37</xdr:col>
      <xdr:colOff>850605</xdr:colOff>
      <xdr:row>73</xdr:row>
      <xdr:rowOff>68185</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29075</xdr:colOff>
      <xdr:row>73</xdr:row>
      <xdr:rowOff>68185</xdr:rowOff>
    </xdr:from>
    <xdr:to>
      <xdr:col>37</xdr:col>
      <xdr:colOff>926805</xdr:colOff>
      <xdr:row>73</xdr:row>
      <xdr:rowOff>68185</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29075</xdr:colOff>
      <xdr:row>62</xdr:row>
      <xdr:rowOff>201291</xdr:rowOff>
    </xdr:from>
    <xdr:to>
      <xdr:col>37</xdr:col>
      <xdr:colOff>926805</xdr:colOff>
      <xdr:row>62</xdr:row>
      <xdr:rowOff>201291</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2</xdr:col>
      <xdr:colOff>121484</xdr:colOff>
      <xdr:row>13</xdr:row>
      <xdr:rowOff>30853</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103737</xdr:rowOff>
    </xdr:from>
    <xdr:to>
      <xdr:col>2</xdr:col>
      <xdr:colOff>121484</xdr:colOff>
      <xdr:row>14</xdr:row>
      <xdr:rowOff>50150</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144861</xdr:rowOff>
    </xdr:from>
    <xdr:to>
      <xdr:col>2</xdr:col>
      <xdr:colOff>121484</xdr:colOff>
      <xdr:row>16</xdr:row>
      <xdr:rowOff>52260</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725259</xdr:colOff>
      <xdr:row>46</xdr:row>
      <xdr:rowOff>70285</xdr:rowOff>
    </xdr:from>
    <xdr:to>
      <xdr:col>38</xdr:col>
      <xdr:colOff>4561</xdr:colOff>
      <xdr:row>46</xdr:row>
      <xdr:rowOff>70285</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703669</xdr:colOff>
      <xdr:row>46</xdr:row>
      <xdr:rowOff>70285</xdr:rowOff>
    </xdr:from>
    <xdr:to>
      <xdr:col>37</xdr:col>
      <xdr:colOff>850605</xdr:colOff>
      <xdr:row>51</xdr:row>
      <xdr:rowOff>73738</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703669</xdr:colOff>
      <xdr:row>53</xdr:row>
      <xdr:rowOff>73647</xdr:rowOff>
    </xdr:from>
    <xdr:to>
      <xdr:col>37</xdr:col>
      <xdr:colOff>850605</xdr:colOff>
      <xdr:row>53</xdr:row>
      <xdr:rowOff>73647</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725259</xdr:colOff>
      <xdr:row>53</xdr:row>
      <xdr:rowOff>73647</xdr:rowOff>
    </xdr:from>
    <xdr:to>
      <xdr:col>37</xdr:col>
      <xdr:colOff>926805</xdr:colOff>
      <xdr:row>53</xdr:row>
      <xdr:rowOff>73647</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725259</xdr:colOff>
      <xdr:row>46</xdr:row>
      <xdr:rowOff>70285</xdr:rowOff>
    </xdr:from>
    <xdr:to>
      <xdr:col>37</xdr:col>
      <xdr:colOff>926805</xdr:colOff>
      <xdr:row>46</xdr:row>
      <xdr:rowOff>70285</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2</xdr:col>
      <xdr:colOff>121484</xdr:colOff>
      <xdr:row>13</xdr:row>
      <xdr:rowOff>30853</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103737</xdr:rowOff>
    </xdr:from>
    <xdr:to>
      <xdr:col>2</xdr:col>
      <xdr:colOff>121484</xdr:colOff>
      <xdr:row>14</xdr:row>
      <xdr:rowOff>50150</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144861</xdr:rowOff>
    </xdr:from>
    <xdr:to>
      <xdr:col>2</xdr:col>
      <xdr:colOff>121484</xdr:colOff>
      <xdr:row>16</xdr:row>
      <xdr:rowOff>52260</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38</xdr:row>
      <xdr:rowOff>152790</xdr:rowOff>
    </xdr:from>
    <xdr:to>
      <xdr:col>38</xdr:col>
      <xdr:colOff>518</xdr:colOff>
      <xdr:row>38</xdr:row>
      <xdr:rowOff>154695</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38</xdr:row>
      <xdr:rowOff>152790</xdr:rowOff>
    </xdr:from>
    <xdr:to>
      <xdr:col>37</xdr:col>
      <xdr:colOff>825607</xdr:colOff>
      <xdr:row>46</xdr:row>
      <xdr:rowOff>144055</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49</xdr:row>
      <xdr:rowOff>136506</xdr:rowOff>
    </xdr:from>
    <xdr:to>
      <xdr:col>37</xdr:col>
      <xdr:colOff>825607</xdr:colOff>
      <xdr:row>49</xdr:row>
      <xdr:rowOff>285731</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49</xdr:row>
      <xdr:rowOff>136506</xdr:rowOff>
    </xdr:from>
    <xdr:to>
      <xdr:col>37</xdr:col>
      <xdr:colOff>901807</xdr:colOff>
      <xdr:row>49</xdr:row>
      <xdr:rowOff>285731</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38</xdr:row>
      <xdr:rowOff>152790</xdr:rowOff>
    </xdr:from>
    <xdr:to>
      <xdr:col>37</xdr:col>
      <xdr:colOff>901807</xdr:colOff>
      <xdr:row>38</xdr:row>
      <xdr:rowOff>154695</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38</xdr:row>
      <xdr:rowOff>152790</xdr:rowOff>
    </xdr:from>
    <xdr:to>
      <xdr:col>38</xdr:col>
      <xdr:colOff>518</xdr:colOff>
      <xdr:row>38</xdr:row>
      <xdr:rowOff>154695</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38</xdr:row>
      <xdr:rowOff>152790</xdr:rowOff>
    </xdr:from>
    <xdr:to>
      <xdr:col>37</xdr:col>
      <xdr:colOff>825607</xdr:colOff>
      <xdr:row>46</xdr:row>
      <xdr:rowOff>144055</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49</xdr:row>
      <xdr:rowOff>136506</xdr:rowOff>
    </xdr:from>
    <xdr:to>
      <xdr:col>37</xdr:col>
      <xdr:colOff>825607</xdr:colOff>
      <xdr:row>49</xdr:row>
      <xdr:rowOff>285731</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49</xdr:row>
      <xdr:rowOff>136506</xdr:rowOff>
    </xdr:from>
    <xdr:to>
      <xdr:col>37</xdr:col>
      <xdr:colOff>901807</xdr:colOff>
      <xdr:row>49</xdr:row>
      <xdr:rowOff>285731</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38</xdr:row>
      <xdr:rowOff>152790</xdr:rowOff>
    </xdr:from>
    <xdr:to>
      <xdr:col>37</xdr:col>
      <xdr:colOff>901807</xdr:colOff>
      <xdr:row>38</xdr:row>
      <xdr:rowOff>154695</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38</xdr:row>
      <xdr:rowOff>152790</xdr:rowOff>
    </xdr:from>
    <xdr:to>
      <xdr:col>38</xdr:col>
      <xdr:colOff>518</xdr:colOff>
      <xdr:row>38</xdr:row>
      <xdr:rowOff>154695</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38</xdr:row>
      <xdr:rowOff>152790</xdr:rowOff>
    </xdr:from>
    <xdr:to>
      <xdr:col>37</xdr:col>
      <xdr:colOff>825607</xdr:colOff>
      <xdr:row>46</xdr:row>
      <xdr:rowOff>86297</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49</xdr:row>
      <xdr:rowOff>143250</xdr:rowOff>
    </xdr:from>
    <xdr:to>
      <xdr:col>37</xdr:col>
      <xdr:colOff>825607</xdr:colOff>
      <xdr:row>49</xdr:row>
      <xdr:rowOff>241054</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49</xdr:row>
      <xdr:rowOff>143250</xdr:rowOff>
    </xdr:from>
    <xdr:to>
      <xdr:col>37</xdr:col>
      <xdr:colOff>901807</xdr:colOff>
      <xdr:row>49</xdr:row>
      <xdr:rowOff>241054</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38</xdr:row>
      <xdr:rowOff>152790</xdr:rowOff>
    </xdr:from>
    <xdr:to>
      <xdr:col>37</xdr:col>
      <xdr:colOff>901807</xdr:colOff>
      <xdr:row>38</xdr:row>
      <xdr:rowOff>154695</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38</xdr:row>
      <xdr:rowOff>152790</xdr:rowOff>
    </xdr:from>
    <xdr:to>
      <xdr:col>38</xdr:col>
      <xdr:colOff>518</xdr:colOff>
      <xdr:row>38</xdr:row>
      <xdr:rowOff>154695</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38</xdr:row>
      <xdr:rowOff>152790</xdr:rowOff>
    </xdr:from>
    <xdr:to>
      <xdr:col>37</xdr:col>
      <xdr:colOff>825607</xdr:colOff>
      <xdr:row>46</xdr:row>
      <xdr:rowOff>86297</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49</xdr:row>
      <xdr:rowOff>143250</xdr:rowOff>
    </xdr:from>
    <xdr:to>
      <xdr:col>37</xdr:col>
      <xdr:colOff>825607</xdr:colOff>
      <xdr:row>49</xdr:row>
      <xdr:rowOff>241054</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49</xdr:row>
      <xdr:rowOff>143250</xdr:rowOff>
    </xdr:from>
    <xdr:to>
      <xdr:col>37</xdr:col>
      <xdr:colOff>901807</xdr:colOff>
      <xdr:row>49</xdr:row>
      <xdr:rowOff>241054</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38</xdr:row>
      <xdr:rowOff>152790</xdr:rowOff>
    </xdr:from>
    <xdr:to>
      <xdr:col>37</xdr:col>
      <xdr:colOff>901807</xdr:colOff>
      <xdr:row>38</xdr:row>
      <xdr:rowOff>154695</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38</xdr:row>
      <xdr:rowOff>152790</xdr:rowOff>
    </xdr:from>
    <xdr:to>
      <xdr:col>38</xdr:col>
      <xdr:colOff>518</xdr:colOff>
      <xdr:row>38</xdr:row>
      <xdr:rowOff>164351</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38</xdr:row>
      <xdr:rowOff>152790</xdr:rowOff>
    </xdr:from>
    <xdr:to>
      <xdr:col>37</xdr:col>
      <xdr:colOff>825607</xdr:colOff>
      <xdr:row>46</xdr:row>
      <xdr:rowOff>86297</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49</xdr:row>
      <xdr:rowOff>143250</xdr:rowOff>
    </xdr:from>
    <xdr:to>
      <xdr:col>37</xdr:col>
      <xdr:colOff>825607</xdr:colOff>
      <xdr:row>49</xdr:row>
      <xdr:rowOff>241054</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49</xdr:row>
      <xdr:rowOff>143250</xdr:rowOff>
    </xdr:from>
    <xdr:to>
      <xdr:col>37</xdr:col>
      <xdr:colOff>901807</xdr:colOff>
      <xdr:row>49</xdr:row>
      <xdr:rowOff>241054</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38</xdr:row>
      <xdr:rowOff>152790</xdr:rowOff>
    </xdr:from>
    <xdr:to>
      <xdr:col>37</xdr:col>
      <xdr:colOff>901807</xdr:colOff>
      <xdr:row>38</xdr:row>
      <xdr:rowOff>164351</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39</xdr:row>
      <xdr:rowOff>56580</xdr:rowOff>
    </xdr:from>
    <xdr:to>
      <xdr:col>38</xdr:col>
      <xdr:colOff>518</xdr:colOff>
      <xdr:row>39</xdr:row>
      <xdr:rowOff>81134</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39</xdr:row>
      <xdr:rowOff>56580</xdr:rowOff>
    </xdr:from>
    <xdr:to>
      <xdr:col>37</xdr:col>
      <xdr:colOff>789412</xdr:colOff>
      <xdr:row>53</xdr:row>
      <xdr:rowOff>29930</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48</xdr:row>
      <xdr:rowOff>149680</xdr:rowOff>
    </xdr:from>
    <xdr:to>
      <xdr:col>37</xdr:col>
      <xdr:colOff>789412</xdr:colOff>
      <xdr:row>48</xdr:row>
      <xdr:rowOff>149680</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48</xdr:row>
      <xdr:rowOff>149680</xdr:rowOff>
    </xdr:from>
    <xdr:to>
      <xdr:col>37</xdr:col>
      <xdr:colOff>865612</xdr:colOff>
      <xdr:row>48</xdr:row>
      <xdr:rowOff>149680</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39</xdr:row>
      <xdr:rowOff>56580</xdr:rowOff>
    </xdr:from>
    <xdr:to>
      <xdr:col>37</xdr:col>
      <xdr:colOff>865612</xdr:colOff>
      <xdr:row>39</xdr:row>
      <xdr:rowOff>81134</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23</xdr:row>
      <xdr:rowOff>5786</xdr:rowOff>
    </xdr:from>
    <xdr:to>
      <xdr:col>2</xdr:col>
      <xdr:colOff>1122829</xdr:colOff>
      <xdr:row>26</xdr:row>
      <xdr:rowOff>129975</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970429</xdr:colOff>
      <xdr:row>11</xdr:row>
      <xdr:rowOff>16852</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12</xdr:row>
      <xdr:rowOff>67695</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336134</xdr:colOff>
      <xdr:row>24</xdr:row>
      <xdr:rowOff>148288</xdr:rowOff>
    </xdr:from>
    <xdr:to>
      <xdr:col>19</xdr:col>
      <xdr:colOff>331989</xdr:colOff>
      <xdr:row>28</xdr:row>
      <xdr:rowOff>276097</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39</xdr:row>
      <xdr:rowOff>56580</xdr:rowOff>
    </xdr:from>
    <xdr:to>
      <xdr:col>38</xdr:col>
      <xdr:colOff>518</xdr:colOff>
      <xdr:row>39</xdr:row>
      <xdr:rowOff>81134</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39</xdr:row>
      <xdr:rowOff>56580</xdr:rowOff>
    </xdr:from>
    <xdr:to>
      <xdr:col>37</xdr:col>
      <xdr:colOff>789412</xdr:colOff>
      <xdr:row>53</xdr:row>
      <xdr:rowOff>29930</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48</xdr:row>
      <xdr:rowOff>149680</xdr:rowOff>
    </xdr:from>
    <xdr:to>
      <xdr:col>37</xdr:col>
      <xdr:colOff>789412</xdr:colOff>
      <xdr:row>48</xdr:row>
      <xdr:rowOff>149680</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48</xdr:row>
      <xdr:rowOff>149680</xdr:rowOff>
    </xdr:from>
    <xdr:to>
      <xdr:col>37</xdr:col>
      <xdr:colOff>865612</xdr:colOff>
      <xdr:row>48</xdr:row>
      <xdr:rowOff>149680</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39</xdr:row>
      <xdr:rowOff>56580</xdr:rowOff>
    </xdr:from>
    <xdr:to>
      <xdr:col>37</xdr:col>
      <xdr:colOff>865612</xdr:colOff>
      <xdr:row>39</xdr:row>
      <xdr:rowOff>81134</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23</xdr:row>
      <xdr:rowOff>5786</xdr:rowOff>
    </xdr:from>
    <xdr:to>
      <xdr:col>2</xdr:col>
      <xdr:colOff>1122829</xdr:colOff>
      <xdr:row>26</xdr:row>
      <xdr:rowOff>129975</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970429</xdr:colOff>
      <xdr:row>11</xdr:row>
      <xdr:rowOff>16852</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12</xdr:row>
      <xdr:rowOff>67695</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336134</xdr:colOff>
      <xdr:row>24</xdr:row>
      <xdr:rowOff>148288</xdr:rowOff>
    </xdr:from>
    <xdr:to>
      <xdr:col>19</xdr:col>
      <xdr:colOff>331989</xdr:colOff>
      <xdr:row>28</xdr:row>
      <xdr:rowOff>276097</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65270</xdr:rowOff>
    </xdr:from>
    <xdr:to>
      <xdr:col>38</xdr:col>
      <xdr:colOff>518</xdr:colOff>
      <xdr:row>57</xdr:row>
      <xdr:rowOff>159153</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54</xdr:row>
      <xdr:rowOff>65270</xdr:rowOff>
    </xdr:from>
    <xdr:to>
      <xdr:col>37</xdr:col>
      <xdr:colOff>789412</xdr:colOff>
      <xdr:row>65</xdr:row>
      <xdr:rowOff>1862</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61</xdr:row>
      <xdr:rowOff>55490</xdr:rowOff>
    </xdr:from>
    <xdr:to>
      <xdr:col>37</xdr:col>
      <xdr:colOff>789412</xdr:colOff>
      <xdr:row>61</xdr:row>
      <xdr:rowOff>55490</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61</xdr:row>
      <xdr:rowOff>55490</xdr:rowOff>
    </xdr:from>
    <xdr:to>
      <xdr:col>37</xdr:col>
      <xdr:colOff>865612</xdr:colOff>
      <xdr:row>61</xdr:row>
      <xdr:rowOff>55490</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65270</xdr:rowOff>
    </xdr:from>
    <xdr:to>
      <xdr:col>37</xdr:col>
      <xdr:colOff>865612</xdr:colOff>
      <xdr:row>57</xdr:row>
      <xdr:rowOff>159153</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107461</xdr:rowOff>
    </xdr:from>
    <xdr:to>
      <xdr:col>2</xdr:col>
      <xdr:colOff>1122829</xdr:colOff>
      <xdr:row>30</xdr:row>
      <xdr:rowOff>73276</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11</xdr:row>
      <xdr:rowOff>16852</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12</xdr:row>
      <xdr:rowOff>67695</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336134</xdr:colOff>
      <xdr:row>31</xdr:row>
      <xdr:rowOff>91998</xdr:rowOff>
    </xdr:from>
    <xdr:to>
      <xdr:col>19</xdr:col>
      <xdr:colOff>331989</xdr:colOff>
      <xdr:row>36</xdr:row>
      <xdr:rowOff>142554</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65270</xdr:rowOff>
    </xdr:from>
    <xdr:to>
      <xdr:col>38</xdr:col>
      <xdr:colOff>518</xdr:colOff>
      <xdr:row>57</xdr:row>
      <xdr:rowOff>159153</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54</xdr:row>
      <xdr:rowOff>65270</xdr:rowOff>
    </xdr:from>
    <xdr:to>
      <xdr:col>37</xdr:col>
      <xdr:colOff>789412</xdr:colOff>
      <xdr:row>65</xdr:row>
      <xdr:rowOff>1862</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61</xdr:row>
      <xdr:rowOff>55490</xdr:rowOff>
    </xdr:from>
    <xdr:to>
      <xdr:col>37</xdr:col>
      <xdr:colOff>789412</xdr:colOff>
      <xdr:row>61</xdr:row>
      <xdr:rowOff>55490</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61</xdr:row>
      <xdr:rowOff>55490</xdr:rowOff>
    </xdr:from>
    <xdr:to>
      <xdr:col>37</xdr:col>
      <xdr:colOff>865612</xdr:colOff>
      <xdr:row>61</xdr:row>
      <xdr:rowOff>55490</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65270</xdr:rowOff>
    </xdr:from>
    <xdr:to>
      <xdr:col>37</xdr:col>
      <xdr:colOff>865612</xdr:colOff>
      <xdr:row>57</xdr:row>
      <xdr:rowOff>159153</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107461</xdr:rowOff>
    </xdr:from>
    <xdr:to>
      <xdr:col>2</xdr:col>
      <xdr:colOff>1122829</xdr:colOff>
      <xdr:row>30</xdr:row>
      <xdr:rowOff>73276</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11</xdr:row>
      <xdr:rowOff>16852</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12</xdr:row>
      <xdr:rowOff>67695</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336134</xdr:colOff>
      <xdr:row>31</xdr:row>
      <xdr:rowOff>91998</xdr:rowOff>
    </xdr:from>
    <xdr:to>
      <xdr:col>19</xdr:col>
      <xdr:colOff>293254</xdr:colOff>
      <xdr:row>36</xdr:row>
      <xdr:rowOff>142554</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91501</xdr:rowOff>
    </xdr:from>
    <xdr:to>
      <xdr:col>38</xdr:col>
      <xdr:colOff>518</xdr:colOff>
      <xdr:row>57</xdr:row>
      <xdr:rowOff>159153</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54</xdr:row>
      <xdr:rowOff>91501</xdr:rowOff>
    </xdr:from>
    <xdr:to>
      <xdr:col>37</xdr:col>
      <xdr:colOff>789412</xdr:colOff>
      <xdr:row>65</xdr:row>
      <xdr:rowOff>1862</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61</xdr:row>
      <xdr:rowOff>55490</xdr:rowOff>
    </xdr:from>
    <xdr:to>
      <xdr:col>37</xdr:col>
      <xdr:colOff>789412</xdr:colOff>
      <xdr:row>61</xdr:row>
      <xdr:rowOff>55490</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61</xdr:row>
      <xdr:rowOff>55490</xdr:rowOff>
    </xdr:from>
    <xdr:to>
      <xdr:col>37</xdr:col>
      <xdr:colOff>865612</xdr:colOff>
      <xdr:row>61</xdr:row>
      <xdr:rowOff>55490</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91501</xdr:rowOff>
    </xdr:from>
    <xdr:to>
      <xdr:col>37</xdr:col>
      <xdr:colOff>865612</xdr:colOff>
      <xdr:row>57</xdr:row>
      <xdr:rowOff>159153</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107461</xdr:rowOff>
    </xdr:from>
    <xdr:to>
      <xdr:col>2</xdr:col>
      <xdr:colOff>1122829</xdr:colOff>
      <xdr:row>30</xdr:row>
      <xdr:rowOff>73276</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11</xdr:row>
      <xdr:rowOff>16852</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12</xdr:row>
      <xdr:rowOff>67695</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336134</xdr:colOff>
      <xdr:row>31</xdr:row>
      <xdr:rowOff>91998</xdr:rowOff>
    </xdr:from>
    <xdr:to>
      <xdr:col>19</xdr:col>
      <xdr:colOff>295794</xdr:colOff>
      <xdr:row>36</xdr:row>
      <xdr:rowOff>142554</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91501</xdr:rowOff>
    </xdr:from>
    <xdr:to>
      <xdr:col>38</xdr:col>
      <xdr:colOff>518</xdr:colOff>
      <xdr:row>57</xdr:row>
      <xdr:rowOff>159153</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54</xdr:row>
      <xdr:rowOff>91501</xdr:rowOff>
    </xdr:from>
    <xdr:to>
      <xdr:col>37</xdr:col>
      <xdr:colOff>789412</xdr:colOff>
      <xdr:row>65</xdr:row>
      <xdr:rowOff>1862</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61</xdr:row>
      <xdr:rowOff>55490</xdr:rowOff>
    </xdr:from>
    <xdr:to>
      <xdr:col>37</xdr:col>
      <xdr:colOff>789412</xdr:colOff>
      <xdr:row>61</xdr:row>
      <xdr:rowOff>55490</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61</xdr:row>
      <xdr:rowOff>55490</xdr:rowOff>
    </xdr:from>
    <xdr:to>
      <xdr:col>37</xdr:col>
      <xdr:colOff>865612</xdr:colOff>
      <xdr:row>61</xdr:row>
      <xdr:rowOff>55490</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91501</xdr:rowOff>
    </xdr:from>
    <xdr:to>
      <xdr:col>37</xdr:col>
      <xdr:colOff>865612</xdr:colOff>
      <xdr:row>57</xdr:row>
      <xdr:rowOff>159153</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107461</xdr:rowOff>
    </xdr:from>
    <xdr:to>
      <xdr:col>2</xdr:col>
      <xdr:colOff>1122829</xdr:colOff>
      <xdr:row>30</xdr:row>
      <xdr:rowOff>73276</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11</xdr:row>
      <xdr:rowOff>16852</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12</xdr:row>
      <xdr:rowOff>67695</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336134</xdr:colOff>
      <xdr:row>31</xdr:row>
      <xdr:rowOff>91998</xdr:rowOff>
    </xdr:from>
    <xdr:to>
      <xdr:col>19</xdr:col>
      <xdr:colOff>295794</xdr:colOff>
      <xdr:row>36</xdr:row>
      <xdr:rowOff>142554</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60</xdr:row>
      <xdr:rowOff>130682</xdr:rowOff>
    </xdr:from>
    <xdr:to>
      <xdr:col>41</xdr:col>
      <xdr:colOff>391394</xdr:colOff>
      <xdr:row>63</xdr:row>
      <xdr:rowOff>93442</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64</xdr:row>
      <xdr:rowOff>82232</xdr:rowOff>
    </xdr:from>
    <xdr:to>
      <xdr:col>41</xdr:col>
      <xdr:colOff>240040</xdr:colOff>
      <xdr:row>84</xdr:row>
      <xdr:rowOff>134014</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59</xdr:row>
      <xdr:rowOff>1106</xdr:rowOff>
    </xdr:from>
    <xdr:to>
      <xdr:col>37</xdr:col>
      <xdr:colOff>790389</xdr:colOff>
      <xdr:row>59</xdr:row>
      <xdr:rowOff>302304</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59</xdr:row>
      <xdr:rowOff>1106</xdr:rowOff>
    </xdr:from>
    <xdr:to>
      <xdr:col>37</xdr:col>
      <xdr:colOff>866589</xdr:colOff>
      <xdr:row>59</xdr:row>
      <xdr:rowOff>302304</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63</xdr:row>
      <xdr:rowOff>292611</xdr:rowOff>
    </xdr:from>
    <xdr:to>
      <xdr:col>41</xdr:col>
      <xdr:colOff>240040</xdr:colOff>
      <xdr:row>69</xdr:row>
      <xdr:rowOff>171997</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29</xdr:row>
      <xdr:rowOff>167961</xdr:rowOff>
    </xdr:from>
    <xdr:to>
      <xdr:col>2</xdr:col>
      <xdr:colOff>1122829</xdr:colOff>
      <xdr:row>32</xdr:row>
      <xdr:rowOff>24810</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105843</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32</xdr:row>
      <xdr:rowOff>48932</xdr:rowOff>
    </xdr:from>
    <xdr:to>
      <xdr:col>19</xdr:col>
      <xdr:colOff>334870</xdr:colOff>
      <xdr:row>44</xdr:row>
      <xdr:rowOff>325</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36</xdr:row>
      <xdr:rowOff>401378</xdr:rowOff>
    </xdr:from>
    <xdr:to>
      <xdr:col>19</xdr:col>
      <xdr:colOff>494255</xdr:colOff>
      <xdr:row>37</xdr:row>
      <xdr:rowOff>81904</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78</xdr:row>
      <xdr:rowOff>262</xdr:rowOff>
    </xdr:from>
    <xdr:to>
      <xdr:col>41</xdr:col>
      <xdr:colOff>378059</xdr:colOff>
      <xdr:row>81</xdr:row>
      <xdr:rowOff>132538</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83</xdr:row>
      <xdr:rowOff>56279</xdr:rowOff>
    </xdr:from>
    <xdr:to>
      <xdr:col>41</xdr:col>
      <xdr:colOff>240040</xdr:colOff>
      <xdr:row>113</xdr:row>
      <xdr:rowOff>63763</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75</xdr:row>
      <xdr:rowOff>177005</xdr:rowOff>
    </xdr:from>
    <xdr:to>
      <xdr:col>37</xdr:col>
      <xdr:colOff>773879</xdr:colOff>
      <xdr:row>77</xdr:row>
      <xdr:rowOff>115495</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75</xdr:row>
      <xdr:rowOff>177005</xdr:rowOff>
    </xdr:from>
    <xdr:to>
      <xdr:col>37</xdr:col>
      <xdr:colOff>866589</xdr:colOff>
      <xdr:row>77</xdr:row>
      <xdr:rowOff>115495</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83</xdr:row>
      <xdr:rowOff>56279</xdr:rowOff>
    </xdr:from>
    <xdr:to>
      <xdr:col>41</xdr:col>
      <xdr:colOff>240040</xdr:colOff>
      <xdr:row>90</xdr:row>
      <xdr:rowOff>100789</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36</xdr:row>
      <xdr:rowOff>399229</xdr:rowOff>
    </xdr:from>
    <xdr:to>
      <xdr:col>2</xdr:col>
      <xdr:colOff>1122829</xdr:colOff>
      <xdr:row>37</xdr:row>
      <xdr:rowOff>24410</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76633</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39</xdr:row>
      <xdr:rowOff>18518</xdr:rowOff>
    </xdr:from>
    <xdr:to>
      <xdr:col>19</xdr:col>
      <xdr:colOff>321535</xdr:colOff>
      <xdr:row>60</xdr:row>
      <xdr:rowOff>169253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14</xdr:row>
      <xdr:rowOff>199163</xdr:rowOff>
    </xdr:from>
    <xdr:to>
      <xdr:col>2</xdr:col>
      <xdr:colOff>1122829</xdr:colOff>
      <xdr:row>18</xdr:row>
      <xdr:rowOff>174796</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16</xdr:row>
      <xdr:rowOff>156758</xdr:rowOff>
    </xdr:from>
    <xdr:to>
      <xdr:col>2</xdr:col>
      <xdr:colOff>1122829</xdr:colOff>
      <xdr:row>20</xdr:row>
      <xdr:rowOff>89436</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41</xdr:row>
      <xdr:rowOff>106483</xdr:rowOff>
    </xdr:from>
    <xdr:to>
      <xdr:col>2</xdr:col>
      <xdr:colOff>1122829</xdr:colOff>
      <xdr:row>45</xdr:row>
      <xdr:rowOff>133143</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399976</xdr:colOff>
      <xdr:row>43</xdr:row>
      <xdr:rowOff>153655</xdr:rowOff>
    </xdr:from>
    <xdr:to>
      <xdr:col>19</xdr:col>
      <xdr:colOff>512035</xdr:colOff>
      <xdr:row>48</xdr:row>
      <xdr:rowOff>45287</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79</xdr:row>
      <xdr:rowOff>19406</xdr:rowOff>
    </xdr:from>
    <xdr:to>
      <xdr:col>41</xdr:col>
      <xdr:colOff>378059</xdr:colOff>
      <xdr:row>82</xdr:row>
      <xdr:rowOff>119791</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83</xdr:row>
      <xdr:rowOff>177361</xdr:rowOff>
    </xdr:from>
    <xdr:to>
      <xdr:col>41</xdr:col>
      <xdr:colOff>249565</xdr:colOff>
      <xdr:row>115</xdr:row>
      <xdr:rowOff>67158</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76</xdr:row>
      <xdr:rowOff>152800</xdr:rowOff>
    </xdr:from>
    <xdr:to>
      <xdr:col>37</xdr:col>
      <xdr:colOff>771339</xdr:colOff>
      <xdr:row>78</xdr:row>
      <xdr:rowOff>66365</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76</xdr:row>
      <xdr:rowOff>152800</xdr:rowOff>
    </xdr:from>
    <xdr:to>
      <xdr:col>37</xdr:col>
      <xdr:colOff>866589</xdr:colOff>
      <xdr:row>78</xdr:row>
      <xdr:rowOff>66365</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83</xdr:row>
      <xdr:rowOff>177361</xdr:rowOff>
    </xdr:from>
    <xdr:to>
      <xdr:col>41</xdr:col>
      <xdr:colOff>249565</xdr:colOff>
      <xdr:row>91</xdr:row>
      <xdr:rowOff>104803</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36</xdr:row>
      <xdr:rowOff>399864</xdr:rowOff>
    </xdr:from>
    <xdr:to>
      <xdr:col>2</xdr:col>
      <xdr:colOff>1122829</xdr:colOff>
      <xdr:row>37</xdr:row>
      <xdr:rowOff>24410</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76633</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38</xdr:row>
      <xdr:rowOff>223898</xdr:rowOff>
    </xdr:from>
    <xdr:to>
      <xdr:col>19</xdr:col>
      <xdr:colOff>315820</xdr:colOff>
      <xdr:row>60</xdr:row>
      <xdr:rowOff>159803</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14</xdr:row>
      <xdr:rowOff>199798</xdr:rowOff>
    </xdr:from>
    <xdr:to>
      <xdr:col>2</xdr:col>
      <xdr:colOff>1122829</xdr:colOff>
      <xdr:row>18</xdr:row>
      <xdr:rowOff>114441</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16</xdr:row>
      <xdr:rowOff>156758</xdr:rowOff>
    </xdr:from>
    <xdr:to>
      <xdr:col>2</xdr:col>
      <xdr:colOff>1122829</xdr:colOff>
      <xdr:row>20</xdr:row>
      <xdr:rowOff>47890</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39</xdr:row>
      <xdr:rowOff>175919</xdr:rowOff>
    </xdr:from>
    <xdr:to>
      <xdr:col>2</xdr:col>
      <xdr:colOff>1132354</xdr:colOff>
      <xdr:row>44</xdr:row>
      <xdr:rowOff>186498</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387911</xdr:colOff>
      <xdr:row>45</xdr:row>
      <xdr:rowOff>7300</xdr:rowOff>
    </xdr:from>
    <xdr:to>
      <xdr:col>19</xdr:col>
      <xdr:colOff>506320</xdr:colOff>
      <xdr:row>49</xdr:row>
      <xdr:rowOff>133563</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66</xdr:row>
      <xdr:rowOff>172972</xdr:rowOff>
    </xdr:from>
    <xdr:to>
      <xdr:col>41</xdr:col>
      <xdr:colOff>378059</xdr:colOff>
      <xdr:row>71</xdr:row>
      <xdr:rowOff>115635</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70</xdr:row>
      <xdr:rowOff>5257</xdr:rowOff>
    </xdr:from>
    <xdr:to>
      <xdr:col>41</xdr:col>
      <xdr:colOff>240040</xdr:colOff>
      <xdr:row>100</xdr:row>
      <xdr:rowOff>18985</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65</xdr:row>
      <xdr:rowOff>72401</xdr:rowOff>
    </xdr:from>
    <xdr:to>
      <xdr:col>37</xdr:col>
      <xdr:colOff>771339</xdr:colOff>
      <xdr:row>67</xdr:row>
      <xdr:rowOff>56300</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65</xdr:row>
      <xdr:rowOff>72401</xdr:rowOff>
    </xdr:from>
    <xdr:to>
      <xdr:col>37</xdr:col>
      <xdr:colOff>866589</xdr:colOff>
      <xdr:row>67</xdr:row>
      <xdr:rowOff>56300</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70</xdr:row>
      <xdr:rowOff>5257</xdr:rowOff>
    </xdr:from>
    <xdr:to>
      <xdr:col>41</xdr:col>
      <xdr:colOff>240040</xdr:colOff>
      <xdr:row>77</xdr:row>
      <xdr:rowOff>100554</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36</xdr:row>
      <xdr:rowOff>399864</xdr:rowOff>
    </xdr:from>
    <xdr:to>
      <xdr:col>2</xdr:col>
      <xdr:colOff>1122829</xdr:colOff>
      <xdr:row>37</xdr:row>
      <xdr:rowOff>24410</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76633</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38</xdr:row>
      <xdr:rowOff>223898</xdr:rowOff>
    </xdr:from>
    <xdr:to>
      <xdr:col>19</xdr:col>
      <xdr:colOff>315820</xdr:colOff>
      <xdr:row>60</xdr:row>
      <xdr:rowOff>168207</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14</xdr:row>
      <xdr:rowOff>199798</xdr:rowOff>
    </xdr:from>
    <xdr:to>
      <xdr:col>2</xdr:col>
      <xdr:colOff>1122829</xdr:colOff>
      <xdr:row>18</xdr:row>
      <xdr:rowOff>114441</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16</xdr:row>
      <xdr:rowOff>156758</xdr:rowOff>
    </xdr:from>
    <xdr:to>
      <xdr:col>2</xdr:col>
      <xdr:colOff>1122829</xdr:colOff>
      <xdr:row>20</xdr:row>
      <xdr:rowOff>47890</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54</xdr:row>
      <xdr:rowOff>5576</xdr:rowOff>
    </xdr:from>
    <xdr:to>
      <xdr:col>41</xdr:col>
      <xdr:colOff>378059</xdr:colOff>
      <xdr:row>59</xdr:row>
      <xdr:rowOff>253606</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91876</xdr:rowOff>
    </xdr:from>
    <xdr:to>
      <xdr:col>41</xdr:col>
      <xdr:colOff>240040</xdr:colOff>
      <xdr:row>78</xdr:row>
      <xdr:rowOff>138711</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52</xdr:row>
      <xdr:rowOff>133749</xdr:rowOff>
    </xdr:from>
    <xdr:to>
      <xdr:col>37</xdr:col>
      <xdr:colOff>752289</xdr:colOff>
      <xdr:row>55</xdr:row>
      <xdr:rowOff>1377</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52</xdr:row>
      <xdr:rowOff>133749</xdr:rowOff>
    </xdr:from>
    <xdr:to>
      <xdr:col>37</xdr:col>
      <xdr:colOff>866589</xdr:colOff>
      <xdr:row>55</xdr:row>
      <xdr:rowOff>1377</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91876</xdr:rowOff>
    </xdr:from>
    <xdr:to>
      <xdr:col>41</xdr:col>
      <xdr:colOff>240040</xdr:colOff>
      <xdr:row>59</xdr:row>
      <xdr:rowOff>167340</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223771</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14692</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53</xdr:row>
      <xdr:rowOff>152261</xdr:rowOff>
    </xdr:from>
    <xdr:to>
      <xdr:col>41</xdr:col>
      <xdr:colOff>378059</xdr:colOff>
      <xdr:row>59</xdr:row>
      <xdr:rowOff>253606</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46156</xdr:rowOff>
    </xdr:from>
    <xdr:to>
      <xdr:col>41</xdr:col>
      <xdr:colOff>240040</xdr:colOff>
      <xdr:row>78</xdr:row>
      <xdr:rowOff>134266</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52</xdr:row>
      <xdr:rowOff>133749</xdr:rowOff>
    </xdr:from>
    <xdr:to>
      <xdr:col>37</xdr:col>
      <xdr:colOff>752289</xdr:colOff>
      <xdr:row>55</xdr:row>
      <xdr:rowOff>1377</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52</xdr:row>
      <xdr:rowOff>133749</xdr:rowOff>
    </xdr:from>
    <xdr:to>
      <xdr:col>37</xdr:col>
      <xdr:colOff>866589</xdr:colOff>
      <xdr:row>55</xdr:row>
      <xdr:rowOff>1377</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46156</xdr:rowOff>
    </xdr:from>
    <xdr:to>
      <xdr:col>41</xdr:col>
      <xdr:colOff>240040</xdr:colOff>
      <xdr:row>59</xdr:row>
      <xdr:rowOff>148925</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223771</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29297</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53</xdr:row>
      <xdr:rowOff>152261</xdr:rowOff>
    </xdr:from>
    <xdr:to>
      <xdr:col>41</xdr:col>
      <xdr:colOff>378059</xdr:colOff>
      <xdr:row>59</xdr:row>
      <xdr:rowOff>253606</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46156</xdr:rowOff>
    </xdr:from>
    <xdr:to>
      <xdr:col>41</xdr:col>
      <xdr:colOff>240040</xdr:colOff>
      <xdr:row>78</xdr:row>
      <xdr:rowOff>134266</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52</xdr:row>
      <xdr:rowOff>133749</xdr:rowOff>
    </xdr:from>
    <xdr:to>
      <xdr:col>37</xdr:col>
      <xdr:colOff>752289</xdr:colOff>
      <xdr:row>55</xdr:row>
      <xdr:rowOff>1377</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52</xdr:row>
      <xdr:rowOff>133749</xdr:rowOff>
    </xdr:from>
    <xdr:to>
      <xdr:col>37</xdr:col>
      <xdr:colOff>866589</xdr:colOff>
      <xdr:row>55</xdr:row>
      <xdr:rowOff>1377</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46156</xdr:rowOff>
    </xdr:from>
    <xdr:to>
      <xdr:col>41</xdr:col>
      <xdr:colOff>240040</xdr:colOff>
      <xdr:row>59</xdr:row>
      <xdr:rowOff>148925</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223771</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29297</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59</xdr:row>
      <xdr:rowOff>285590</xdr:rowOff>
    </xdr:from>
    <xdr:to>
      <xdr:col>41</xdr:col>
      <xdr:colOff>378059</xdr:colOff>
      <xdr:row>64</xdr:row>
      <xdr:rowOff>229096</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85</xdr:row>
      <xdr:rowOff>132959</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59</xdr:row>
      <xdr:rowOff>17652</xdr:rowOff>
    </xdr:from>
    <xdr:to>
      <xdr:col>37</xdr:col>
      <xdr:colOff>752289</xdr:colOff>
      <xdr:row>60</xdr:row>
      <xdr:rowOff>153640</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59</xdr:row>
      <xdr:rowOff>17652</xdr:rowOff>
    </xdr:from>
    <xdr:to>
      <xdr:col>37</xdr:col>
      <xdr:colOff>866589</xdr:colOff>
      <xdr:row>60</xdr:row>
      <xdr:rowOff>153640</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64</xdr:row>
      <xdr:rowOff>87491</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223771</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29858</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36</xdr:row>
      <xdr:rowOff>329977</xdr:rowOff>
    </xdr:from>
    <xdr:to>
      <xdr:col>19</xdr:col>
      <xdr:colOff>342490</xdr:colOff>
      <xdr:row>37</xdr:row>
      <xdr:rowOff>83589</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59</xdr:row>
      <xdr:rowOff>285590</xdr:rowOff>
    </xdr:from>
    <xdr:to>
      <xdr:col>41</xdr:col>
      <xdr:colOff>378059</xdr:colOff>
      <xdr:row>64</xdr:row>
      <xdr:rowOff>229096</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85</xdr:row>
      <xdr:rowOff>132959</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59</xdr:row>
      <xdr:rowOff>17652</xdr:rowOff>
    </xdr:from>
    <xdr:to>
      <xdr:col>37</xdr:col>
      <xdr:colOff>752289</xdr:colOff>
      <xdr:row>60</xdr:row>
      <xdr:rowOff>153640</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59</xdr:row>
      <xdr:rowOff>17652</xdr:rowOff>
    </xdr:from>
    <xdr:to>
      <xdr:col>37</xdr:col>
      <xdr:colOff>866589</xdr:colOff>
      <xdr:row>60</xdr:row>
      <xdr:rowOff>153640</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64</xdr:row>
      <xdr:rowOff>87491</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223771</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29858</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36</xdr:row>
      <xdr:rowOff>329977</xdr:rowOff>
    </xdr:from>
    <xdr:to>
      <xdr:col>19</xdr:col>
      <xdr:colOff>342490</xdr:colOff>
      <xdr:row>37</xdr:row>
      <xdr:rowOff>83589</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59</xdr:row>
      <xdr:rowOff>285590</xdr:rowOff>
    </xdr:from>
    <xdr:to>
      <xdr:col>41</xdr:col>
      <xdr:colOff>378059</xdr:colOff>
      <xdr:row>64</xdr:row>
      <xdr:rowOff>229096</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85</xdr:row>
      <xdr:rowOff>132959</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59</xdr:row>
      <xdr:rowOff>17652</xdr:rowOff>
    </xdr:from>
    <xdr:to>
      <xdr:col>37</xdr:col>
      <xdr:colOff>752289</xdr:colOff>
      <xdr:row>60</xdr:row>
      <xdr:rowOff>153640</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59</xdr:row>
      <xdr:rowOff>17652</xdr:rowOff>
    </xdr:from>
    <xdr:to>
      <xdr:col>37</xdr:col>
      <xdr:colOff>866589</xdr:colOff>
      <xdr:row>60</xdr:row>
      <xdr:rowOff>153640</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64</xdr:row>
      <xdr:rowOff>87491</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223771</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29858</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36</xdr:row>
      <xdr:rowOff>329977</xdr:rowOff>
    </xdr:from>
    <xdr:to>
      <xdr:col>19</xdr:col>
      <xdr:colOff>342490</xdr:colOff>
      <xdr:row>37</xdr:row>
      <xdr:rowOff>83589</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59</xdr:row>
      <xdr:rowOff>285590</xdr:rowOff>
    </xdr:from>
    <xdr:to>
      <xdr:col>41</xdr:col>
      <xdr:colOff>378059</xdr:colOff>
      <xdr:row>64</xdr:row>
      <xdr:rowOff>229096</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85</xdr:row>
      <xdr:rowOff>132959</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59</xdr:row>
      <xdr:rowOff>17652</xdr:rowOff>
    </xdr:from>
    <xdr:to>
      <xdr:col>37</xdr:col>
      <xdr:colOff>752289</xdr:colOff>
      <xdr:row>60</xdr:row>
      <xdr:rowOff>153640</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59</xdr:row>
      <xdr:rowOff>17652</xdr:rowOff>
    </xdr:from>
    <xdr:to>
      <xdr:col>37</xdr:col>
      <xdr:colOff>866589</xdr:colOff>
      <xdr:row>60</xdr:row>
      <xdr:rowOff>153640</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64</xdr:row>
      <xdr:rowOff>60821</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223771</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29858</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36</xdr:row>
      <xdr:rowOff>328707</xdr:rowOff>
    </xdr:from>
    <xdr:to>
      <xdr:col>19</xdr:col>
      <xdr:colOff>334870</xdr:colOff>
      <xdr:row>37</xdr:row>
      <xdr:rowOff>83589</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59</xdr:row>
      <xdr:rowOff>285590</xdr:rowOff>
    </xdr:from>
    <xdr:to>
      <xdr:col>41</xdr:col>
      <xdr:colOff>378059</xdr:colOff>
      <xdr:row>64</xdr:row>
      <xdr:rowOff>229096</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85</xdr:row>
      <xdr:rowOff>132959</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59</xdr:row>
      <xdr:rowOff>17652</xdr:rowOff>
    </xdr:from>
    <xdr:to>
      <xdr:col>37</xdr:col>
      <xdr:colOff>752289</xdr:colOff>
      <xdr:row>60</xdr:row>
      <xdr:rowOff>153640</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59</xdr:row>
      <xdr:rowOff>17652</xdr:rowOff>
    </xdr:from>
    <xdr:to>
      <xdr:col>37</xdr:col>
      <xdr:colOff>866589</xdr:colOff>
      <xdr:row>60</xdr:row>
      <xdr:rowOff>153640</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64</xdr:row>
      <xdr:rowOff>60821</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223771</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29858</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36</xdr:row>
      <xdr:rowOff>328707</xdr:rowOff>
    </xdr:from>
    <xdr:to>
      <xdr:col>19</xdr:col>
      <xdr:colOff>334870</xdr:colOff>
      <xdr:row>37</xdr:row>
      <xdr:rowOff>83589</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59</xdr:row>
      <xdr:rowOff>285590</xdr:rowOff>
    </xdr:from>
    <xdr:to>
      <xdr:col>41</xdr:col>
      <xdr:colOff>378059</xdr:colOff>
      <xdr:row>64</xdr:row>
      <xdr:rowOff>229096</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85</xdr:row>
      <xdr:rowOff>132959</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59</xdr:row>
      <xdr:rowOff>17652</xdr:rowOff>
    </xdr:from>
    <xdr:to>
      <xdr:col>37</xdr:col>
      <xdr:colOff>752289</xdr:colOff>
      <xdr:row>60</xdr:row>
      <xdr:rowOff>153640</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59</xdr:row>
      <xdr:rowOff>17652</xdr:rowOff>
    </xdr:from>
    <xdr:to>
      <xdr:col>37</xdr:col>
      <xdr:colOff>866589</xdr:colOff>
      <xdr:row>60</xdr:row>
      <xdr:rowOff>153640</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64</xdr:row>
      <xdr:rowOff>60821</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223771</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29858</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36</xdr:row>
      <xdr:rowOff>328707</xdr:rowOff>
    </xdr:from>
    <xdr:to>
      <xdr:col>19</xdr:col>
      <xdr:colOff>334870</xdr:colOff>
      <xdr:row>37</xdr:row>
      <xdr:rowOff>83589</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59</xdr:row>
      <xdr:rowOff>285590</xdr:rowOff>
    </xdr:from>
    <xdr:to>
      <xdr:col>41</xdr:col>
      <xdr:colOff>378059</xdr:colOff>
      <xdr:row>64</xdr:row>
      <xdr:rowOff>229096</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85</xdr:row>
      <xdr:rowOff>132959</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59</xdr:row>
      <xdr:rowOff>17652</xdr:rowOff>
    </xdr:from>
    <xdr:to>
      <xdr:col>37</xdr:col>
      <xdr:colOff>752289</xdr:colOff>
      <xdr:row>60</xdr:row>
      <xdr:rowOff>153640</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59</xdr:row>
      <xdr:rowOff>17652</xdr:rowOff>
    </xdr:from>
    <xdr:to>
      <xdr:col>37</xdr:col>
      <xdr:colOff>866589</xdr:colOff>
      <xdr:row>60</xdr:row>
      <xdr:rowOff>153640</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64</xdr:row>
      <xdr:rowOff>60821</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223771</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29858</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36</xdr:row>
      <xdr:rowOff>328707</xdr:rowOff>
    </xdr:from>
    <xdr:to>
      <xdr:col>19</xdr:col>
      <xdr:colOff>334870</xdr:colOff>
      <xdr:row>37</xdr:row>
      <xdr:rowOff>83589</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53</xdr:row>
      <xdr:rowOff>172805</xdr:rowOff>
    </xdr:from>
    <xdr:to>
      <xdr:col>41</xdr:col>
      <xdr:colOff>378059</xdr:colOff>
      <xdr:row>59</xdr:row>
      <xdr:rowOff>291342</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44475</xdr:rowOff>
    </xdr:from>
    <xdr:to>
      <xdr:col>41</xdr:col>
      <xdr:colOff>240040</xdr:colOff>
      <xdr:row>78</xdr:row>
      <xdr:rowOff>104944</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53</xdr:row>
      <xdr:rowOff>57932</xdr:rowOff>
    </xdr:from>
    <xdr:to>
      <xdr:col>37</xdr:col>
      <xdr:colOff>752289</xdr:colOff>
      <xdr:row>55</xdr:row>
      <xdr:rowOff>129902</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53</xdr:row>
      <xdr:rowOff>57932</xdr:rowOff>
    </xdr:from>
    <xdr:to>
      <xdr:col>37</xdr:col>
      <xdr:colOff>866589</xdr:colOff>
      <xdr:row>55</xdr:row>
      <xdr:rowOff>129902</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44475</xdr:rowOff>
    </xdr:from>
    <xdr:to>
      <xdr:col>41</xdr:col>
      <xdr:colOff>240040</xdr:colOff>
      <xdr:row>59</xdr:row>
      <xdr:rowOff>92834</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223771</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9986</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53</xdr:row>
      <xdr:rowOff>172805</xdr:rowOff>
    </xdr:from>
    <xdr:to>
      <xdr:col>41</xdr:col>
      <xdr:colOff>378059</xdr:colOff>
      <xdr:row>59</xdr:row>
      <xdr:rowOff>254353</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44475</xdr:rowOff>
    </xdr:from>
    <xdr:to>
      <xdr:col>41</xdr:col>
      <xdr:colOff>240040</xdr:colOff>
      <xdr:row>78</xdr:row>
      <xdr:rowOff>104944</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53</xdr:row>
      <xdr:rowOff>57932</xdr:rowOff>
    </xdr:from>
    <xdr:to>
      <xdr:col>37</xdr:col>
      <xdr:colOff>752289</xdr:colOff>
      <xdr:row>55</xdr:row>
      <xdr:rowOff>115932</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53</xdr:row>
      <xdr:rowOff>57932</xdr:rowOff>
    </xdr:from>
    <xdr:to>
      <xdr:col>37</xdr:col>
      <xdr:colOff>866589</xdr:colOff>
      <xdr:row>55</xdr:row>
      <xdr:rowOff>115932</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44475</xdr:rowOff>
    </xdr:from>
    <xdr:to>
      <xdr:col>41</xdr:col>
      <xdr:colOff>240040</xdr:colOff>
      <xdr:row>59</xdr:row>
      <xdr:rowOff>129664</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223771</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55</xdr:row>
      <xdr:rowOff>183658</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53</xdr:row>
      <xdr:rowOff>172805</xdr:rowOff>
    </xdr:from>
    <xdr:to>
      <xdr:col>41</xdr:col>
      <xdr:colOff>378059</xdr:colOff>
      <xdr:row>59</xdr:row>
      <xdr:rowOff>254353</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44475</xdr:rowOff>
    </xdr:from>
    <xdr:to>
      <xdr:col>41</xdr:col>
      <xdr:colOff>240040</xdr:colOff>
      <xdr:row>78</xdr:row>
      <xdr:rowOff>104944</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53</xdr:row>
      <xdr:rowOff>57932</xdr:rowOff>
    </xdr:from>
    <xdr:to>
      <xdr:col>37</xdr:col>
      <xdr:colOff>752289</xdr:colOff>
      <xdr:row>55</xdr:row>
      <xdr:rowOff>115932</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53</xdr:row>
      <xdr:rowOff>57932</xdr:rowOff>
    </xdr:from>
    <xdr:to>
      <xdr:col>37</xdr:col>
      <xdr:colOff>866589</xdr:colOff>
      <xdr:row>55</xdr:row>
      <xdr:rowOff>115932</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44475</xdr:rowOff>
    </xdr:from>
    <xdr:to>
      <xdr:col>41</xdr:col>
      <xdr:colOff>240040</xdr:colOff>
      <xdr:row>59</xdr:row>
      <xdr:rowOff>129664</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223771</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55</xdr:row>
      <xdr:rowOff>183658</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53</xdr:row>
      <xdr:rowOff>172805</xdr:rowOff>
    </xdr:from>
    <xdr:to>
      <xdr:col>41</xdr:col>
      <xdr:colOff>378059</xdr:colOff>
      <xdr:row>59</xdr:row>
      <xdr:rowOff>254353</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44475</xdr:rowOff>
    </xdr:from>
    <xdr:to>
      <xdr:col>41</xdr:col>
      <xdr:colOff>240040</xdr:colOff>
      <xdr:row>78</xdr:row>
      <xdr:rowOff>104944</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53</xdr:row>
      <xdr:rowOff>57932</xdr:rowOff>
    </xdr:from>
    <xdr:to>
      <xdr:col>37</xdr:col>
      <xdr:colOff>752289</xdr:colOff>
      <xdr:row>55</xdr:row>
      <xdr:rowOff>115932</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53</xdr:row>
      <xdr:rowOff>57932</xdr:rowOff>
    </xdr:from>
    <xdr:to>
      <xdr:col>37</xdr:col>
      <xdr:colOff>866589</xdr:colOff>
      <xdr:row>55</xdr:row>
      <xdr:rowOff>115932</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44475</xdr:rowOff>
    </xdr:from>
    <xdr:to>
      <xdr:col>41</xdr:col>
      <xdr:colOff>240040</xdr:colOff>
      <xdr:row>59</xdr:row>
      <xdr:rowOff>129664</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223771</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55</xdr:row>
      <xdr:rowOff>183658</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19</xdr:row>
      <xdr:rowOff>200272</xdr:rowOff>
    </xdr:from>
    <xdr:to>
      <xdr:col>2</xdr:col>
      <xdr:colOff>1122829</xdr:colOff>
      <xdr:row>24</xdr:row>
      <xdr:rowOff>167403</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200287</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23</xdr:row>
      <xdr:rowOff>139212</xdr:rowOff>
    </xdr:from>
    <xdr:to>
      <xdr:col>19</xdr:col>
      <xdr:colOff>296770</xdr:colOff>
      <xdr:row>48</xdr:row>
      <xdr:rowOff>7309</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3628277</xdr:colOff>
      <xdr:row>20</xdr:row>
      <xdr:rowOff>162125</xdr:rowOff>
    </xdr:from>
    <xdr:to>
      <xdr:col>2</xdr:col>
      <xdr:colOff>989479</xdr:colOff>
      <xdr:row>24</xdr:row>
      <xdr:rowOff>148353</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190467</xdr:rowOff>
    </xdr:from>
    <xdr:to>
      <xdr:col>2</xdr:col>
      <xdr:colOff>1122829</xdr:colOff>
      <xdr:row>23</xdr:row>
      <xdr:rowOff>5336</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197866</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190467</xdr:rowOff>
    </xdr:from>
    <xdr:to>
      <xdr:col>2</xdr:col>
      <xdr:colOff>1122829</xdr:colOff>
      <xdr:row>23</xdr:row>
      <xdr:rowOff>5336</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197866</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18</xdr:row>
      <xdr:rowOff>30036</xdr:rowOff>
    </xdr:from>
    <xdr:to>
      <xdr:col>2</xdr:col>
      <xdr:colOff>1122829</xdr:colOff>
      <xdr:row>23</xdr:row>
      <xdr:rowOff>5336</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197866</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18</xdr:row>
      <xdr:rowOff>7811</xdr:rowOff>
    </xdr:from>
    <xdr:to>
      <xdr:col>2</xdr:col>
      <xdr:colOff>1122829</xdr:colOff>
      <xdr:row>23</xdr:row>
      <xdr:rowOff>5336</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18</xdr:row>
      <xdr:rowOff>7811</xdr:rowOff>
    </xdr:from>
    <xdr:to>
      <xdr:col>2</xdr:col>
      <xdr:colOff>1122829</xdr:colOff>
      <xdr:row>23</xdr:row>
      <xdr:rowOff>5336</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277719</xdr:colOff>
      <xdr:row>23</xdr:row>
      <xdr:rowOff>132302</xdr:rowOff>
    </xdr:from>
    <xdr:to>
      <xdr:col>22</xdr:col>
      <xdr:colOff>372969</xdr:colOff>
      <xdr:row>27</xdr:row>
      <xdr:rowOff>141278</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29</xdr:row>
      <xdr:rowOff>72106</xdr:rowOff>
    </xdr:from>
    <xdr:to>
      <xdr:col>2</xdr:col>
      <xdr:colOff>1122829</xdr:colOff>
      <xdr:row>35</xdr:row>
      <xdr:rowOff>73519</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36</xdr:row>
      <xdr:rowOff>330669</xdr:rowOff>
    </xdr:from>
    <xdr:to>
      <xdr:col>22</xdr:col>
      <xdr:colOff>372969</xdr:colOff>
      <xdr:row>44</xdr:row>
      <xdr:rowOff>210171</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29</xdr:row>
      <xdr:rowOff>72106</xdr:rowOff>
    </xdr:from>
    <xdr:to>
      <xdr:col>2</xdr:col>
      <xdr:colOff>1122829</xdr:colOff>
      <xdr:row>35</xdr:row>
      <xdr:rowOff>54469</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36</xdr:row>
      <xdr:rowOff>330669</xdr:rowOff>
    </xdr:from>
    <xdr:to>
      <xdr:col>22</xdr:col>
      <xdr:colOff>372969</xdr:colOff>
      <xdr:row>44</xdr:row>
      <xdr:rowOff>210171</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42644</xdr:rowOff>
    </xdr:from>
    <xdr:to>
      <xdr:col>2</xdr:col>
      <xdr:colOff>1132354</xdr:colOff>
      <xdr:row>24</xdr:row>
      <xdr:rowOff>63609</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28</xdr:row>
      <xdr:rowOff>2278</xdr:rowOff>
    </xdr:from>
    <xdr:to>
      <xdr:col>22</xdr:col>
      <xdr:colOff>372969</xdr:colOff>
      <xdr:row>38</xdr:row>
      <xdr:rowOff>122656</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277719</xdr:colOff>
      <xdr:row>9</xdr:row>
      <xdr:rowOff>142875</xdr:rowOff>
    </xdr:from>
    <xdr:to>
      <xdr:col>25</xdr:col>
      <xdr:colOff>353919</xdr:colOff>
      <xdr:row>13</xdr:row>
      <xdr:rowOff>70441</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42644</xdr:rowOff>
    </xdr:from>
    <xdr:to>
      <xdr:col>2</xdr:col>
      <xdr:colOff>1122829</xdr:colOff>
      <xdr:row>24</xdr:row>
      <xdr:rowOff>63609</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28</xdr:row>
      <xdr:rowOff>5453</xdr:rowOff>
    </xdr:from>
    <xdr:to>
      <xdr:col>22</xdr:col>
      <xdr:colOff>372969</xdr:colOff>
      <xdr:row>38</xdr:row>
      <xdr:rowOff>124910</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277719</xdr:colOff>
      <xdr:row>9</xdr:row>
      <xdr:rowOff>133350</xdr:rowOff>
    </xdr:from>
    <xdr:to>
      <xdr:col>25</xdr:col>
      <xdr:colOff>353919</xdr:colOff>
      <xdr:row>13</xdr:row>
      <xdr:rowOff>70441</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412190</xdr:colOff>
      <xdr:row>9</xdr:row>
      <xdr:rowOff>152400</xdr:rowOff>
    </xdr:from>
    <xdr:to>
      <xdr:col>31</xdr:col>
      <xdr:colOff>210670</xdr:colOff>
      <xdr:row>13</xdr:row>
      <xdr:rowOff>70441</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10</xdr:row>
      <xdr:rowOff>152400</xdr:rowOff>
    </xdr:from>
    <xdr:to>
      <xdr:col>34</xdr:col>
      <xdr:colOff>210671</xdr:colOff>
      <xdr:row>14</xdr:row>
      <xdr:rowOff>88586</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42644</xdr:rowOff>
    </xdr:from>
    <xdr:to>
      <xdr:col>2</xdr:col>
      <xdr:colOff>1122829</xdr:colOff>
      <xdr:row>24</xdr:row>
      <xdr:rowOff>63609</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28</xdr:row>
      <xdr:rowOff>5453</xdr:rowOff>
    </xdr:from>
    <xdr:to>
      <xdr:col>22</xdr:col>
      <xdr:colOff>372969</xdr:colOff>
      <xdr:row>38</xdr:row>
      <xdr:rowOff>124910</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277719</xdr:colOff>
      <xdr:row>9</xdr:row>
      <xdr:rowOff>133350</xdr:rowOff>
    </xdr:from>
    <xdr:to>
      <xdr:col>25</xdr:col>
      <xdr:colOff>353919</xdr:colOff>
      <xdr:row>13</xdr:row>
      <xdr:rowOff>70441</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412190</xdr:colOff>
      <xdr:row>9</xdr:row>
      <xdr:rowOff>152400</xdr:rowOff>
    </xdr:from>
    <xdr:to>
      <xdr:col>31</xdr:col>
      <xdr:colOff>210670</xdr:colOff>
      <xdr:row>13</xdr:row>
      <xdr:rowOff>70441</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10</xdr:row>
      <xdr:rowOff>152400</xdr:rowOff>
    </xdr:from>
    <xdr:to>
      <xdr:col>34</xdr:col>
      <xdr:colOff>210671</xdr:colOff>
      <xdr:row>14</xdr:row>
      <xdr:rowOff>88586</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42644</xdr:rowOff>
    </xdr:from>
    <xdr:to>
      <xdr:col>2</xdr:col>
      <xdr:colOff>1122829</xdr:colOff>
      <xdr:row>24</xdr:row>
      <xdr:rowOff>63609</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28</xdr:row>
      <xdr:rowOff>5453</xdr:rowOff>
    </xdr:from>
    <xdr:to>
      <xdr:col>22</xdr:col>
      <xdr:colOff>372969</xdr:colOff>
      <xdr:row>38</xdr:row>
      <xdr:rowOff>124910</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277719</xdr:colOff>
      <xdr:row>9</xdr:row>
      <xdr:rowOff>133350</xdr:rowOff>
    </xdr:from>
    <xdr:to>
      <xdr:col>25</xdr:col>
      <xdr:colOff>353919</xdr:colOff>
      <xdr:row>13</xdr:row>
      <xdr:rowOff>70441</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412190</xdr:colOff>
      <xdr:row>9</xdr:row>
      <xdr:rowOff>152400</xdr:rowOff>
    </xdr:from>
    <xdr:to>
      <xdr:col>31</xdr:col>
      <xdr:colOff>210670</xdr:colOff>
      <xdr:row>13</xdr:row>
      <xdr:rowOff>70441</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10</xdr:row>
      <xdr:rowOff>152400</xdr:rowOff>
    </xdr:from>
    <xdr:to>
      <xdr:col>34</xdr:col>
      <xdr:colOff>210671</xdr:colOff>
      <xdr:row>14</xdr:row>
      <xdr:rowOff>88586</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42644</xdr:rowOff>
    </xdr:from>
    <xdr:to>
      <xdr:col>2</xdr:col>
      <xdr:colOff>1122829</xdr:colOff>
      <xdr:row>24</xdr:row>
      <xdr:rowOff>63609</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28</xdr:row>
      <xdr:rowOff>5453</xdr:rowOff>
    </xdr:from>
    <xdr:to>
      <xdr:col>22</xdr:col>
      <xdr:colOff>372969</xdr:colOff>
      <xdr:row>38</xdr:row>
      <xdr:rowOff>124910</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277719</xdr:colOff>
      <xdr:row>9</xdr:row>
      <xdr:rowOff>133350</xdr:rowOff>
    </xdr:from>
    <xdr:to>
      <xdr:col>25</xdr:col>
      <xdr:colOff>353919</xdr:colOff>
      <xdr:row>13</xdr:row>
      <xdr:rowOff>70441</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412190</xdr:colOff>
      <xdr:row>9</xdr:row>
      <xdr:rowOff>152400</xdr:rowOff>
    </xdr:from>
    <xdr:to>
      <xdr:col>31</xdr:col>
      <xdr:colOff>210670</xdr:colOff>
      <xdr:row>13</xdr:row>
      <xdr:rowOff>70441</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10</xdr:row>
      <xdr:rowOff>152400</xdr:rowOff>
    </xdr:from>
    <xdr:to>
      <xdr:col>34</xdr:col>
      <xdr:colOff>210671</xdr:colOff>
      <xdr:row>14</xdr:row>
      <xdr:rowOff>88586</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15031</xdr:rowOff>
    </xdr:from>
    <xdr:to>
      <xdr:col>2</xdr:col>
      <xdr:colOff>1122829</xdr:colOff>
      <xdr:row>24</xdr:row>
      <xdr:rowOff>25509</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32341</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277719</xdr:colOff>
      <xdr:row>25</xdr:row>
      <xdr:rowOff>128193</xdr:rowOff>
    </xdr:from>
    <xdr:to>
      <xdr:col>25</xdr:col>
      <xdr:colOff>353919</xdr:colOff>
      <xdr:row>28</xdr:row>
      <xdr:rowOff>353793</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15031</xdr:rowOff>
    </xdr:from>
    <xdr:to>
      <xdr:col>2</xdr:col>
      <xdr:colOff>1122829</xdr:colOff>
      <xdr:row>24</xdr:row>
      <xdr:rowOff>25509</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32341</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15031</xdr:rowOff>
    </xdr:from>
    <xdr:to>
      <xdr:col>2</xdr:col>
      <xdr:colOff>1122829</xdr:colOff>
      <xdr:row>24</xdr:row>
      <xdr:rowOff>25509</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32341</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15031</xdr:rowOff>
    </xdr:from>
    <xdr:to>
      <xdr:col>2</xdr:col>
      <xdr:colOff>1122829</xdr:colOff>
      <xdr:row>24</xdr:row>
      <xdr:rowOff>25509</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32341</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15031</xdr:rowOff>
    </xdr:from>
    <xdr:to>
      <xdr:col>2</xdr:col>
      <xdr:colOff>1122829</xdr:colOff>
      <xdr:row>24</xdr:row>
      <xdr:rowOff>25509</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32341</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15031</xdr:rowOff>
    </xdr:from>
    <xdr:to>
      <xdr:col>2</xdr:col>
      <xdr:colOff>1122829</xdr:colOff>
      <xdr:row>24</xdr:row>
      <xdr:rowOff>25509</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32341</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15031</xdr:rowOff>
    </xdr:from>
    <xdr:to>
      <xdr:col>2</xdr:col>
      <xdr:colOff>1122829</xdr:colOff>
      <xdr:row>24</xdr:row>
      <xdr:rowOff>25509</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32341</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15031</xdr:rowOff>
    </xdr:from>
    <xdr:to>
      <xdr:col>2</xdr:col>
      <xdr:colOff>1122829</xdr:colOff>
      <xdr:row>24</xdr:row>
      <xdr:rowOff>25509</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32341</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15031</xdr:rowOff>
    </xdr:from>
    <xdr:to>
      <xdr:col>2</xdr:col>
      <xdr:colOff>1122829</xdr:colOff>
      <xdr:row>24</xdr:row>
      <xdr:rowOff>25509</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32341</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15031</xdr:rowOff>
    </xdr:from>
    <xdr:to>
      <xdr:col>2</xdr:col>
      <xdr:colOff>1122829</xdr:colOff>
      <xdr:row>24</xdr:row>
      <xdr:rowOff>25509</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32341</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15031</xdr:rowOff>
    </xdr:from>
    <xdr:to>
      <xdr:col>2</xdr:col>
      <xdr:colOff>1122829</xdr:colOff>
      <xdr:row>24</xdr:row>
      <xdr:rowOff>25509</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32341</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23</xdr:row>
      <xdr:rowOff>120349</xdr:rowOff>
    </xdr:from>
    <xdr:to>
      <xdr:col>2</xdr:col>
      <xdr:colOff>1135529</xdr:colOff>
      <xdr:row>27</xdr:row>
      <xdr:rowOff>107053</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15031</xdr:rowOff>
    </xdr:from>
    <xdr:to>
      <xdr:col>2</xdr:col>
      <xdr:colOff>1122829</xdr:colOff>
      <xdr:row>24</xdr:row>
      <xdr:rowOff>25509</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32341</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23</xdr:row>
      <xdr:rowOff>120349</xdr:rowOff>
    </xdr:from>
    <xdr:to>
      <xdr:col>2</xdr:col>
      <xdr:colOff>1122829</xdr:colOff>
      <xdr:row>27</xdr:row>
      <xdr:rowOff>107053</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15031</xdr:rowOff>
    </xdr:from>
    <xdr:to>
      <xdr:col>2</xdr:col>
      <xdr:colOff>1122829</xdr:colOff>
      <xdr:row>24</xdr:row>
      <xdr:rowOff>25509</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32341</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23</xdr:row>
      <xdr:rowOff>120349</xdr:rowOff>
    </xdr:from>
    <xdr:to>
      <xdr:col>2</xdr:col>
      <xdr:colOff>1122829</xdr:colOff>
      <xdr:row>27</xdr:row>
      <xdr:rowOff>107053</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15031</xdr:rowOff>
    </xdr:from>
    <xdr:to>
      <xdr:col>2</xdr:col>
      <xdr:colOff>1122829</xdr:colOff>
      <xdr:row>24</xdr:row>
      <xdr:rowOff>25509</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32341</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23</xdr:row>
      <xdr:rowOff>120349</xdr:rowOff>
    </xdr:from>
    <xdr:to>
      <xdr:col>2</xdr:col>
      <xdr:colOff>1122829</xdr:colOff>
      <xdr:row>27</xdr:row>
      <xdr:rowOff>107053</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15031</xdr:rowOff>
    </xdr:from>
    <xdr:to>
      <xdr:col>2</xdr:col>
      <xdr:colOff>1122829</xdr:colOff>
      <xdr:row>24</xdr:row>
      <xdr:rowOff>25509</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32341</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23</xdr:row>
      <xdr:rowOff>120349</xdr:rowOff>
    </xdr:from>
    <xdr:to>
      <xdr:col>2</xdr:col>
      <xdr:colOff>1122829</xdr:colOff>
      <xdr:row>27</xdr:row>
      <xdr:rowOff>107053</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190127</xdr:rowOff>
    </xdr:from>
    <xdr:to>
      <xdr:col>2</xdr:col>
      <xdr:colOff>1122829</xdr:colOff>
      <xdr:row>25</xdr:row>
      <xdr:rowOff>27455</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29883</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250639</xdr:rowOff>
    </xdr:from>
    <xdr:to>
      <xdr:col>2</xdr:col>
      <xdr:colOff>1122829</xdr:colOff>
      <xdr:row>36</xdr:row>
      <xdr:rowOff>138580</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101974</xdr:rowOff>
    </xdr:from>
    <xdr:to>
      <xdr:col>2</xdr:col>
      <xdr:colOff>1122829</xdr:colOff>
      <xdr:row>28</xdr:row>
      <xdr:rowOff>127934</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190127</xdr:rowOff>
    </xdr:from>
    <xdr:to>
      <xdr:col>6</xdr:col>
      <xdr:colOff>559360</xdr:colOff>
      <xdr:row>37</xdr:row>
      <xdr:rowOff>235323</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6</xdr:col>
      <xdr:colOff>406960</xdr:colOff>
      <xdr:row>28</xdr:row>
      <xdr:rowOff>312084</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6</xdr:col>
      <xdr:colOff>406960</xdr:colOff>
      <xdr:row>29</xdr:row>
      <xdr:rowOff>87033</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38</xdr:col>
      <xdr:colOff>210671</xdr:colOff>
      <xdr:row>29</xdr:row>
      <xdr:rowOff>220383</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231589</xdr:rowOff>
    </xdr:from>
    <xdr:to>
      <xdr:col>6</xdr:col>
      <xdr:colOff>559360</xdr:colOff>
      <xdr:row>51</xdr:row>
      <xdr:rowOff>57710</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82924</xdr:rowOff>
    </xdr:from>
    <xdr:to>
      <xdr:col>6</xdr:col>
      <xdr:colOff>559360</xdr:colOff>
      <xdr:row>43</xdr:row>
      <xdr:rowOff>188820</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183777</xdr:rowOff>
    </xdr:from>
    <xdr:to>
      <xdr:col>6</xdr:col>
      <xdr:colOff>559360</xdr:colOff>
      <xdr:row>37</xdr:row>
      <xdr:rowOff>63873</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6</xdr:col>
      <xdr:colOff>406960</xdr:colOff>
      <xdr:row>28</xdr:row>
      <xdr:rowOff>321609</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6</xdr:col>
      <xdr:colOff>406960</xdr:colOff>
      <xdr:row>29</xdr:row>
      <xdr:rowOff>156883</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38</xdr:col>
      <xdr:colOff>210671</xdr:colOff>
      <xdr:row>29</xdr:row>
      <xdr:rowOff>347383</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225239</xdr:rowOff>
    </xdr:from>
    <xdr:to>
      <xdr:col>6</xdr:col>
      <xdr:colOff>559360</xdr:colOff>
      <xdr:row>50</xdr:row>
      <xdr:rowOff>189379</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82924</xdr:rowOff>
    </xdr:from>
    <xdr:to>
      <xdr:col>6</xdr:col>
      <xdr:colOff>559360</xdr:colOff>
      <xdr:row>44</xdr:row>
      <xdr:rowOff>103095</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183777</xdr:rowOff>
    </xdr:from>
    <xdr:to>
      <xdr:col>6</xdr:col>
      <xdr:colOff>559360</xdr:colOff>
      <xdr:row>37</xdr:row>
      <xdr:rowOff>63873</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6</xdr:col>
      <xdr:colOff>406960</xdr:colOff>
      <xdr:row>28</xdr:row>
      <xdr:rowOff>321609</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6</xdr:col>
      <xdr:colOff>406960</xdr:colOff>
      <xdr:row>29</xdr:row>
      <xdr:rowOff>156883</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38</xdr:col>
      <xdr:colOff>210671</xdr:colOff>
      <xdr:row>29</xdr:row>
      <xdr:rowOff>347383</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225239</xdr:rowOff>
    </xdr:from>
    <xdr:to>
      <xdr:col>6</xdr:col>
      <xdr:colOff>559360</xdr:colOff>
      <xdr:row>50</xdr:row>
      <xdr:rowOff>189379</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82924</xdr:rowOff>
    </xdr:from>
    <xdr:to>
      <xdr:col>6</xdr:col>
      <xdr:colOff>559360</xdr:colOff>
      <xdr:row>44</xdr:row>
      <xdr:rowOff>103095</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183777</xdr:rowOff>
    </xdr:from>
    <xdr:to>
      <xdr:col>6</xdr:col>
      <xdr:colOff>559360</xdr:colOff>
      <xdr:row>37</xdr:row>
      <xdr:rowOff>63873</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6</xdr:col>
      <xdr:colOff>406960</xdr:colOff>
      <xdr:row>28</xdr:row>
      <xdr:rowOff>321609</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6</xdr:col>
      <xdr:colOff>406960</xdr:colOff>
      <xdr:row>28</xdr:row>
      <xdr:rowOff>336177</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38</xdr:col>
      <xdr:colOff>210671</xdr:colOff>
      <xdr:row>29</xdr:row>
      <xdr:rowOff>156883</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225239</xdr:rowOff>
    </xdr:from>
    <xdr:to>
      <xdr:col>6</xdr:col>
      <xdr:colOff>559360</xdr:colOff>
      <xdr:row>50</xdr:row>
      <xdr:rowOff>189379</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82924</xdr:rowOff>
    </xdr:from>
    <xdr:to>
      <xdr:col>6</xdr:col>
      <xdr:colOff>559360</xdr:colOff>
      <xdr:row>44</xdr:row>
      <xdr:rowOff>103095</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xdr:col>
      <xdr:colOff>152400</xdr:colOff>
      <xdr:row>16</xdr:row>
      <xdr:rowOff>183777</xdr:rowOff>
    </xdr:from>
    <xdr:to>
      <xdr:col>7</xdr:col>
      <xdr:colOff>304800</xdr:colOff>
      <xdr:row>37</xdr:row>
      <xdr:rowOff>63873</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28</xdr:row>
      <xdr:rowOff>321609</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7</xdr:col>
      <xdr:colOff>152400</xdr:colOff>
      <xdr:row>28</xdr:row>
      <xdr:rowOff>336177</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38</xdr:col>
      <xdr:colOff>647700</xdr:colOff>
      <xdr:row>29</xdr:row>
      <xdr:rowOff>156883</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225239</xdr:rowOff>
    </xdr:from>
    <xdr:to>
      <xdr:col>7</xdr:col>
      <xdr:colOff>304800</xdr:colOff>
      <xdr:row>50</xdr:row>
      <xdr:rowOff>189379</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25</xdr:row>
      <xdr:rowOff>82924</xdr:rowOff>
    </xdr:from>
    <xdr:to>
      <xdr:col>7</xdr:col>
      <xdr:colOff>304800</xdr:colOff>
      <xdr:row>44</xdr:row>
      <xdr:rowOff>103095</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183777</xdr:rowOff>
    </xdr:from>
    <xdr:to>
      <xdr:col>7</xdr:col>
      <xdr:colOff>304800</xdr:colOff>
      <xdr:row>37</xdr:row>
      <xdr:rowOff>63873</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28</xdr:row>
      <xdr:rowOff>321609</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7</xdr:col>
      <xdr:colOff>152400</xdr:colOff>
      <xdr:row>28</xdr:row>
      <xdr:rowOff>336177</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38</xdr:col>
      <xdr:colOff>647700</xdr:colOff>
      <xdr:row>29</xdr:row>
      <xdr:rowOff>156883</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225239</xdr:rowOff>
    </xdr:from>
    <xdr:to>
      <xdr:col>7</xdr:col>
      <xdr:colOff>304800</xdr:colOff>
      <xdr:row>50</xdr:row>
      <xdr:rowOff>189379</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25</xdr:row>
      <xdr:rowOff>82924</xdr:rowOff>
    </xdr:from>
    <xdr:to>
      <xdr:col>7</xdr:col>
      <xdr:colOff>304800</xdr:colOff>
      <xdr:row>44</xdr:row>
      <xdr:rowOff>103095</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183777</xdr:rowOff>
    </xdr:from>
    <xdr:to>
      <xdr:col>7</xdr:col>
      <xdr:colOff>304800</xdr:colOff>
      <xdr:row>37</xdr:row>
      <xdr:rowOff>63873</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28</xdr:row>
      <xdr:rowOff>321609</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7</xdr:col>
      <xdr:colOff>152400</xdr:colOff>
      <xdr:row>28</xdr:row>
      <xdr:rowOff>336177</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38</xdr:col>
      <xdr:colOff>647700</xdr:colOff>
      <xdr:row>29</xdr:row>
      <xdr:rowOff>156883</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225239</xdr:rowOff>
    </xdr:from>
    <xdr:to>
      <xdr:col>7</xdr:col>
      <xdr:colOff>304800</xdr:colOff>
      <xdr:row>50</xdr:row>
      <xdr:rowOff>189379</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25</xdr:row>
      <xdr:rowOff>82924</xdr:rowOff>
    </xdr:from>
    <xdr:to>
      <xdr:col>7</xdr:col>
      <xdr:colOff>304800</xdr:colOff>
      <xdr:row>44</xdr:row>
      <xdr:rowOff>103095</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183777</xdr:rowOff>
    </xdr:from>
    <xdr:to>
      <xdr:col>7</xdr:col>
      <xdr:colOff>304800</xdr:colOff>
      <xdr:row>37</xdr:row>
      <xdr:rowOff>63873</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28</xdr:row>
      <xdr:rowOff>321609</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7</xdr:col>
      <xdr:colOff>152400</xdr:colOff>
      <xdr:row>28</xdr:row>
      <xdr:rowOff>336177</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38</xdr:col>
      <xdr:colOff>647700</xdr:colOff>
      <xdr:row>29</xdr:row>
      <xdr:rowOff>156883</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225239</xdr:rowOff>
    </xdr:from>
    <xdr:to>
      <xdr:col>7</xdr:col>
      <xdr:colOff>304800</xdr:colOff>
      <xdr:row>50</xdr:row>
      <xdr:rowOff>189379</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25</xdr:row>
      <xdr:rowOff>82924</xdr:rowOff>
    </xdr:from>
    <xdr:to>
      <xdr:col>7</xdr:col>
      <xdr:colOff>304800</xdr:colOff>
      <xdr:row>44</xdr:row>
      <xdr:rowOff>103095</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xdr:col>
      <xdr:colOff>1742984</xdr:colOff>
      <xdr:row>12</xdr:row>
      <xdr:rowOff>263737</xdr:rowOff>
    </xdr:from>
    <xdr:to>
      <xdr:col>3</xdr:col>
      <xdr:colOff>485412</xdr:colOff>
      <xdr:row>15</xdr:row>
      <xdr:rowOff>187537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1742984</xdr:colOff>
      <xdr:row>12</xdr:row>
      <xdr:rowOff>263737</xdr:rowOff>
    </xdr:from>
    <xdr:to>
      <xdr:col>3</xdr:col>
      <xdr:colOff>485412</xdr:colOff>
      <xdr:row>15</xdr:row>
      <xdr:rowOff>187537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218864</xdr:rowOff>
    </xdr:from>
    <xdr:to>
      <xdr:col>4</xdr:col>
      <xdr:colOff>0</xdr:colOff>
      <xdr:row>15</xdr:row>
      <xdr:rowOff>145838</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218864</xdr:rowOff>
    </xdr:from>
    <xdr:to>
      <xdr:col>4</xdr:col>
      <xdr:colOff>0</xdr:colOff>
      <xdr:row>15</xdr:row>
      <xdr:rowOff>145838</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218864</xdr:rowOff>
    </xdr:from>
    <xdr:to>
      <xdr:col>4</xdr:col>
      <xdr:colOff>0</xdr:colOff>
      <xdr:row>15</xdr:row>
      <xdr:rowOff>145838</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190924</xdr:rowOff>
    </xdr:from>
    <xdr:to>
      <xdr:col>4</xdr:col>
      <xdr:colOff>0</xdr:colOff>
      <xdr:row>15</xdr:row>
      <xdr:rowOff>145838</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180764</xdr:rowOff>
    </xdr:from>
    <xdr:to>
      <xdr:col>4</xdr:col>
      <xdr:colOff>0</xdr:colOff>
      <xdr:row>15</xdr:row>
      <xdr:rowOff>145838</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93133</xdr:rowOff>
    </xdr:from>
    <xdr:to>
      <xdr:col>4</xdr:col>
      <xdr:colOff>0</xdr:colOff>
      <xdr:row>29</xdr:row>
      <xdr:rowOff>31397</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93133</xdr:rowOff>
    </xdr:from>
    <xdr:to>
      <xdr:col>4</xdr:col>
      <xdr:colOff>0</xdr:colOff>
      <xdr:row>29</xdr:row>
      <xdr:rowOff>31397</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67734</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0</xdr:rowOff>
    </xdr:from>
    <xdr:to>
      <xdr:col>4</xdr:col>
      <xdr:colOff>0</xdr:colOff>
      <xdr:row>19</xdr:row>
      <xdr:rowOff>135466</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16</xdr:row>
      <xdr:rowOff>323850</xdr:rowOff>
    </xdr:from>
    <xdr:to>
      <xdr:col>3</xdr:col>
      <xdr:colOff>609600</xdr:colOff>
      <xdr:row>19</xdr:row>
      <xdr:rowOff>306916</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1059</xdr:rowOff>
    </xdr:from>
    <xdr:to>
      <xdr:col>4</xdr:col>
      <xdr:colOff>0</xdr:colOff>
      <xdr:row>19</xdr:row>
      <xdr:rowOff>133350</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1059</xdr:rowOff>
    </xdr:from>
    <xdr:to>
      <xdr:col>4</xdr:col>
      <xdr:colOff>0</xdr:colOff>
      <xdr:row>19</xdr:row>
      <xdr:rowOff>133350</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1059</xdr:rowOff>
    </xdr:from>
    <xdr:to>
      <xdr:col>4</xdr:col>
      <xdr:colOff>0</xdr:colOff>
      <xdr:row>19</xdr:row>
      <xdr:rowOff>133350</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705</xdr:rowOff>
    </xdr:from>
    <xdr:to>
      <xdr:col>4</xdr:col>
      <xdr:colOff>0</xdr:colOff>
      <xdr:row>19</xdr:row>
      <xdr:rowOff>114300</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11</xdr:row>
      <xdr:rowOff>266700</xdr:rowOff>
    </xdr:from>
    <xdr:to>
      <xdr:col>24</xdr:col>
      <xdr:colOff>152400</xdr:colOff>
      <xdr:row>15</xdr:row>
      <xdr:rowOff>0</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2964</xdr:rowOff>
    </xdr:from>
    <xdr:to>
      <xdr:col>4</xdr:col>
      <xdr:colOff>0</xdr:colOff>
      <xdr:row>19</xdr:row>
      <xdr:rowOff>114300</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11</xdr:row>
      <xdr:rowOff>266700</xdr:rowOff>
    </xdr:from>
    <xdr:to>
      <xdr:col>24</xdr:col>
      <xdr:colOff>152400</xdr:colOff>
      <xdr:row>15</xdr:row>
      <xdr:rowOff>0</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11</xdr:row>
      <xdr:rowOff>285750</xdr:rowOff>
    </xdr:from>
    <xdr:to>
      <xdr:col>23</xdr:col>
      <xdr:colOff>133350</xdr:colOff>
      <xdr:row>15</xdr:row>
      <xdr:rowOff>0</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27</xdr:row>
      <xdr:rowOff>192617</xdr:rowOff>
    </xdr:from>
    <xdr:to>
      <xdr:col>23</xdr:col>
      <xdr:colOff>133350</xdr:colOff>
      <xdr:row>31</xdr:row>
      <xdr:rowOff>30692</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0</xdr:rowOff>
    </xdr:from>
    <xdr:to>
      <xdr:col>4</xdr:col>
      <xdr:colOff>0</xdr:colOff>
      <xdr:row>19</xdr:row>
      <xdr:rowOff>114300</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114300</xdr:colOff>
      <xdr:row>14</xdr:row>
      <xdr:rowOff>76200</xdr:rowOff>
    </xdr:from>
    <xdr:to>
      <xdr:col>24</xdr:col>
      <xdr:colOff>114300</xdr:colOff>
      <xdr:row>16</xdr:row>
      <xdr:rowOff>342900</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0</xdr:rowOff>
    </xdr:from>
    <xdr:to>
      <xdr:col>4</xdr:col>
      <xdr:colOff>0</xdr:colOff>
      <xdr:row>19</xdr:row>
      <xdr:rowOff>114300</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114300</xdr:colOff>
      <xdr:row>14</xdr:row>
      <xdr:rowOff>76200</xdr:rowOff>
    </xdr:from>
    <xdr:to>
      <xdr:col>24</xdr:col>
      <xdr:colOff>114300</xdr:colOff>
      <xdr:row>16</xdr:row>
      <xdr:rowOff>342900</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1059</xdr:rowOff>
    </xdr:from>
    <xdr:to>
      <xdr:col>4</xdr:col>
      <xdr:colOff>0</xdr:colOff>
      <xdr:row>19</xdr:row>
      <xdr:rowOff>101600</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292100</xdr:colOff>
      <xdr:row>27</xdr:row>
      <xdr:rowOff>192617</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294217</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294217</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294217</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294217</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294217</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294217</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31</xdr:row>
      <xdr:rowOff>183092</xdr:rowOff>
    </xdr:from>
    <xdr:to>
      <xdr:col>24</xdr:col>
      <xdr:colOff>285750</xdr:colOff>
      <xdr:row>35</xdr:row>
      <xdr:rowOff>190500</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64559</xdr:rowOff>
    </xdr:from>
    <xdr:to>
      <xdr:col>25</xdr:col>
      <xdr:colOff>152400</xdr:colOff>
      <xdr:row>36</xdr:row>
      <xdr:rowOff>7408</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22</xdr:row>
      <xdr:rowOff>152400</xdr:rowOff>
    </xdr:from>
    <xdr:to>
      <xdr:col>3</xdr:col>
      <xdr:colOff>647700</xdr:colOff>
      <xdr:row>26</xdr:row>
      <xdr:rowOff>180975</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144992</xdr:rowOff>
    </xdr:from>
    <xdr:to>
      <xdr:col>9</xdr:col>
      <xdr:colOff>361950</xdr:colOff>
      <xdr:row>31</xdr:row>
      <xdr:rowOff>202142</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28</xdr:row>
      <xdr:rowOff>144992</xdr:rowOff>
    </xdr:from>
    <xdr:to>
      <xdr:col>10</xdr:col>
      <xdr:colOff>361950</xdr:colOff>
      <xdr:row>31</xdr:row>
      <xdr:rowOff>202142</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0</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44</xdr:row>
      <xdr:rowOff>114300</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38</xdr:row>
      <xdr:rowOff>0</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171450</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1681</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1681</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0</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1681</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1681</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0</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0</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2</xdr:col>
      <xdr:colOff>486833</xdr:colOff>
      <xdr:row>21</xdr:row>
      <xdr:rowOff>105621</xdr:rowOff>
    </xdr:from>
    <xdr:to>
      <xdr:col>5</xdr:col>
      <xdr:colOff>48684</xdr:colOff>
      <xdr:row>24</xdr:row>
      <xdr:rowOff>105127</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277283</xdr:colOff>
      <xdr:row>30</xdr:row>
      <xdr:rowOff>45908</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486833</xdr:colOff>
      <xdr:row>21</xdr:row>
      <xdr:rowOff>105621</xdr:rowOff>
    </xdr:from>
    <xdr:to>
      <xdr:col>5</xdr:col>
      <xdr:colOff>48684</xdr:colOff>
      <xdr:row>24</xdr:row>
      <xdr:rowOff>105127</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277283</xdr:colOff>
      <xdr:row>30</xdr:row>
      <xdr:rowOff>45908</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22</xdr:row>
      <xdr:rowOff>57150</xdr:rowOff>
    </xdr:from>
    <xdr:to>
      <xdr:col>3</xdr:col>
      <xdr:colOff>492548</xdr:colOff>
      <xdr:row>26</xdr:row>
      <xdr:rowOff>6419</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492548</xdr:colOff>
      <xdr:row>21</xdr:row>
      <xdr:rowOff>218722</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492548</xdr:colOff>
      <xdr:row>21</xdr:row>
      <xdr:rowOff>218722</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492548</xdr:colOff>
      <xdr:row>21</xdr:row>
      <xdr:rowOff>218722</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467783</xdr:colOff>
      <xdr:row>21</xdr:row>
      <xdr:rowOff>218722</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10230</xdr:rowOff>
    </xdr:from>
    <xdr:to>
      <xdr:col>3</xdr:col>
      <xdr:colOff>467783</xdr:colOff>
      <xdr:row>21</xdr:row>
      <xdr:rowOff>218722</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10230</xdr:rowOff>
    </xdr:from>
    <xdr:to>
      <xdr:col>3</xdr:col>
      <xdr:colOff>467783</xdr:colOff>
      <xdr:row>21</xdr:row>
      <xdr:rowOff>218722</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10230</xdr:rowOff>
    </xdr:from>
    <xdr:to>
      <xdr:col>3</xdr:col>
      <xdr:colOff>467783</xdr:colOff>
      <xdr:row>21</xdr:row>
      <xdr:rowOff>218722</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467783</xdr:colOff>
      <xdr:row>22</xdr:row>
      <xdr:rowOff>200730</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467783</xdr:colOff>
      <xdr:row>22</xdr:row>
      <xdr:rowOff>200730</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467783</xdr:colOff>
      <xdr:row>22</xdr:row>
      <xdr:rowOff>200730</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221050</xdr:rowOff>
    </xdr:from>
    <xdr:to>
      <xdr:col>3</xdr:col>
      <xdr:colOff>467783</xdr:colOff>
      <xdr:row>22</xdr:row>
      <xdr:rowOff>219991</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226342</xdr:rowOff>
    </xdr:from>
    <xdr:to>
      <xdr:col>3</xdr:col>
      <xdr:colOff>467783</xdr:colOff>
      <xdr:row>22</xdr:row>
      <xdr:rowOff>221050</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202847</xdr:rowOff>
    </xdr:from>
    <xdr:to>
      <xdr:col>3</xdr:col>
      <xdr:colOff>467783</xdr:colOff>
      <xdr:row>22</xdr:row>
      <xdr:rowOff>219780</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49741</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315383</xdr:colOff>
      <xdr:row>21</xdr:row>
      <xdr:rowOff>139700</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467783</xdr:colOff>
      <xdr:row>18</xdr:row>
      <xdr:rowOff>106892</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467783</xdr:colOff>
      <xdr:row>18</xdr:row>
      <xdr:rowOff>106892</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467783</xdr:colOff>
      <xdr:row>18</xdr:row>
      <xdr:rowOff>106892</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57150</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57150</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57150</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57150</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57150</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503767</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12</xdr:col>
      <xdr:colOff>105833</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95250</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22</xdr:col>
      <xdr:colOff>463550</xdr:colOff>
      <xdr:row>9</xdr:row>
      <xdr:rowOff>95250</xdr:rowOff>
    </xdr:from>
    <xdr:to>
      <xdr:col>24</xdr:col>
      <xdr:colOff>387350</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6</xdr:col>
      <xdr:colOff>169232</xdr:colOff>
      <xdr:row>92</xdr:row>
      <xdr:rowOff>218859</xdr:rowOff>
    </xdr:from>
    <xdr:to>
      <xdr:col>8</xdr:col>
      <xdr:colOff>274913</xdr:colOff>
      <xdr:row>92</xdr:row>
      <xdr:rowOff>218859</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218859</xdr:rowOff>
    </xdr:from>
    <xdr:to>
      <xdr:col>11</xdr:col>
      <xdr:colOff>235329</xdr:colOff>
      <xdr:row>92</xdr:row>
      <xdr:rowOff>218859</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52</xdr:row>
      <xdr:rowOff>171674</xdr:rowOff>
    </xdr:from>
    <xdr:to>
      <xdr:col>1</xdr:col>
      <xdr:colOff>4255844</xdr:colOff>
      <xdr:row>54</xdr:row>
      <xdr:rowOff>278568</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218859</xdr:rowOff>
    </xdr:from>
    <xdr:to>
      <xdr:col>8</xdr:col>
      <xdr:colOff>274913</xdr:colOff>
      <xdr:row>92</xdr:row>
      <xdr:rowOff>218859</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218859</xdr:rowOff>
    </xdr:from>
    <xdr:to>
      <xdr:col>11</xdr:col>
      <xdr:colOff>235329</xdr:colOff>
      <xdr:row>92</xdr:row>
      <xdr:rowOff>218859</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274913</xdr:colOff>
      <xdr:row>74</xdr:row>
      <xdr:rowOff>86297</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86297</xdr:rowOff>
    </xdr:from>
    <xdr:to>
      <xdr:col>11</xdr:col>
      <xdr:colOff>235329</xdr:colOff>
      <xdr:row>74</xdr:row>
      <xdr:rowOff>86297</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274913</xdr:colOff>
      <xdr:row>74</xdr:row>
      <xdr:rowOff>86297</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86297</xdr:rowOff>
    </xdr:from>
    <xdr:to>
      <xdr:col>11</xdr:col>
      <xdr:colOff>235329</xdr:colOff>
      <xdr:row>74</xdr:row>
      <xdr:rowOff>86297</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274913</xdr:colOff>
      <xdr:row>74</xdr:row>
      <xdr:rowOff>86297</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86297</xdr:rowOff>
    </xdr:from>
    <xdr:to>
      <xdr:col>11</xdr:col>
      <xdr:colOff>235329</xdr:colOff>
      <xdr:row>74</xdr:row>
      <xdr:rowOff>86297</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274913</xdr:colOff>
      <xdr:row>74</xdr:row>
      <xdr:rowOff>86297</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86297</xdr:rowOff>
    </xdr:from>
    <xdr:to>
      <xdr:col>11</xdr:col>
      <xdr:colOff>235329</xdr:colOff>
      <xdr:row>74</xdr:row>
      <xdr:rowOff>86297</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250550</xdr:rowOff>
    </xdr:from>
    <xdr:to>
      <xdr:col>8</xdr:col>
      <xdr:colOff>274913</xdr:colOff>
      <xdr:row>74</xdr:row>
      <xdr:rowOff>250550</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250550</xdr:rowOff>
    </xdr:from>
    <xdr:to>
      <xdr:col>11</xdr:col>
      <xdr:colOff>235329</xdr:colOff>
      <xdr:row>74</xdr:row>
      <xdr:rowOff>250550</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276691</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250550</xdr:rowOff>
    </xdr:from>
    <xdr:to>
      <xdr:col>8</xdr:col>
      <xdr:colOff>274913</xdr:colOff>
      <xdr:row>74</xdr:row>
      <xdr:rowOff>250550</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250550</xdr:rowOff>
    </xdr:from>
    <xdr:to>
      <xdr:col>11</xdr:col>
      <xdr:colOff>235329</xdr:colOff>
      <xdr:row>74</xdr:row>
      <xdr:rowOff>250550</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276691</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250550</xdr:rowOff>
    </xdr:from>
    <xdr:to>
      <xdr:col>8</xdr:col>
      <xdr:colOff>287976</xdr:colOff>
      <xdr:row>74</xdr:row>
      <xdr:rowOff>250550</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250550</xdr:rowOff>
    </xdr:from>
    <xdr:to>
      <xdr:col>11</xdr:col>
      <xdr:colOff>248392</xdr:colOff>
      <xdr:row>74</xdr:row>
      <xdr:rowOff>250550</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276691</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250550</xdr:rowOff>
    </xdr:from>
    <xdr:to>
      <xdr:col>8</xdr:col>
      <xdr:colOff>287976</xdr:colOff>
      <xdr:row>74</xdr:row>
      <xdr:rowOff>250550</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250550</xdr:rowOff>
    </xdr:from>
    <xdr:to>
      <xdr:col>11</xdr:col>
      <xdr:colOff>248392</xdr:colOff>
      <xdr:row>74</xdr:row>
      <xdr:rowOff>250550</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276691</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74</xdr:row>
      <xdr:rowOff>124208</xdr:rowOff>
    </xdr:from>
    <xdr:to>
      <xdr:col>8</xdr:col>
      <xdr:colOff>254321</xdr:colOff>
      <xdr:row>74</xdr:row>
      <xdr:rowOff>124208</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4197424</xdr:colOff>
      <xdr:row>33</xdr:row>
      <xdr:rowOff>276691</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371288</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554462</xdr:colOff>
      <xdr:row>28</xdr:row>
      <xdr:rowOff>240926</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68691</xdr:rowOff>
    </xdr:from>
    <xdr:to>
      <xdr:col>19</xdr:col>
      <xdr:colOff>591292</xdr:colOff>
      <xdr:row>74</xdr:row>
      <xdr:rowOff>28760</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124208</xdr:rowOff>
    </xdr:from>
    <xdr:to>
      <xdr:col>8</xdr:col>
      <xdr:colOff>249876</xdr:colOff>
      <xdr:row>74</xdr:row>
      <xdr:rowOff>124208</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68691</xdr:rowOff>
    </xdr:from>
    <xdr:to>
      <xdr:col>19</xdr:col>
      <xdr:colOff>591292</xdr:colOff>
      <xdr:row>74</xdr:row>
      <xdr:rowOff>11615</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124208</xdr:rowOff>
    </xdr:from>
    <xdr:to>
      <xdr:col>8</xdr:col>
      <xdr:colOff>249876</xdr:colOff>
      <xdr:row>74</xdr:row>
      <xdr:rowOff>124208</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68691</xdr:rowOff>
    </xdr:from>
    <xdr:to>
      <xdr:col>19</xdr:col>
      <xdr:colOff>591292</xdr:colOff>
      <xdr:row>74</xdr:row>
      <xdr:rowOff>11615</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124785</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124785</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124785</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36291</xdr:rowOff>
    </xdr:from>
    <xdr:to>
      <xdr:col>8</xdr:col>
      <xdr:colOff>249876</xdr:colOff>
      <xdr:row>64</xdr:row>
      <xdr:rowOff>36291</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36291</xdr:rowOff>
    </xdr:from>
    <xdr:to>
      <xdr:col>8</xdr:col>
      <xdr:colOff>249876</xdr:colOff>
      <xdr:row>64</xdr:row>
      <xdr:rowOff>36291</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36291</xdr:rowOff>
    </xdr:from>
    <xdr:to>
      <xdr:col>8</xdr:col>
      <xdr:colOff>249876</xdr:colOff>
      <xdr:row>64</xdr:row>
      <xdr:rowOff>36291</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36291</xdr:rowOff>
    </xdr:from>
    <xdr:to>
      <xdr:col>8</xdr:col>
      <xdr:colOff>249876</xdr:colOff>
      <xdr:row>64</xdr:row>
      <xdr:rowOff>36291</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239774</xdr:colOff>
      <xdr:row>64</xdr:row>
      <xdr:rowOff>75010</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75010</xdr:rowOff>
    </xdr:from>
    <xdr:to>
      <xdr:col>11</xdr:col>
      <xdr:colOff>200190</xdr:colOff>
      <xdr:row>64</xdr:row>
      <xdr:rowOff>75010</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153154</xdr:rowOff>
    </xdr:from>
    <xdr:to>
      <xdr:col>2</xdr:col>
      <xdr:colOff>7093</xdr:colOff>
      <xdr:row>80</xdr:row>
      <xdr:rowOff>153154</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60</xdr:row>
      <xdr:rowOff>106732</xdr:rowOff>
    </xdr:from>
    <xdr:to>
      <xdr:col>20</xdr:col>
      <xdr:colOff>657390</xdr:colOff>
      <xdr:row>62</xdr:row>
      <xdr:rowOff>238012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60</xdr:row>
      <xdr:rowOff>106732</xdr:rowOff>
    </xdr:from>
    <xdr:to>
      <xdr:col>24</xdr:col>
      <xdr:colOff>657390</xdr:colOff>
      <xdr:row>62</xdr:row>
      <xdr:rowOff>238012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60</xdr:row>
      <xdr:rowOff>106732</xdr:rowOff>
    </xdr:from>
    <xdr:to>
      <xdr:col>28</xdr:col>
      <xdr:colOff>657390</xdr:colOff>
      <xdr:row>62</xdr:row>
      <xdr:rowOff>238012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239774</xdr:colOff>
      <xdr:row>64</xdr:row>
      <xdr:rowOff>75010</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75010</xdr:rowOff>
    </xdr:from>
    <xdr:to>
      <xdr:col>11</xdr:col>
      <xdr:colOff>200190</xdr:colOff>
      <xdr:row>64</xdr:row>
      <xdr:rowOff>75010</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153154</xdr:rowOff>
    </xdr:from>
    <xdr:to>
      <xdr:col>2</xdr:col>
      <xdr:colOff>7093</xdr:colOff>
      <xdr:row>80</xdr:row>
      <xdr:rowOff>153154</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60</xdr:row>
      <xdr:rowOff>106732</xdr:rowOff>
    </xdr:from>
    <xdr:to>
      <xdr:col>20</xdr:col>
      <xdr:colOff>657390</xdr:colOff>
      <xdr:row>62</xdr:row>
      <xdr:rowOff>238012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60</xdr:row>
      <xdr:rowOff>106732</xdr:rowOff>
    </xdr:from>
    <xdr:to>
      <xdr:col>24</xdr:col>
      <xdr:colOff>657390</xdr:colOff>
      <xdr:row>62</xdr:row>
      <xdr:rowOff>238012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60</xdr:row>
      <xdr:rowOff>106732</xdr:rowOff>
    </xdr:from>
    <xdr:to>
      <xdr:col>28</xdr:col>
      <xdr:colOff>657390</xdr:colOff>
      <xdr:row>62</xdr:row>
      <xdr:rowOff>238012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44450</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69725</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162423</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162423</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162423</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44450</xdr:rowOff>
    </xdr:from>
    <xdr:to>
      <xdr:col>2</xdr:col>
      <xdr:colOff>685800</xdr:colOff>
      <xdr:row>54</xdr:row>
      <xdr:rowOff>114922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69725</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162423</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162423</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162423</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44450</xdr:rowOff>
    </xdr:from>
    <xdr:to>
      <xdr:col>2</xdr:col>
      <xdr:colOff>685800</xdr:colOff>
      <xdr:row>54</xdr:row>
      <xdr:rowOff>114922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69725</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162423</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162423</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162423</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44450</xdr:rowOff>
    </xdr:from>
    <xdr:to>
      <xdr:col>2</xdr:col>
      <xdr:colOff>685800</xdr:colOff>
      <xdr:row>54</xdr:row>
      <xdr:rowOff>114922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105833</xdr:rowOff>
    </xdr:from>
    <xdr:to>
      <xdr:col>32</xdr:col>
      <xdr:colOff>666750</xdr:colOff>
      <xdr:row>91</xdr:row>
      <xdr:rowOff>402167</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8</xdr:col>
      <xdr:colOff>228600</xdr:colOff>
      <xdr:row>71</xdr:row>
      <xdr:rowOff>180975</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11</xdr:col>
      <xdr:colOff>190500</xdr:colOff>
      <xdr:row>71</xdr:row>
      <xdr:rowOff>180975</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47625</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20</xdr:col>
      <xdr:colOff>647700</xdr:colOff>
      <xdr:row>68</xdr:row>
      <xdr:rowOff>314325</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24</xdr:col>
      <xdr:colOff>647700</xdr:colOff>
      <xdr:row>68</xdr:row>
      <xdr:rowOff>314325</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28</xdr:col>
      <xdr:colOff>647700</xdr:colOff>
      <xdr:row>68</xdr:row>
      <xdr:rowOff>314325</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177800</xdr:rowOff>
    </xdr:from>
    <xdr:to>
      <xdr:col>21</xdr:col>
      <xdr:colOff>685800</xdr:colOff>
      <xdr:row>83</xdr:row>
      <xdr:rowOff>171450</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177800</xdr:rowOff>
    </xdr:from>
    <xdr:to>
      <xdr:col>25</xdr:col>
      <xdr:colOff>685800</xdr:colOff>
      <xdr:row>83</xdr:row>
      <xdr:rowOff>171450</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177800</xdr:rowOff>
    </xdr:from>
    <xdr:to>
      <xdr:col>29</xdr:col>
      <xdr:colOff>685800</xdr:colOff>
      <xdr:row>83</xdr:row>
      <xdr:rowOff>171450</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8</xdr:col>
      <xdr:colOff>228600</xdr:colOff>
      <xdr:row>71</xdr:row>
      <xdr:rowOff>180975</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11</xdr:col>
      <xdr:colOff>190500</xdr:colOff>
      <xdr:row>71</xdr:row>
      <xdr:rowOff>180975</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47625</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314325</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314325</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314325</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8</xdr:col>
      <xdr:colOff>228600</xdr:colOff>
      <xdr:row>71</xdr:row>
      <xdr:rowOff>180975</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11</xdr:col>
      <xdr:colOff>190500</xdr:colOff>
      <xdr:row>71</xdr:row>
      <xdr:rowOff>180975</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47625</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314325</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314325</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314325</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8</xdr:col>
      <xdr:colOff>228600</xdr:colOff>
      <xdr:row>71</xdr:row>
      <xdr:rowOff>180975</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11</xdr:col>
      <xdr:colOff>190500</xdr:colOff>
      <xdr:row>71</xdr:row>
      <xdr:rowOff>180975</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47625</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314325</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314325</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314325</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8</xdr:col>
      <xdr:colOff>228600</xdr:colOff>
      <xdr:row>71</xdr:row>
      <xdr:rowOff>180975</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11</xdr:col>
      <xdr:colOff>190500</xdr:colOff>
      <xdr:row>71</xdr:row>
      <xdr:rowOff>180975</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47625</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314325</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314325</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314325</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8</xdr:col>
      <xdr:colOff>228600</xdr:colOff>
      <xdr:row>71</xdr:row>
      <xdr:rowOff>180975</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11</xdr:col>
      <xdr:colOff>190500</xdr:colOff>
      <xdr:row>71</xdr:row>
      <xdr:rowOff>180975</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47625</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314325</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314325</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314325</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11</xdr:col>
      <xdr:colOff>228600</xdr:colOff>
      <xdr:row>91</xdr:row>
      <xdr:rowOff>171450</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14</xdr:col>
      <xdr:colOff>190500</xdr:colOff>
      <xdr:row>91</xdr:row>
      <xdr:rowOff>171450</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20</xdr:col>
      <xdr:colOff>533400</xdr:colOff>
      <xdr:row>53</xdr:row>
      <xdr:rowOff>342900</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20</xdr:col>
      <xdr:colOff>533400</xdr:colOff>
      <xdr:row>52</xdr:row>
      <xdr:rowOff>342900</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6350</xdr:colOff>
      <xdr:row>53</xdr:row>
      <xdr:rowOff>133350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6350</xdr:colOff>
      <xdr:row>180</xdr:row>
      <xdr:rowOff>47625</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88</xdr:row>
      <xdr:rowOff>0</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88</xdr:row>
      <xdr:rowOff>0</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88</xdr:row>
      <xdr:rowOff>0</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35</xdr:row>
      <xdr:rowOff>19050</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133350</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11</xdr:col>
      <xdr:colOff>228600</xdr:colOff>
      <xdr:row>91</xdr:row>
      <xdr:rowOff>171450</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14</xdr:col>
      <xdr:colOff>190500</xdr:colOff>
      <xdr:row>91</xdr:row>
      <xdr:rowOff>171450</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47625</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24</xdr:col>
      <xdr:colOff>647700</xdr:colOff>
      <xdr:row>88</xdr:row>
      <xdr:rowOff>0</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28</xdr:col>
      <xdr:colOff>647700</xdr:colOff>
      <xdr:row>88</xdr:row>
      <xdr:rowOff>0</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32</xdr:col>
      <xdr:colOff>647700</xdr:colOff>
      <xdr:row>88</xdr:row>
      <xdr:rowOff>0</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342900</xdr:rowOff>
    </xdr:from>
    <xdr:to>
      <xdr:col>28</xdr:col>
      <xdr:colOff>647700</xdr:colOff>
      <xdr:row>52</xdr:row>
      <xdr:rowOff>0</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133350</xdr:rowOff>
    </xdr:from>
    <xdr:to>
      <xdr:col>36</xdr:col>
      <xdr:colOff>673100</xdr:colOff>
      <xdr:row>83</xdr:row>
      <xdr:rowOff>133350</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11</xdr:col>
      <xdr:colOff>228600</xdr:colOff>
      <xdr:row>91</xdr:row>
      <xdr:rowOff>171450</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14</xdr:col>
      <xdr:colOff>190500</xdr:colOff>
      <xdr:row>91</xdr:row>
      <xdr:rowOff>171450</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47625</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24</xdr:col>
      <xdr:colOff>647700</xdr:colOff>
      <xdr:row>88</xdr:row>
      <xdr:rowOff>0</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28</xdr:col>
      <xdr:colOff>647700</xdr:colOff>
      <xdr:row>88</xdr:row>
      <xdr:rowOff>0</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32</xdr:col>
      <xdr:colOff>647700</xdr:colOff>
      <xdr:row>88</xdr:row>
      <xdr:rowOff>0</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342900</xdr:rowOff>
    </xdr:from>
    <xdr:to>
      <xdr:col>28</xdr:col>
      <xdr:colOff>647700</xdr:colOff>
      <xdr:row>52</xdr:row>
      <xdr:rowOff>0</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133350</xdr:rowOff>
    </xdr:from>
    <xdr:to>
      <xdr:col>36</xdr:col>
      <xdr:colOff>673100</xdr:colOff>
      <xdr:row>83</xdr:row>
      <xdr:rowOff>133350</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44450</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0</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0</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0</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133350</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0</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0</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0</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0</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0</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0</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0</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0</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0</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0</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0</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0</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3</xdr:col>
      <xdr:colOff>2277035</xdr:colOff>
      <xdr:row>72</xdr:row>
      <xdr:rowOff>65846</xdr:rowOff>
    </xdr:from>
    <xdr:to>
      <xdr:col>4</xdr:col>
      <xdr:colOff>464297</xdr:colOff>
      <xdr:row>78</xdr:row>
      <xdr:rowOff>125447</xdr:rowOff>
    </xdr:to>
    <xdr:sp macro="" textlink="">
      <xdr:nvSpPr>
        <xdr:cNvPr id="135177" name="Text Box 9" hidden="1">
          <a:extLst>
            <a:ext uri="{FF2B5EF4-FFF2-40B4-BE49-F238E27FC236}">
              <a16:creationId xmlns:a16="http://schemas.microsoft.com/office/drawing/2014/main" id="{4E89DBBC-FD72-4F27-B3EA-CC0C18F4A953}"/>
            </a:ext>
          </a:extLst>
        </xdr:cNvPr>
        <xdr:cNvSpPr txBox="1">
          <a:spLocks noChangeArrowheads="1"/>
        </xdr:cNvSpPr>
      </xdr:nvSpPr>
      <xdr:spPr bwMode="auto">
        <a:xfrm>
          <a:off x="3573780" y="15971520"/>
          <a:ext cx="1264920" cy="12039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73</xdr:row>
      <xdr:rowOff>153391</xdr:rowOff>
    </xdr:from>
    <xdr:to>
      <xdr:col>4</xdr:col>
      <xdr:colOff>464297</xdr:colOff>
      <xdr:row>78</xdr:row>
      <xdr:rowOff>311773</xdr:rowOff>
    </xdr:to>
    <xdr:sp macro="" textlink="">
      <xdr:nvSpPr>
        <xdr:cNvPr id="135178" name="Text Box 10" hidden="1">
          <a:extLst>
            <a:ext uri="{FF2B5EF4-FFF2-40B4-BE49-F238E27FC236}">
              <a16:creationId xmlns:a16="http://schemas.microsoft.com/office/drawing/2014/main" id="{AA6BD0B7-EB57-4D15-9BB8-CB90C55C6AF2}"/>
            </a:ext>
          </a:extLst>
        </xdr:cNvPr>
        <xdr:cNvSpPr txBox="1">
          <a:spLocks noChangeArrowheads="1"/>
        </xdr:cNvSpPr>
      </xdr:nvSpPr>
      <xdr:spPr bwMode="auto">
        <a:xfrm>
          <a:off x="3573780" y="16222980"/>
          <a:ext cx="1264920" cy="1135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75</xdr:row>
      <xdr:rowOff>48278</xdr:rowOff>
    </xdr:from>
    <xdr:to>
      <xdr:col>4</xdr:col>
      <xdr:colOff>464297</xdr:colOff>
      <xdr:row>79</xdr:row>
      <xdr:rowOff>68288</xdr:rowOff>
    </xdr:to>
    <xdr:sp macro="" textlink="">
      <xdr:nvSpPr>
        <xdr:cNvPr id="135179" name="Text Box 11" hidden="1">
          <a:extLst>
            <a:ext uri="{FF2B5EF4-FFF2-40B4-BE49-F238E27FC236}">
              <a16:creationId xmlns:a16="http://schemas.microsoft.com/office/drawing/2014/main" id="{9E83BF2A-F10E-4594-B5D4-30DD55D4EAE8}"/>
            </a:ext>
          </a:extLst>
        </xdr:cNvPr>
        <xdr:cNvSpPr txBox="1">
          <a:spLocks noChangeArrowheads="1"/>
        </xdr:cNvSpPr>
      </xdr:nvSpPr>
      <xdr:spPr bwMode="auto">
        <a:xfrm>
          <a:off x="3573780" y="16482060"/>
          <a:ext cx="1264920" cy="10591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76</xdr:row>
      <xdr:rowOff>67498</xdr:rowOff>
    </xdr:from>
    <xdr:to>
      <xdr:col>4</xdr:col>
      <xdr:colOff>464297</xdr:colOff>
      <xdr:row>81</xdr:row>
      <xdr:rowOff>11864</xdr:rowOff>
    </xdr:to>
    <xdr:sp macro="" textlink="">
      <xdr:nvSpPr>
        <xdr:cNvPr id="135180" name="Text Box 12" hidden="1">
          <a:extLst>
            <a:ext uri="{FF2B5EF4-FFF2-40B4-BE49-F238E27FC236}">
              <a16:creationId xmlns:a16="http://schemas.microsoft.com/office/drawing/2014/main" id="{8BBD204D-E57E-4D35-A59C-0F146D70F6BC}"/>
            </a:ext>
          </a:extLst>
        </xdr:cNvPr>
        <xdr:cNvSpPr txBox="1">
          <a:spLocks noChangeArrowheads="1"/>
        </xdr:cNvSpPr>
      </xdr:nvSpPr>
      <xdr:spPr bwMode="auto">
        <a:xfrm>
          <a:off x="3573780" y="16733520"/>
          <a:ext cx="126492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99</xdr:row>
      <xdr:rowOff>153339</xdr:rowOff>
    </xdr:from>
    <xdr:to>
      <xdr:col>4</xdr:col>
      <xdr:colOff>464297</xdr:colOff>
      <xdr:row>127</xdr:row>
      <xdr:rowOff>30655</xdr:rowOff>
    </xdr:to>
    <xdr:sp macro="" textlink="">
      <xdr:nvSpPr>
        <xdr:cNvPr id="135185" name="Text Box 17" hidden="1">
          <a:extLst>
            <a:ext uri="{FF2B5EF4-FFF2-40B4-BE49-F238E27FC236}">
              <a16:creationId xmlns:a16="http://schemas.microsoft.com/office/drawing/2014/main" id="{9948205F-CAC2-4169-BEBA-A4E3909BEDF4}"/>
            </a:ext>
          </a:extLst>
        </xdr:cNvPr>
        <xdr:cNvSpPr txBox="1">
          <a:spLocks noChangeArrowheads="1"/>
        </xdr:cNvSpPr>
      </xdr:nvSpPr>
      <xdr:spPr bwMode="auto">
        <a:xfrm>
          <a:off x="3573780" y="21671280"/>
          <a:ext cx="1264920" cy="4968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100</xdr:row>
      <xdr:rowOff>67624</xdr:rowOff>
    </xdr:from>
    <xdr:to>
      <xdr:col>4</xdr:col>
      <xdr:colOff>464297</xdr:colOff>
      <xdr:row>111</xdr:row>
      <xdr:rowOff>76491</xdr:rowOff>
    </xdr:to>
    <xdr:sp macro="" textlink="">
      <xdr:nvSpPr>
        <xdr:cNvPr id="135186" name="Text Box 18" hidden="1">
          <a:extLst>
            <a:ext uri="{FF2B5EF4-FFF2-40B4-BE49-F238E27FC236}">
              <a16:creationId xmlns:a16="http://schemas.microsoft.com/office/drawing/2014/main" id="{07E22E2F-E99E-4150-B71E-5619FC718346}"/>
            </a:ext>
          </a:extLst>
        </xdr:cNvPr>
        <xdr:cNvSpPr txBox="1">
          <a:spLocks noChangeArrowheads="1"/>
        </xdr:cNvSpPr>
      </xdr:nvSpPr>
      <xdr:spPr bwMode="auto">
        <a:xfrm>
          <a:off x="3573780" y="21793200"/>
          <a:ext cx="1264920" cy="19964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56</xdr:row>
      <xdr:rowOff>64575</xdr:rowOff>
    </xdr:from>
    <xdr:to>
      <xdr:col>4</xdr:col>
      <xdr:colOff>464297</xdr:colOff>
      <xdr:row>72</xdr:row>
      <xdr:rowOff>84957</xdr:rowOff>
    </xdr:to>
    <xdr:sp macro="" textlink="">
      <xdr:nvSpPr>
        <xdr:cNvPr id="135189" name="Text Box 21" hidden="1">
          <a:extLst>
            <a:ext uri="{FF2B5EF4-FFF2-40B4-BE49-F238E27FC236}">
              <a16:creationId xmlns:a16="http://schemas.microsoft.com/office/drawing/2014/main" id="{32BFD649-70BE-4C7D-A92E-CA8B83F81214}"/>
            </a:ext>
          </a:extLst>
        </xdr:cNvPr>
        <xdr:cNvSpPr txBox="1">
          <a:spLocks noChangeArrowheads="1"/>
        </xdr:cNvSpPr>
      </xdr:nvSpPr>
      <xdr:spPr bwMode="auto">
        <a:xfrm>
          <a:off x="3573780" y="12298680"/>
          <a:ext cx="1264920" cy="37033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56</xdr:row>
      <xdr:rowOff>64575</xdr:rowOff>
    </xdr:from>
    <xdr:to>
      <xdr:col>4</xdr:col>
      <xdr:colOff>464297</xdr:colOff>
      <xdr:row>68</xdr:row>
      <xdr:rowOff>103632</xdr:rowOff>
    </xdr:to>
    <xdr:sp macro="" textlink="">
      <xdr:nvSpPr>
        <xdr:cNvPr id="135190" name="Text Box 22" hidden="1">
          <a:extLst>
            <a:ext uri="{FF2B5EF4-FFF2-40B4-BE49-F238E27FC236}">
              <a16:creationId xmlns:a16="http://schemas.microsoft.com/office/drawing/2014/main" id="{E1683EA9-70BC-4864-B77C-DEE618FAD1FA}"/>
            </a:ext>
          </a:extLst>
        </xdr:cNvPr>
        <xdr:cNvSpPr txBox="1">
          <a:spLocks noChangeArrowheads="1"/>
        </xdr:cNvSpPr>
      </xdr:nvSpPr>
      <xdr:spPr bwMode="auto">
        <a:xfrm>
          <a:off x="3573780" y="12336780"/>
          <a:ext cx="1264920" cy="2682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56</xdr:row>
      <xdr:rowOff>64575</xdr:rowOff>
    </xdr:from>
    <xdr:to>
      <xdr:col>4</xdr:col>
      <xdr:colOff>464297</xdr:colOff>
      <xdr:row>61</xdr:row>
      <xdr:rowOff>125822</xdr:rowOff>
    </xdr:to>
    <xdr:sp macro="" textlink="">
      <xdr:nvSpPr>
        <xdr:cNvPr id="135191" name="Text Box 23" hidden="1">
          <a:extLst>
            <a:ext uri="{FF2B5EF4-FFF2-40B4-BE49-F238E27FC236}">
              <a16:creationId xmlns:a16="http://schemas.microsoft.com/office/drawing/2014/main" id="{501D2FFC-B1EF-489A-B89E-B525EA86933B}"/>
            </a:ext>
          </a:extLst>
        </xdr:cNvPr>
        <xdr:cNvSpPr txBox="1">
          <a:spLocks noChangeArrowheads="1"/>
        </xdr:cNvSpPr>
      </xdr:nvSpPr>
      <xdr:spPr bwMode="auto">
        <a:xfrm>
          <a:off x="3573780" y="12336780"/>
          <a:ext cx="1264920" cy="13639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57</xdr:row>
      <xdr:rowOff>180044</xdr:rowOff>
    </xdr:from>
    <xdr:to>
      <xdr:col>4</xdr:col>
      <xdr:colOff>464297</xdr:colOff>
      <xdr:row>61</xdr:row>
      <xdr:rowOff>30755</xdr:rowOff>
    </xdr:to>
    <xdr:sp macro="" textlink="">
      <xdr:nvSpPr>
        <xdr:cNvPr id="135192" name="Text Box 24" hidden="1">
          <a:extLst>
            <a:ext uri="{FF2B5EF4-FFF2-40B4-BE49-F238E27FC236}">
              <a16:creationId xmlns:a16="http://schemas.microsoft.com/office/drawing/2014/main" id="{AF8678F1-642B-4F78-81EA-180B22BE33EB}"/>
            </a:ext>
          </a:extLst>
        </xdr:cNvPr>
        <xdr:cNvSpPr txBox="1">
          <a:spLocks noChangeArrowheads="1"/>
        </xdr:cNvSpPr>
      </xdr:nvSpPr>
      <xdr:spPr bwMode="auto">
        <a:xfrm>
          <a:off x="3573780" y="12854940"/>
          <a:ext cx="126492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58</xdr:row>
      <xdr:rowOff>58533</xdr:rowOff>
    </xdr:from>
    <xdr:to>
      <xdr:col>4</xdr:col>
      <xdr:colOff>464297</xdr:colOff>
      <xdr:row>60</xdr:row>
      <xdr:rowOff>49590</xdr:rowOff>
    </xdr:to>
    <xdr:sp macro="" textlink="">
      <xdr:nvSpPr>
        <xdr:cNvPr id="135193" name="Text Box 25" hidden="1">
          <a:extLst>
            <a:ext uri="{FF2B5EF4-FFF2-40B4-BE49-F238E27FC236}">
              <a16:creationId xmlns:a16="http://schemas.microsoft.com/office/drawing/2014/main" id="{80A7DE2E-442D-4453-A0AF-17DBB5C3F1E9}"/>
            </a:ext>
          </a:extLst>
        </xdr:cNvPr>
        <xdr:cNvSpPr txBox="1">
          <a:spLocks noChangeArrowheads="1"/>
        </xdr:cNvSpPr>
      </xdr:nvSpPr>
      <xdr:spPr bwMode="auto">
        <a:xfrm>
          <a:off x="3573780" y="13007340"/>
          <a:ext cx="1264920" cy="373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100</xdr:row>
      <xdr:rowOff>115670</xdr:rowOff>
    </xdr:from>
    <xdr:to>
      <xdr:col>5</xdr:col>
      <xdr:colOff>287804</xdr:colOff>
      <xdr:row>109</xdr:row>
      <xdr:rowOff>26761</xdr:rowOff>
    </xdr:to>
    <xdr:sp macro="" textlink="">
      <xdr:nvSpPr>
        <xdr:cNvPr id="135194" name="Text Box 26" hidden="1">
          <a:extLst>
            <a:ext uri="{FF2B5EF4-FFF2-40B4-BE49-F238E27FC236}">
              <a16:creationId xmlns:a16="http://schemas.microsoft.com/office/drawing/2014/main" id="{50B0E3E0-585F-45A7-A05E-1189E14DDA74}"/>
            </a:ext>
          </a:extLst>
        </xdr:cNvPr>
        <xdr:cNvSpPr txBox="1">
          <a:spLocks noChangeArrowheads="1"/>
        </xdr:cNvSpPr>
      </xdr:nvSpPr>
      <xdr:spPr bwMode="auto">
        <a:xfrm>
          <a:off x="4038600" y="21831300"/>
          <a:ext cx="1440180" cy="1516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525800</xdr:colOff>
      <xdr:row>7</xdr:row>
      <xdr:rowOff>103505</xdr:rowOff>
    </xdr:from>
    <xdr:to>
      <xdr:col>17</xdr:col>
      <xdr:colOff>268016</xdr:colOff>
      <xdr:row>12</xdr:row>
      <xdr:rowOff>28786</xdr:rowOff>
    </xdr:to>
    <xdr:sp macro="" textlink="">
      <xdr:nvSpPr>
        <xdr:cNvPr id="135195" name="Text Box 27" hidden="1">
          <a:extLst>
            <a:ext uri="{FF2B5EF4-FFF2-40B4-BE49-F238E27FC236}">
              <a16:creationId xmlns:a16="http://schemas.microsoft.com/office/drawing/2014/main" id="{B8E5AFDB-2585-41CD-8956-85E412E09D63}"/>
            </a:ext>
          </a:extLst>
        </xdr:cNvPr>
        <xdr:cNvSpPr txBox="1">
          <a:spLocks noChangeArrowheads="1"/>
        </xdr:cNvSpPr>
      </xdr:nvSpPr>
      <xdr:spPr bwMode="auto">
        <a:xfrm>
          <a:off x="14561820" y="2255520"/>
          <a:ext cx="132588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11</xdr:row>
      <xdr:rowOff>161714</xdr:rowOff>
    </xdr:from>
    <xdr:to>
      <xdr:col>18</xdr:col>
      <xdr:colOff>332478</xdr:colOff>
      <xdr:row>15</xdr:row>
      <xdr:rowOff>162348</xdr:rowOff>
    </xdr:to>
    <xdr:sp macro="" textlink="">
      <xdr:nvSpPr>
        <xdr:cNvPr id="135197" name="Text Box 29" hidden="1">
          <a:extLst>
            <a:ext uri="{FF2B5EF4-FFF2-40B4-BE49-F238E27FC236}">
              <a16:creationId xmlns:a16="http://schemas.microsoft.com/office/drawing/2014/main" id="{5EF0D5F2-E95B-495D-B62C-4F68705782A6}"/>
            </a:ext>
          </a:extLst>
        </xdr:cNvPr>
        <xdr:cNvSpPr txBox="1">
          <a:spLocks noChangeArrowheads="1"/>
        </xdr:cNvSpPr>
      </xdr:nvSpPr>
      <xdr:spPr bwMode="auto">
        <a:xfrm>
          <a:off x="15354300" y="3002280"/>
          <a:ext cx="134112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55</xdr:row>
      <xdr:rowOff>321615</xdr:rowOff>
    </xdr:from>
    <xdr:to>
      <xdr:col>4</xdr:col>
      <xdr:colOff>464297</xdr:colOff>
      <xdr:row>60</xdr:row>
      <xdr:rowOff>18870</xdr:rowOff>
    </xdr:to>
    <xdr:sp macro="" textlink="">
      <xdr:nvSpPr>
        <xdr:cNvPr id="258062" name="Text Box 14" hidden="1">
          <a:extLst>
            <a:ext uri="{FF2B5EF4-FFF2-40B4-BE49-F238E27FC236}">
              <a16:creationId xmlns:a16="http://schemas.microsoft.com/office/drawing/2014/main" id="{9D2F127A-BDCA-4434-BB52-75C5F0DB1340}"/>
            </a:ext>
          </a:extLst>
        </xdr:cNvPr>
        <xdr:cNvSpPr txBox="1">
          <a:spLocks noChangeArrowheads="1"/>
        </xdr:cNvSpPr>
      </xdr:nvSpPr>
      <xdr:spPr bwMode="auto">
        <a:xfrm>
          <a:off x="3543300" y="12382500"/>
          <a:ext cx="11620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56</xdr:row>
      <xdr:rowOff>126223</xdr:rowOff>
    </xdr:from>
    <xdr:to>
      <xdr:col>4</xdr:col>
      <xdr:colOff>464297</xdr:colOff>
      <xdr:row>60</xdr:row>
      <xdr:rowOff>143064</xdr:rowOff>
    </xdr:to>
    <xdr:sp macro="" textlink="">
      <xdr:nvSpPr>
        <xdr:cNvPr id="258061" name="Text Box 13" hidden="1">
          <a:extLst>
            <a:ext uri="{FF2B5EF4-FFF2-40B4-BE49-F238E27FC236}">
              <a16:creationId xmlns:a16="http://schemas.microsoft.com/office/drawing/2014/main" id="{8A73CEE0-BE37-4AB1-9771-4293B42CE074}"/>
            </a:ext>
          </a:extLst>
        </xdr:cNvPr>
        <xdr:cNvSpPr txBox="1">
          <a:spLocks noChangeArrowheads="1"/>
        </xdr:cNvSpPr>
      </xdr:nvSpPr>
      <xdr:spPr bwMode="auto">
        <a:xfrm>
          <a:off x="3543300" y="12582525"/>
          <a:ext cx="1162050" cy="1171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56</xdr:row>
      <xdr:rowOff>340841</xdr:rowOff>
    </xdr:from>
    <xdr:to>
      <xdr:col>4</xdr:col>
      <xdr:colOff>464297</xdr:colOff>
      <xdr:row>61</xdr:row>
      <xdr:rowOff>126639</xdr:rowOff>
    </xdr:to>
    <xdr:sp macro="" textlink="">
      <xdr:nvSpPr>
        <xdr:cNvPr id="258060" name="Text Box 12" hidden="1">
          <a:extLst>
            <a:ext uri="{FF2B5EF4-FFF2-40B4-BE49-F238E27FC236}">
              <a16:creationId xmlns:a16="http://schemas.microsoft.com/office/drawing/2014/main" id="{98A7459B-79DF-4C83-A8F8-FFB45B06939A}"/>
            </a:ext>
          </a:extLst>
        </xdr:cNvPr>
        <xdr:cNvSpPr txBox="1">
          <a:spLocks noChangeArrowheads="1"/>
        </xdr:cNvSpPr>
      </xdr:nvSpPr>
      <xdr:spPr bwMode="auto">
        <a:xfrm>
          <a:off x="3543300" y="12792075"/>
          <a:ext cx="11620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57</xdr:row>
      <xdr:rowOff>143372</xdr:rowOff>
    </xdr:from>
    <xdr:to>
      <xdr:col>4</xdr:col>
      <xdr:colOff>464297</xdr:colOff>
      <xdr:row>62</xdr:row>
      <xdr:rowOff>83380</xdr:rowOff>
    </xdr:to>
    <xdr:sp macro="" textlink="">
      <xdr:nvSpPr>
        <xdr:cNvPr id="258059" name="Text Box 11" hidden="1">
          <a:extLst>
            <a:ext uri="{FF2B5EF4-FFF2-40B4-BE49-F238E27FC236}">
              <a16:creationId xmlns:a16="http://schemas.microsoft.com/office/drawing/2014/main" id="{05A7FC6C-325C-440A-BC9A-83EE23270CB9}"/>
            </a:ext>
          </a:extLst>
        </xdr:cNvPr>
        <xdr:cNvSpPr txBox="1">
          <a:spLocks noChangeArrowheads="1"/>
        </xdr:cNvSpPr>
      </xdr:nvSpPr>
      <xdr:spPr bwMode="auto">
        <a:xfrm>
          <a:off x="3543300" y="13049250"/>
          <a:ext cx="11620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81</xdr:row>
      <xdr:rowOff>49402</xdr:rowOff>
    </xdr:from>
    <xdr:to>
      <xdr:col>4</xdr:col>
      <xdr:colOff>464297</xdr:colOff>
      <xdr:row>106</xdr:row>
      <xdr:rowOff>126082</xdr:rowOff>
    </xdr:to>
    <xdr:sp macro="" textlink="">
      <xdr:nvSpPr>
        <xdr:cNvPr id="258058" name="Text Box 10" hidden="1">
          <a:extLst>
            <a:ext uri="{FF2B5EF4-FFF2-40B4-BE49-F238E27FC236}">
              <a16:creationId xmlns:a16="http://schemas.microsoft.com/office/drawing/2014/main" id="{8E80E55F-CD54-4113-B117-A00F724455CF}"/>
            </a:ext>
          </a:extLst>
        </xdr:cNvPr>
        <xdr:cNvSpPr txBox="1">
          <a:spLocks noChangeArrowheads="1"/>
        </xdr:cNvSpPr>
      </xdr:nvSpPr>
      <xdr:spPr bwMode="auto">
        <a:xfrm>
          <a:off x="3543300" y="18192750"/>
          <a:ext cx="1162050" cy="5153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82</xdr:row>
      <xdr:rowOff>49702</xdr:rowOff>
    </xdr:from>
    <xdr:to>
      <xdr:col>4</xdr:col>
      <xdr:colOff>464297</xdr:colOff>
      <xdr:row>93</xdr:row>
      <xdr:rowOff>68059</xdr:rowOff>
    </xdr:to>
    <xdr:sp macro="" textlink="">
      <xdr:nvSpPr>
        <xdr:cNvPr id="258057" name="Text Box 9" hidden="1">
          <a:extLst>
            <a:ext uri="{FF2B5EF4-FFF2-40B4-BE49-F238E27FC236}">
              <a16:creationId xmlns:a16="http://schemas.microsoft.com/office/drawing/2014/main" id="{C74434EC-C772-4FBD-A719-1EC6D7152854}"/>
            </a:ext>
          </a:extLst>
        </xdr:cNvPr>
        <xdr:cNvSpPr txBox="1">
          <a:spLocks noChangeArrowheads="1"/>
        </xdr:cNvSpPr>
      </xdr:nvSpPr>
      <xdr:spPr bwMode="auto">
        <a:xfrm>
          <a:off x="3543300" y="18478500"/>
          <a:ext cx="1162050" cy="207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40</xdr:row>
      <xdr:rowOff>19569</xdr:rowOff>
    </xdr:from>
    <xdr:to>
      <xdr:col>4</xdr:col>
      <xdr:colOff>464297</xdr:colOff>
      <xdr:row>55</xdr:row>
      <xdr:rowOff>373353</xdr:rowOff>
    </xdr:to>
    <xdr:sp macro="" textlink="">
      <xdr:nvSpPr>
        <xdr:cNvPr id="258056" name="Text Box 8" hidden="1">
          <a:extLst>
            <a:ext uri="{FF2B5EF4-FFF2-40B4-BE49-F238E27FC236}">
              <a16:creationId xmlns:a16="http://schemas.microsoft.com/office/drawing/2014/main" id="{832EB958-313B-4F52-B181-37102F7BEDBE}"/>
            </a:ext>
          </a:extLst>
        </xdr:cNvPr>
        <xdr:cNvSpPr txBox="1">
          <a:spLocks noChangeArrowheads="1"/>
        </xdr:cNvSpPr>
      </xdr:nvSpPr>
      <xdr:spPr bwMode="auto">
        <a:xfrm>
          <a:off x="3543300" y="8601075"/>
          <a:ext cx="1162050"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40</xdr:row>
      <xdr:rowOff>39244</xdr:rowOff>
    </xdr:from>
    <xdr:to>
      <xdr:col>4</xdr:col>
      <xdr:colOff>464297</xdr:colOff>
      <xdr:row>53</xdr:row>
      <xdr:rowOff>450488</xdr:rowOff>
    </xdr:to>
    <xdr:sp macro="" textlink="">
      <xdr:nvSpPr>
        <xdr:cNvPr id="258055" name="Text Box 7" hidden="1">
          <a:extLst>
            <a:ext uri="{FF2B5EF4-FFF2-40B4-BE49-F238E27FC236}">
              <a16:creationId xmlns:a16="http://schemas.microsoft.com/office/drawing/2014/main" id="{01C0CDA7-EADB-40CD-BD97-5CE36BE15775}"/>
            </a:ext>
          </a:extLst>
        </xdr:cNvPr>
        <xdr:cNvSpPr txBox="1">
          <a:spLocks noChangeArrowheads="1"/>
        </xdr:cNvSpPr>
      </xdr:nvSpPr>
      <xdr:spPr bwMode="auto">
        <a:xfrm>
          <a:off x="3543300" y="8639175"/>
          <a:ext cx="116205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40</xdr:row>
      <xdr:rowOff>39244</xdr:rowOff>
    </xdr:from>
    <xdr:to>
      <xdr:col>4</xdr:col>
      <xdr:colOff>464297</xdr:colOff>
      <xdr:row>48</xdr:row>
      <xdr:rowOff>18925</xdr:rowOff>
    </xdr:to>
    <xdr:sp macro="" textlink="">
      <xdr:nvSpPr>
        <xdr:cNvPr id="258054" name="Text Box 6" hidden="1">
          <a:extLst>
            <a:ext uri="{FF2B5EF4-FFF2-40B4-BE49-F238E27FC236}">
              <a16:creationId xmlns:a16="http://schemas.microsoft.com/office/drawing/2014/main" id="{CBE989F5-AA1A-4D52-A4FA-096ADCDA9DD0}"/>
            </a:ext>
          </a:extLst>
        </xdr:cNvPr>
        <xdr:cNvSpPr txBox="1">
          <a:spLocks noChangeArrowheads="1"/>
        </xdr:cNvSpPr>
      </xdr:nvSpPr>
      <xdr:spPr bwMode="auto">
        <a:xfrm>
          <a:off x="3543300" y="8639175"/>
          <a:ext cx="116205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43</xdr:row>
      <xdr:rowOff>77222</xdr:rowOff>
    </xdr:from>
    <xdr:to>
      <xdr:col>4</xdr:col>
      <xdr:colOff>464297</xdr:colOff>
      <xdr:row>47</xdr:row>
      <xdr:rowOff>44580</xdr:rowOff>
    </xdr:to>
    <xdr:sp macro="" textlink="">
      <xdr:nvSpPr>
        <xdr:cNvPr id="258053" name="Text Box 5" hidden="1">
          <a:extLst>
            <a:ext uri="{FF2B5EF4-FFF2-40B4-BE49-F238E27FC236}">
              <a16:creationId xmlns:a16="http://schemas.microsoft.com/office/drawing/2014/main" id="{066E2B34-3FA0-4CDA-A1E9-D7DEF4B43A27}"/>
            </a:ext>
          </a:extLst>
        </xdr:cNvPr>
        <xdr:cNvSpPr txBox="1">
          <a:spLocks noChangeArrowheads="1"/>
        </xdr:cNvSpPr>
      </xdr:nvSpPr>
      <xdr:spPr bwMode="auto">
        <a:xfrm>
          <a:off x="3543300" y="9210675"/>
          <a:ext cx="11620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44</xdr:row>
      <xdr:rowOff>40232</xdr:rowOff>
    </xdr:from>
    <xdr:to>
      <xdr:col>4</xdr:col>
      <xdr:colOff>464297</xdr:colOff>
      <xdr:row>46</xdr:row>
      <xdr:rowOff>50258</xdr:rowOff>
    </xdr:to>
    <xdr:sp macro="" textlink="">
      <xdr:nvSpPr>
        <xdr:cNvPr id="258052" name="Text Box 4" hidden="1">
          <a:extLst>
            <a:ext uri="{FF2B5EF4-FFF2-40B4-BE49-F238E27FC236}">
              <a16:creationId xmlns:a16="http://schemas.microsoft.com/office/drawing/2014/main" id="{52A6946E-1C0E-44B7-9F5C-789287BB2E64}"/>
            </a:ext>
          </a:extLst>
        </xdr:cNvPr>
        <xdr:cNvSpPr txBox="1">
          <a:spLocks noChangeArrowheads="1"/>
        </xdr:cNvSpPr>
      </xdr:nvSpPr>
      <xdr:spPr bwMode="auto">
        <a:xfrm>
          <a:off x="3543300" y="9401175"/>
          <a:ext cx="1162050" cy="37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121882</xdr:rowOff>
    </xdr:from>
    <xdr:to>
      <xdr:col>5</xdr:col>
      <xdr:colOff>287804</xdr:colOff>
      <xdr:row>91</xdr:row>
      <xdr:rowOff>65367</xdr:rowOff>
    </xdr:to>
    <xdr:sp macro="" textlink="">
      <xdr:nvSpPr>
        <xdr:cNvPr id="258051" name="Text Box 3" hidden="1">
          <a:extLst>
            <a:ext uri="{FF2B5EF4-FFF2-40B4-BE49-F238E27FC236}">
              <a16:creationId xmlns:a16="http://schemas.microsoft.com/office/drawing/2014/main" id="{A029E077-0050-46A8-B029-BB00C3D60348}"/>
            </a:ext>
          </a:extLst>
        </xdr:cNvPr>
        <xdr:cNvSpPr txBox="1">
          <a:spLocks noChangeArrowheads="1"/>
        </xdr:cNvSpPr>
      </xdr:nvSpPr>
      <xdr:spPr bwMode="auto">
        <a:xfrm>
          <a:off x="3924300" y="18516600"/>
          <a:ext cx="1390650"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525800</xdr:colOff>
      <xdr:row>7</xdr:row>
      <xdr:rowOff>103505</xdr:rowOff>
    </xdr:from>
    <xdr:to>
      <xdr:col>17</xdr:col>
      <xdr:colOff>268016</xdr:colOff>
      <xdr:row>12</xdr:row>
      <xdr:rowOff>28786</xdr:rowOff>
    </xdr:to>
    <xdr:sp macro="" textlink="">
      <xdr:nvSpPr>
        <xdr:cNvPr id="258050" name="Text Box 2" hidden="1">
          <a:extLst>
            <a:ext uri="{FF2B5EF4-FFF2-40B4-BE49-F238E27FC236}">
              <a16:creationId xmlns:a16="http://schemas.microsoft.com/office/drawing/2014/main" id="{E02C23BF-148C-4DCD-9671-BDCC8B779A2B}"/>
            </a:ext>
          </a:extLst>
        </xdr:cNvPr>
        <xdr:cNvSpPr txBox="1">
          <a:spLocks noChangeArrowheads="1"/>
        </xdr:cNvSpPr>
      </xdr:nvSpPr>
      <xdr:spPr bwMode="auto">
        <a:xfrm>
          <a:off x="14087475" y="2324100"/>
          <a:ext cx="1295400"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11</xdr:row>
      <xdr:rowOff>123614</xdr:rowOff>
    </xdr:from>
    <xdr:to>
      <xdr:col>18</xdr:col>
      <xdr:colOff>259387</xdr:colOff>
      <xdr:row>15</xdr:row>
      <xdr:rowOff>162348</xdr:rowOff>
    </xdr:to>
    <xdr:sp macro="" textlink="">
      <xdr:nvSpPr>
        <xdr:cNvPr id="258049" name="Text Box 1" hidden="1">
          <a:extLst>
            <a:ext uri="{FF2B5EF4-FFF2-40B4-BE49-F238E27FC236}">
              <a16:creationId xmlns:a16="http://schemas.microsoft.com/office/drawing/2014/main" id="{B82E974F-13A9-4EE3-815D-34E884A9E743}"/>
            </a:ext>
          </a:extLst>
        </xdr:cNvPr>
        <xdr:cNvSpPr txBox="1">
          <a:spLocks noChangeArrowheads="1"/>
        </xdr:cNvSpPr>
      </xdr:nvSpPr>
      <xdr:spPr bwMode="auto">
        <a:xfrm>
          <a:off x="14849475" y="3076575"/>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75</xdr:row>
      <xdr:rowOff>170734</xdr:rowOff>
    </xdr:from>
    <xdr:to>
      <xdr:col>4</xdr:col>
      <xdr:colOff>464297</xdr:colOff>
      <xdr:row>80</xdr:row>
      <xdr:rowOff>76854</xdr:rowOff>
    </xdr:to>
    <xdr:sp macro="" textlink="">
      <xdr:nvSpPr>
        <xdr:cNvPr id="258076" name="Text Box 28" hidden="1">
          <a:extLst>
            <a:ext uri="{FF2B5EF4-FFF2-40B4-BE49-F238E27FC236}">
              <a16:creationId xmlns:a16="http://schemas.microsoft.com/office/drawing/2014/main" id="{36EDE8AE-ACC1-4546-981A-57E008174118}"/>
            </a:ext>
          </a:extLst>
        </xdr:cNvPr>
        <xdr:cNvSpPr txBox="1">
          <a:spLocks noChangeArrowheads="1"/>
        </xdr:cNvSpPr>
      </xdr:nvSpPr>
      <xdr:spPr bwMode="auto">
        <a:xfrm>
          <a:off x="3533775" y="1714500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76</xdr:row>
      <xdr:rowOff>163948</xdr:rowOff>
    </xdr:from>
    <xdr:to>
      <xdr:col>4</xdr:col>
      <xdr:colOff>464297</xdr:colOff>
      <xdr:row>81</xdr:row>
      <xdr:rowOff>49552</xdr:rowOff>
    </xdr:to>
    <xdr:sp macro="" textlink="">
      <xdr:nvSpPr>
        <xdr:cNvPr id="258075" name="Text Box 27" hidden="1">
          <a:extLst>
            <a:ext uri="{FF2B5EF4-FFF2-40B4-BE49-F238E27FC236}">
              <a16:creationId xmlns:a16="http://schemas.microsoft.com/office/drawing/2014/main" id="{FA7E400C-8689-4238-BBF5-3E4DC71B4816}"/>
            </a:ext>
          </a:extLst>
        </xdr:cNvPr>
        <xdr:cNvSpPr txBox="1">
          <a:spLocks noChangeArrowheads="1"/>
        </xdr:cNvSpPr>
      </xdr:nvSpPr>
      <xdr:spPr bwMode="auto">
        <a:xfrm>
          <a:off x="3533775" y="17345025"/>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77</xdr:row>
      <xdr:rowOff>163588</xdr:rowOff>
    </xdr:from>
    <xdr:to>
      <xdr:col>4</xdr:col>
      <xdr:colOff>464297</xdr:colOff>
      <xdr:row>82</xdr:row>
      <xdr:rowOff>28663</xdr:rowOff>
    </xdr:to>
    <xdr:sp macro="" textlink="">
      <xdr:nvSpPr>
        <xdr:cNvPr id="258074" name="Text Box 26" hidden="1">
          <a:extLst>
            <a:ext uri="{FF2B5EF4-FFF2-40B4-BE49-F238E27FC236}">
              <a16:creationId xmlns:a16="http://schemas.microsoft.com/office/drawing/2014/main" id="{2BE5A798-EB63-4DB5-B33B-40C91C09403A}"/>
            </a:ext>
          </a:extLst>
        </xdr:cNvPr>
        <xdr:cNvSpPr txBox="1">
          <a:spLocks noChangeArrowheads="1"/>
        </xdr:cNvSpPr>
      </xdr:nvSpPr>
      <xdr:spPr bwMode="auto">
        <a:xfrm>
          <a:off x="3533775" y="17564100"/>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78</xdr:row>
      <xdr:rowOff>254008</xdr:rowOff>
    </xdr:from>
    <xdr:to>
      <xdr:col>4</xdr:col>
      <xdr:colOff>464297</xdr:colOff>
      <xdr:row>82</xdr:row>
      <xdr:rowOff>134491</xdr:rowOff>
    </xdr:to>
    <xdr:sp macro="" textlink="">
      <xdr:nvSpPr>
        <xdr:cNvPr id="258073" name="Text Box 25" hidden="1">
          <a:extLst>
            <a:ext uri="{FF2B5EF4-FFF2-40B4-BE49-F238E27FC236}">
              <a16:creationId xmlns:a16="http://schemas.microsoft.com/office/drawing/2014/main" id="{F0C474FA-BFA5-469D-AD6C-88B093815628}"/>
            </a:ext>
          </a:extLst>
        </xdr:cNvPr>
        <xdr:cNvSpPr txBox="1">
          <a:spLocks noChangeArrowheads="1"/>
        </xdr:cNvSpPr>
      </xdr:nvSpPr>
      <xdr:spPr bwMode="auto">
        <a:xfrm>
          <a:off x="3533775" y="17811750"/>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103</xdr:row>
      <xdr:rowOff>47080</xdr:rowOff>
    </xdr:from>
    <xdr:to>
      <xdr:col>4</xdr:col>
      <xdr:colOff>464297</xdr:colOff>
      <xdr:row>118</xdr:row>
      <xdr:rowOff>48489</xdr:rowOff>
    </xdr:to>
    <xdr:sp macro="" textlink="">
      <xdr:nvSpPr>
        <xdr:cNvPr id="258071" name="Text Box 23" hidden="1">
          <a:extLst>
            <a:ext uri="{FF2B5EF4-FFF2-40B4-BE49-F238E27FC236}">
              <a16:creationId xmlns:a16="http://schemas.microsoft.com/office/drawing/2014/main" id="{86B58ABC-174E-4DF8-87AF-D20AAB9BE56B}"/>
            </a:ext>
          </a:extLst>
        </xdr:cNvPr>
        <xdr:cNvSpPr txBox="1">
          <a:spLocks noChangeArrowheads="1"/>
        </xdr:cNvSpPr>
      </xdr:nvSpPr>
      <xdr:spPr bwMode="auto">
        <a:xfrm>
          <a:off x="3533775" y="22898100"/>
          <a:ext cx="1171575" cy="2952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68674</xdr:rowOff>
    </xdr:from>
    <xdr:to>
      <xdr:col>4</xdr:col>
      <xdr:colOff>464297</xdr:colOff>
      <xdr:row>78</xdr:row>
      <xdr:rowOff>73233</xdr:rowOff>
    </xdr:to>
    <xdr:sp macro="" textlink="">
      <xdr:nvSpPr>
        <xdr:cNvPr id="258070" name="Text Box 22" hidden="1">
          <a:extLst>
            <a:ext uri="{FF2B5EF4-FFF2-40B4-BE49-F238E27FC236}">
              <a16:creationId xmlns:a16="http://schemas.microsoft.com/office/drawing/2014/main" id="{B8230EAA-E08C-409A-8C20-BE42463839FE}"/>
            </a:ext>
          </a:extLst>
        </xdr:cNvPr>
        <xdr:cNvSpPr txBox="1">
          <a:spLocks noChangeArrowheads="1"/>
        </xdr:cNvSpPr>
      </xdr:nvSpPr>
      <xdr:spPr bwMode="auto">
        <a:xfrm>
          <a:off x="3533775" y="13782675"/>
          <a:ext cx="1171575" cy="3810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10191</xdr:rowOff>
    </xdr:from>
    <xdr:to>
      <xdr:col>4</xdr:col>
      <xdr:colOff>464297</xdr:colOff>
      <xdr:row>72</xdr:row>
      <xdr:rowOff>47400</xdr:rowOff>
    </xdr:to>
    <xdr:sp macro="" textlink="">
      <xdr:nvSpPr>
        <xdr:cNvPr id="258069" name="Text Box 21" hidden="1">
          <a:extLst>
            <a:ext uri="{FF2B5EF4-FFF2-40B4-BE49-F238E27FC236}">
              <a16:creationId xmlns:a16="http://schemas.microsoft.com/office/drawing/2014/main" id="{613C0E78-3C5C-4401-B084-741E1236C70B}"/>
            </a:ext>
          </a:extLst>
        </xdr:cNvPr>
        <xdr:cNvSpPr txBox="1">
          <a:spLocks noChangeArrowheads="1"/>
        </xdr:cNvSpPr>
      </xdr:nvSpPr>
      <xdr:spPr bwMode="auto">
        <a:xfrm>
          <a:off x="3533775" y="13649325"/>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31088</xdr:rowOff>
    </xdr:from>
    <xdr:to>
      <xdr:col>4</xdr:col>
      <xdr:colOff>464297</xdr:colOff>
      <xdr:row>66</xdr:row>
      <xdr:rowOff>86168</xdr:rowOff>
    </xdr:to>
    <xdr:sp macro="" textlink="">
      <xdr:nvSpPr>
        <xdr:cNvPr id="258068" name="Text Box 20" hidden="1">
          <a:extLst>
            <a:ext uri="{FF2B5EF4-FFF2-40B4-BE49-F238E27FC236}">
              <a16:creationId xmlns:a16="http://schemas.microsoft.com/office/drawing/2014/main" id="{6BFD9422-D044-49C1-9D14-F00BF15067B4}"/>
            </a:ext>
          </a:extLst>
        </xdr:cNvPr>
        <xdr:cNvSpPr txBox="1">
          <a:spLocks noChangeArrowheads="1"/>
        </xdr:cNvSpPr>
      </xdr:nvSpPr>
      <xdr:spPr bwMode="auto">
        <a:xfrm>
          <a:off x="3533775" y="13515975"/>
          <a:ext cx="1171575"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115250</xdr:rowOff>
    </xdr:from>
    <xdr:to>
      <xdr:col>4</xdr:col>
      <xdr:colOff>464297</xdr:colOff>
      <xdr:row>65</xdr:row>
      <xdr:rowOff>121096</xdr:rowOff>
    </xdr:to>
    <xdr:sp macro="" textlink="">
      <xdr:nvSpPr>
        <xdr:cNvPr id="258067" name="Text Box 19" hidden="1">
          <a:extLst>
            <a:ext uri="{FF2B5EF4-FFF2-40B4-BE49-F238E27FC236}">
              <a16:creationId xmlns:a16="http://schemas.microsoft.com/office/drawing/2014/main" id="{C81CA0C2-C574-461F-AACB-8A97714CBEAB}"/>
            </a:ext>
          </a:extLst>
        </xdr:cNvPr>
        <xdr:cNvSpPr txBox="1">
          <a:spLocks noChangeArrowheads="1"/>
        </xdr:cNvSpPr>
      </xdr:nvSpPr>
      <xdr:spPr bwMode="auto">
        <a:xfrm>
          <a:off x="3533775" y="14439900"/>
          <a:ext cx="117157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107250</xdr:rowOff>
    </xdr:from>
    <xdr:to>
      <xdr:col>4</xdr:col>
      <xdr:colOff>464297</xdr:colOff>
      <xdr:row>64</xdr:row>
      <xdr:rowOff>107250</xdr:rowOff>
    </xdr:to>
    <xdr:sp macro="" textlink="">
      <xdr:nvSpPr>
        <xdr:cNvPr id="258066" name="Text Box 18" hidden="1">
          <a:extLst>
            <a:ext uri="{FF2B5EF4-FFF2-40B4-BE49-F238E27FC236}">
              <a16:creationId xmlns:a16="http://schemas.microsoft.com/office/drawing/2014/main" id="{61C76F55-F289-4E44-9FE6-18354C001698}"/>
            </a:ext>
          </a:extLst>
        </xdr:cNvPr>
        <xdr:cNvSpPr txBox="1">
          <a:spLocks noChangeArrowheads="1"/>
        </xdr:cNvSpPr>
      </xdr:nvSpPr>
      <xdr:spPr bwMode="auto">
        <a:xfrm>
          <a:off x="3533775" y="14611350"/>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103</xdr:row>
      <xdr:rowOff>47080</xdr:rowOff>
    </xdr:from>
    <xdr:to>
      <xdr:col>5</xdr:col>
      <xdr:colOff>287804</xdr:colOff>
      <xdr:row>116</xdr:row>
      <xdr:rowOff>106744</xdr:rowOff>
    </xdr:to>
    <xdr:sp macro="" textlink="">
      <xdr:nvSpPr>
        <xdr:cNvPr id="258065" name="Text Box 17" hidden="1">
          <a:extLst>
            <a:ext uri="{FF2B5EF4-FFF2-40B4-BE49-F238E27FC236}">
              <a16:creationId xmlns:a16="http://schemas.microsoft.com/office/drawing/2014/main" id="{05B44202-1DCF-42CD-AFE9-46D60D851D27}"/>
            </a:ext>
          </a:extLst>
        </xdr:cNvPr>
        <xdr:cNvSpPr txBox="1">
          <a:spLocks noChangeArrowheads="1"/>
        </xdr:cNvSpPr>
      </xdr:nvSpPr>
      <xdr:spPr bwMode="auto">
        <a:xfrm>
          <a:off x="3924300" y="22907625"/>
          <a:ext cx="1390650" cy="2466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563900</xdr:colOff>
      <xdr:row>27</xdr:row>
      <xdr:rowOff>48609</xdr:rowOff>
    </xdr:from>
    <xdr:to>
      <xdr:col>17</xdr:col>
      <xdr:colOff>382316</xdr:colOff>
      <xdr:row>31</xdr:row>
      <xdr:rowOff>130427</xdr:rowOff>
    </xdr:to>
    <xdr:sp macro="" textlink="">
      <xdr:nvSpPr>
        <xdr:cNvPr id="258089" name="Text Box 41" hidden="1">
          <a:extLst>
            <a:ext uri="{FF2B5EF4-FFF2-40B4-BE49-F238E27FC236}">
              <a16:creationId xmlns:a16="http://schemas.microsoft.com/office/drawing/2014/main" id="{FD543B27-C383-4FA1-8552-F48937766A39}"/>
            </a:ext>
          </a:extLst>
        </xdr:cNvPr>
        <xdr:cNvSpPr txBox="1">
          <a:spLocks noChangeArrowheads="1"/>
        </xdr:cNvSpPr>
      </xdr:nvSpPr>
      <xdr:spPr bwMode="auto">
        <a:xfrm>
          <a:off x="14125575" y="63627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544242</xdr:colOff>
      <xdr:row>31</xdr:row>
      <xdr:rowOff>92327</xdr:rowOff>
    </xdr:from>
    <xdr:to>
      <xdr:col>18</xdr:col>
      <xdr:colOff>411729</xdr:colOff>
      <xdr:row>35</xdr:row>
      <xdr:rowOff>154238</xdr:rowOff>
    </xdr:to>
    <xdr:sp macro="" textlink="">
      <xdr:nvSpPr>
        <xdr:cNvPr id="258090" name="Text Box 42" hidden="1">
          <a:extLst>
            <a:ext uri="{FF2B5EF4-FFF2-40B4-BE49-F238E27FC236}">
              <a16:creationId xmlns:a16="http://schemas.microsoft.com/office/drawing/2014/main" id="{DFAC6A35-765E-4631-9B7A-9039E6028948}"/>
            </a:ext>
          </a:extLst>
        </xdr:cNvPr>
        <xdr:cNvSpPr txBox="1">
          <a:spLocks noChangeArrowheads="1"/>
        </xdr:cNvSpPr>
      </xdr:nvSpPr>
      <xdr:spPr bwMode="auto">
        <a:xfrm>
          <a:off x="14887575" y="70866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54</xdr:row>
      <xdr:rowOff>303916</xdr:rowOff>
    </xdr:from>
    <xdr:to>
      <xdr:col>4</xdr:col>
      <xdr:colOff>464297</xdr:colOff>
      <xdr:row>57</xdr:row>
      <xdr:rowOff>125551</xdr:rowOff>
    </xdr:to>
    <xdr:sp macro="" textlink="">
      <xdr:nvSpPr>
        <xdr:cNvPr id="258103" name="Text Box 55" hidden="1">
          <a:extLst>
            <a:ext uri="{FF2B5EF4-FFF2-40B4-BE49-F238E27FC236}">
              <a16:creationId xmlns:a16="http://schemas.microsoft.com/office/drawing/2014/main" id="{9269ECB8-7F59-4E93-B2E0-2A0DF0DC1187}"/>
            </a:ext>
          </a:extLst>
        </xdr:cNvPr>
        <xdr:cNvSpPr txBox="1">
          <a:spLocks noChangeArrowheads="1"/>
        </xdr:cNvSpPr>
      </xdr:nvSpPr>
      <xdr:spPr bwMode="auto">
        <a:xfrm>
          <a:off x="3533775" y="1198245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122601</xdr:rowOff>
    </xdr:from>
    <xdr:to>
      <xdr:col>4</xdr:col>
      <xdr:colOff>464297</xdr:colOff>
      <xdr:row>58</xdr:row>
      <xdr:rowOff>48192</xdr:rowOff>
    </xdr:to>
    <xdr:sp macro="" textlink="">
      <xdr:nvSpPr>
        <xdr:cNvPr id="258102" name="Text Box 54" hidden="1">
          <a:extLst>
            <a:ext uri="{FF2B5EF4-FFF2-40B4-BE49-F238E27FC236}">
              <a16:creationId xmlns:a16="http://schemas.microsoft.com/office/drawing/2014/main" id="{34CE8E6A-3F01-4884-8C62-A1595C056EA9}"/>
            </a:ext>
          </a:extLst>
        </xdr:cNvPr>
        <xdr:cNvSpPr txBox="1">
          <a:spLocks noChangeArrowheads="1"/>
        </xdr:cNvSpPr>
      </xdr:nvSpPr>
      <xdr:spPr bwMode="auto">
        <a:xfrm>
          <a:off x="3533775" y="12192000"/>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360471</xdr:rowOff>
    </xdr:from>
    <xdr:to>
      <xdr:col>4</xdr:col>
      <xdr:colOff>464297</xdr:colOff>
      <xdr:row>58</xdr:row>
      <xdr:rowOff>172446</xdr:rowOff>
    </xdr:to>
    <xdr:sp macro="" textlink="">
      <xdr:nvSpPr>
        <xdr:cNvPr id="258101" name="Text Box 53" hidden="1">
          <a:extLst>
            <a:ext uri="{FF2B5EF4-FFF2-40B4-BE49-F238E27FC236}">
              <a16:creationId xmlns:a16="http://schemas.microsoft.com/office/drawing/2014/main" id="{24A5B055-92DB-4321-BF45-4A4889656431}"/>
            </a:ext>
          </a:extLst>
        </xdr:cNvPr>
        <xdr:cNvSpPr txBox="1">
          <a:spLocks noChangeArrowheads="1"/>
        </xdr:cNvSpPr>
      </xdr:nvSpPr>
      <xdr:spPr bwMode="auto">
        <a:xfrm>
          <a:off x="3533775" y="12411075"/>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56</xdr:row>
      <xdr:rowOff>126102</xdr:rowOff>
    </xdr:from>
    <xdr:to>
      <xdr:col>4</xdr:col>
      <xdr:colOff>464297</xdr:colOff>
      <xdr:row>59</xdr:row>
      <xdr:rowOff>46478</xdr:rowOff>
    </xdr:to>
    <xdr:sp macro="" textlink="">
      <xdr:nvSpPr>
        <xdr:cNvPr id="258100" name="Text Box 52" hidden="1">
          <a:extLst>
            <a:ext uri="{FF2B5EF4-FFF2-40B4-BE49-F238E27FC236}">
              <a16:creationId xmlns:a16="http://schemas.microsoft.com/office/drawing/2014/main" id="{70ADDC3D-A346-45F6-9BCC-186156765BD3}"/>
            </a:ext>
          </a:extLst>
        </xdr:cNvPr>
        <xdr:cNvSpPr txBox="1">
          <a:spLocks noChangeArrowheads="1"/>
        </xdr:cNvSpPr>
      </xdr:nvSpPr>
      <xdr:spPr bwMode="auto">
        <a:xfrm>
          <a:off x="3533775" y="12601575"/>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78</xdr:row>
      <xdr:rowOff>168876</xdr:rowOff>
    </xdr:from>
    <xdr:to>
      <xdr:col>4</xdr:col>
      <xdr:colOff>464297</xdr:colOff>
      <xdr:row>93</xdr:row>
      <xdr:rowOff>50111</xdr:rowOff>
    </xdr:to>
    <xdr:sp macro="" textlink="">
      <xdr:nvSpPr>
        <xdr:cNvPr id="258099" name="Text Box 51" hidden="1">
          <a:extLst>
            <a:ext uri="{FF2B5EF4-FFF2-40B4-BE49-F238E27FC236}">
              <a16:creationId xmlns:a16="http://schemas.microsoft.com/office/drawing/2014/main" id="{F25B63A3-646E-44C6-B865-6BAC5DC0E6FF}"/>
            </a:ext>
          </a:extLst>
        </xdr:cNvPr>
        <xdr:cNvSpPr txBox="1">
          <a:spLocks noChangeArrowheads="1"/>
        </xdr:cNvSpPr>
      </xdr:nvSpPr>
      <xdr:spPr bwMode="auto">
        <a:xfrm>
          <a:off x="3533775" y="17649825"/>
          <a:ext cx="117157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39</xdr:row>
      <xdr:rowOff>116563</xdr:rowOff>
    </xdr:from>
    <xdr:to>
      <xdr:col>4</xdr:col>
      <xdr:colOff>464297</xdr:colOff>
      <xdr:row>55</xdr:row>
      <xdr:rowOff>315083</xdr:rowOff>
    </xdr:to>
    <xdr:sp macro="" textlink="">
      <xdr:nvSpPr>
        <xdr:cNvPr id="258098" name="Text Box 50" hidden="1">
          <a:extLst>
            <a:ext uri="{FF2B5EF4-FFF2-40B4-BE49-F238E27FC236}">
              <a16:creationId xmlns:a16="http://schemas.microsoft.com/office/drawing/2014/main" id="{AB383947-B240-4997-B365-6707705B36BE}"/>
            </a:ext>
          </a:extLst>
        </xdr:cNvPr>
        <xdr:cNvSpPr txBox="1">
          <a:spLocks noChangeArrowheads="1"/>
        </xdr:cNvSpPr>
      </xdr:nvSpPr>
      <xdr:spPr bwMode="auto">
        <a:xfrm>
          <a:off x="3533775" y="8553450"/>
          <a:ext cx="117157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154449</xdr:rowOff>
    </xdr:from>
    <xdr:to>
      <xdr:col>4</xdr:col>
      <xdr:colOff>464297</xdr:colOff>
      <xdr:row>53</xdr:row>
      <xdr:rowOff>246618</xdr:rowOff>
    </xdr:to>
    <xdr:sp macro="" textlink="">
      <xdr:nvSpPr>
        <xdr:cNvPr id="258097" name="Text Box 49" hidden="1">
          <a:extLst>
            <a:ext uri="{FF2B5EF4-FFF2-40B4-BE49-F238E27FC236}">
              <a16:creationId xmlns:a16="http://schemas.microsoft.com/office/drawing/2014/main" id="{8201CDFC-90EA-4575-85AD-61DA7E38B5D9}"/>
            </a:ext>
          </a:extLst>
        </xdr:cNvPr>
        <xdr:cNvSpPr txBox="1">
          <a:spLocks noChangeArrowheads="1"/>
        </xdr:cNvSpPr>
      </xdr:nvSpPr>
      <xdr:spPr bwMode="auto">
        <a:xfrm>
          <a:off x="3533775" y="8401050"/>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39937</xdr:rowOff>
    </xdr:from>
    <xdr:to>
      <xdr:col>4</xdr:col>
      <xdr:colOff>464297</xdr:colOff>
      <xdr:row>45</xdr:row>
      <xdr:rowOff>153135</xdr:rowOff>
    </xdr:to>
    <xdr:sp macro="" textlink="">
      <xdr:nvSpPr>
        <xdr:cNvPr id="258096" name="Text Box 48" hidden="1">
          <a:extLst>
            <a:ext uri="{FF2B5EF4-FFF2-40B4-BE49-F238E27FC236}">
              <a16:creationId xmlns:a16="http://schemas.microsoft.com/office/drawing/2014/main" id="{C1EB6411-6CFD-4914-959D-7DBCA083F0B5}"/>
            </a:ext>
          </a:extLst>
        </xdr:cNvPr>
        <xdr:cNvSpPr txBox="1">
          <a:spLocks noChangeArrowheads="1"/>
        </xdr:cNvSpPr>
      </xdr:nvSpPr>
      <xdr:spPr bwMode="auto">
        <a:xfrm>
          <a:off x="3533775" y="8248650"/>
          <a:ext cx="117157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43</xdr:row>
      <xdr:rowOff>115927</xdr:rowOff>
    </xdr:from>
    <xdr:to>
      <xdr:col>4</xdr:col>
      <xdr:colOff>464297</xdr:colOff>
      <xdr:row>45</xdr:row>
      <xdr:rowOff>115035</xdr:rowOff>
    </xdr:to>
    <xdr:sp macro="" textlink="">
      <xdr:nvSpPr>
        <xdr:cNvPr id="258095" name="Text Box 47" hidden="1">
          <a:extLst>
            <a:ext uri="{FF2B5EF4-FFF2-40B4-BE49-F238E27FC236}">
              <a16:creationId xmlns:a16="http://schemas.microsoft.com/office/drawing/2014/main" id="{7E0231E7-1EFB-4B47-8705-BC4AA4A91D53}"/>
            </a:ext>
          </a:extLst>
        </xdr:cNvPr>
        <xdr:cNvSpPr txBox="1">
          <a:spLocks noChangeArrowheads="1"/>
        </xdr:cNvSpPr>
      </xdr:nvSpPr>
      <xdr:spPr bwMode="auto">
        <a:xfrm>
          <a:off x="3533775" y="9248775"/>
          <a:ext cx="1171575" cy="409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77334</xdr:rowOff>
    </xdr:from>
    <xdr:to>
      <xdr:col>4</xdr:col>
      <xdr:colOff>464297</xdr:colOff>
      <xdr:row>44</xdr:row>
      <xdr:rowOff>115434</xdr:rowOff>
    </xdr:to>
    <xdr:sp macro="" textlink="">
      <xdr:nvSpPr>
        <xdr:cNvPr id="258094" name="Text Box 46" hidden="1">
          <a:extLst>
            <a:ext uri="{FF2B5EF4-FFF2-40B4-BE49-F238E27FC236}">
              <a16:creationId xmlns:a16="http://schemas.microsoft.com/office/drawing/2014/main" id="{5BC640C0-4B43-4B24-ACF0-31AAE133D1A7}"/>
            </a:ext>
          </a:extLst>
        </xdr:cNvPr>
        <xdr:cNvSpPr txBox="1">
          <a:spLocks noChangeArrowheads="1"/>
        </xdr:cNvSpPr>
      </xdr:nvSpPr>
      <xdr:spPr bwMode="auto">
        <a:xfrm>
          <a:off x="3533775" y="9439275"/>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168876</xdr:rowOff>
    </xdr:from>
    <xdr:to>
      <xdr:col>5</xdr:col>
      <xdr:colOff>287804</xdr:colOff>
      <xdr:row>91</xdr:row>
      <xdr:rowOff>21412</xdr:rowOff>
    </xdr:to>
    <xdr:sp macro="" textlink="">
      <xdr:nvSpPr>
        <xdr:cNvPr id="258093" name="Text Box 45" hidden="1">
          <a:extLst>
            <a:ext uri="{FF2B5EF4-FFF2-40B4-BE49-F238E27FC236}">
              <a16:creationId xmlns:a16="http://schemas.microsoft.com/office/drawing/2014/main" id="{47A8656E-928D-4A31-B27A-F45EAF1A6E38}"/>
            </a:ext>
          </a:extLst>
        </xdr:cNvPr>
        <xdr:cNvSpPr txBox="1">
          <a:spLocks noChangeArrowheads="1"/>
        </xdr:cNvSpPr>
      </xdr:nvSpPr>
      <xdr:spPr bwMode="auto">
        <a:xfrm>
          <a:off x="3924300" y="1765935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54</xdr:row>
      <xdr:rowOff>303916</xdr:rowOff>
    </xdr:from>
    <xdr:to>
      <xdr:col>4</xdr:col>
      <xdr:colOff>464297</xdr:colOff>
      <xdr:row>57</xdr:row>
      <xdr:rowOff>125551</xdr:rowOff>
    </xdr:to>
    <xdr:sp macro="" textlink="">
      <xdr:nvSpPr>
        <xdr:cNvPr id="258114" name="Text Box 66" hidden="1">
          <a:extLst>
            <a:ext uri="{FF2B5EF4-FFF2-40B4-BE49-F238E27FC236}">
              <a16:creationId xmlns:a16="http://schemas.microsoft.com/office/drawing/2014/main" id="{CAFDFE3F-D780-4DB4-B276-F912247E4668}"/>
            </a:ext>
          </a:extLst>
        </xdr:cNvPr>
        <xdr:cNvSpPr txBox="1">
          <a:spLocks noChangeArrowheads="1"/>
        </xdr:cNvSpPr>
      </xdr:nvSpPr>
      <xdr:spPr bwMode="auto">
        <a:xfrm>
          <a:off x="3558540" y="11811000"/>
          <a:ext cx="128016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122601</xdr:rowOff>
    </xdr:from>
    <xdr:to>
      <xdr:col>4</xdr:col>
      <xdr:colOff>464297</xdr:colOff>
      <xdr:row>58</xdr:row>
      <xdr:rowOff>48192</xdr:rowOff>
    </xdr:to>
    <xdr:sp macro="" textlink="">
      <xdr:nvSpPr>
        <xdr:cNvPr id="258113" name="Text Box 65" hidden="1">
          <a:extLst>
            <a:ext uri="{FF2B5EF4-FFF2-40B4-BE49-F238E27FC236}">
              <a16:creationId xmlns:a16="http://schemas.microsoft.com/office/drawing/2014/main" id="{AF7E2CE7-4914-4570-9018-C0CE0B965862}"/>
            </a:ext>
          </a:extLst>
        </xdr:cNvPr>
        <xdr:cNvSpPr txBox="1">
          <a:spLocks noChangeArrowheads="1"/>
        </xdr:cNvSpPr>
      </xdr:nvSpPr>
      <xdr:spPr bwMode="auto">
        <a:xfrm>
          <a:off x="3558540" y="12016740"/>
          <a:ext cx="128016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360471</xdr:rowOff>
    </xdr:from>
    <xdr:to>
      <xdr:col>4</xdr:col>
      <xdr:colOff>464297</xdr:colOff>
      <xdr:row>58</xdr:row>
      <xdr:rowOff>172446</xdr:rowOff>
    </xdr:to>
    <xdr:sp macro="" textlink="">
      <xdr:nvSpPr>
        <xdr:cNvPr id="258112" name="Text Box 64" hidden="1">
          <a:extLst>
            <a:ext uri="{FF2B5EF4-FFF2-40B4-BE49-F238E27FC236}">
              <a16:creationId xmlns:a16="http://schemas.microsoft.com/office/drawing/2014/main" id="{1A1ECB9B-5204-482D-876F-2F32DC21B24F}"/>
            </a:ext>
          </a:extLst>
        </xdr:cNvPr>
        <xdr:cNvSpPr txBox="1">
          <a:spLocks noChangeArrowheads="1"/>
        </xdr:cNvSpPr>
      </xdr:nvSpPr>
      <xdr:spPr bwMode="auto">
        <a:xfrm>
          <a:off x="3558540" y="12222480"/>
          <a:ext cx="1280160" cy="89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56</xdr:row>
      <xdr:rowOff>126102</xdr:rowOff>
    </xdr:from>
    <xdr:to>
      <xdr:col>4</xdr:col>
      <xdr:colOff>464297</xdr:colOff>
      <xdr:row>59</xdr:row>
      <xdr:rowOff>46478</xdr:rowOff>
    </xdr:to>
    <xdr:sp macro="" textlink="">
      <xdr:nvSpPr>
        <xdr:cNvPr id="258111" name="Text Box 63" hidden="1">
          <a:extLst>
            <a:ext uri="{FF2B5EF4-FFF2-40B4-BE49-F238E27FC236}">
              <a16:creationId xmlns:a16="http://schemas.microsoft.com/office/drawing/2014/main" id="{794FC50B-FD02-4EEE-A0A9-F54E124D7615}"/>
            </a:ext>
          </a:extLst>
        </xdr:cNvPr>
        <xdr:cNvSpPr txBox="1">
          <a:spLocks noChangeArrowheads="1"/>
        </xdr:cNvSpPr>
      </xdr:nvSpPr>
      <xdr:spPr bwMode="auto">
        <a:xfrm>
          <a:off x="3558540" y="12405360"/>
          <a:ext cx="1280160" cy="830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78</xdr:row>
      <xdr:rowOff>168876</xdr:rowOff>
    </xdr:from>
    <xdr:to>
      <xdr:col>4</xdr:col>
      <xdr:colOff>464297</xdr:colOff>
      <xdr:row>93</xdr:row>
      <xdr:rowOff>50111</xdr:rowOff>
    </xdr:to>
    <xdr:sp macro="" textlink="">
      <xdr:nvSpPr>
        <xdr:cNvPr id="258110" name="Text Box 62" hidden="1">
          <a:extLst>
            <a:ext uri="{FF2B5EF4-FFF2-40B4-BE49-F238E27FC236}">
              <a16:creationId xmlns:a16="http://schemas.microsoft.com/office/drawing/2014/main" id="{3621830E-E520-498D-B988-B9FBCBE42875}"/>
            </a:ext>
          </a:extLst>
        </xdr:cNvPr>
        <xdr:cNvSpPr txBox="1">
          <a:spLocks noChangeArrowheads="1"/>
        </xdr:cNvSpPr>
      </xdr:nvSpPr>
      <xdr:spPr bwMode="auto">
        <a:xfrm>
          <a:off x="3558540" y="17305020"/>
          <a:ext cx="128016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39</xdr:row>
      <xdr:rowOff>116563</xdr:rowOff>
    </xdr:from>
    <xdr:to>
      <xdr:col>4</xdr:col>
      <xdr:colOff>464297</xdr:colOff>
      <xdr:row>55</xdr:row>
      <xdr:rowOff>315083</xdr:rowOff>
    </xdr:to>
    <xdr:sp macro="" textlink="">
      <xdr:nvSpPr>
        <xdr:cNvPr id="258109" name="Text Box 61" hidden="1">
          <a:extLst>
            <a:ext uri="{FF2B5EF4-FFF2-40B4-BE49-F238E27FC236}">
              <a16:creationId xmlns:a16="http://schemas.microsoft.com/office/drawing/2014/main" id="{171B6E72-F46A-43FE-858D-2E30B232B65A}"/>
            </a:ext>
          </a:extLst>
        </xdr:cNvPr>
        <xdr:cNvSpPr txBox="1">
          <a:spLocks noChangeArrowheads="1"/>
        </xdr:cNvSpPr>
      </xdr:nvSpPr>
      <xdr:spPr bwMode="auto">
        <a:xfrm>
          <a:off x="3558540" y="8465820"/>
          <a:ext cx="128016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154449</xdr:rowOff>
    </xdr:from>
    <xdr:to>
      <xdr:col>4</xdr:col>
      <xdr:colOff>464297</xdr:colOff>
      <xdr:row>53</xdr:row>
      <xdr:rowOff>246618</xdr:rowOff>
    </xdr:to>
    <xdr:sp macro="" textlink="">
      <xdr:nvSpPr>
        <xdr:cNvPr id="258108" name="Text Box 60" hidden="1">
          <a:extLst>
            <a:ext uri="{FF2B5EF4-FFF2-40B4-BE49-F238E27FC236}">
              <a16:creationId xmlns:a16="http://schemas.microsoft.com/office/drawing/2014/main" id="{841C9086-A662-4ABB-9F56-B9F8DA2CC4A9}"/>
            </a:ext>
          </a:extLst>
        </xdr:cNvPr>
        <xdr:cNvSpPr txBox="1">
          <a:spLocks noChangeArrowheads="1"/>
        </xdr:cNvSpPr>
      </xdr:nvSpPr>
      <xdr:spPr bwMode="auto">
        <a:xfrm>
          <a:off x="3558540" y="8313420"/>
          <a:ext cx="128016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39937</xdr:rowOff>
    </xdr:from>
    <xdr:to>
      <xdr:col>4</xdr:col>
      <xdr:colOff>464297</xdr:colOff>
      <xdr:row>45</xdr:row>
      <xdr:rowOff>153135</xdr:rowOff>
    </xdr:to>
    <xdr:sp macro="" textlink="">
      <xdr:nvSpPr>
        <xdr:cNvPr id="258107" name="Text Box 59" hidden="1">
          <a:extLst>
            <a:ext uri="{FF2B5EF4-FFF2-40B4-BE49-F238E27FC236}">
              <a16:creationId xmlns:a16="http://schemas.microsoft.com/office/drawing/2014/main" id="{EAD50EEB-EC09-4047-BDE9-8F1E9560BEEE}"/>
            </a:ext>
          </a:extLst>
        </xdr:cNvPr>
        <xdr:cNvSpPr txBox="1">
          <a:spLocks noChangeArrowheads="1"/>
        </xdr:cNvSpPr>
      </xdr:nvSpPr>
      <xdr:spPr bwMode="auto">
        <a:xfrm>
          <a:off x="3558540" y="8168640"/>
          <a:ext cx="128016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43</xdr:row>
      <xdr:rowOff>115927</xdr:rowOff>
    </xdr:from>
    <xdr:to>
      <xdr:col>4</xdr:col>
      <xdr:colOff>464297</xdr:colOff>
      <xdr:row>45</xdr:row>
      <xdr:rowOff>115035</xdr:rowOff>
    </xdr:to>
    <xdr:sp macro="" textlink="">
      <xdr:nvSpPr>
        <xdr:cNvPr id="258106" name="Text Box 58" hidden="1">
          <a:extLst>
            <a:ext uri="{FF2B5EF4-FFF2-40B4-BE49-F238E27FC236}">
              <a16:creationId xmlns:a16="http://schemas.microsoft.com/office/drawing/2014/main" id="{B7413031-0564-4413-89F7-A872F268F378}"/>
            </a:ext>
          </a:extLst>
        </xdr:cNvPr>
        <xdr:cNvSpPr txBox="1">
          <a:spLocks noChangeArrowheads="1"/>
        </xdr:cNvSpPr>
      </xdr:nvSpPr>
      <xdr:spPr bwMode="auto">
        <a:xfrm>
          <a:off x="3558540" y="9144000"/>
          <a:ext cx="1280160" cy="403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77334</xdr:rowOff>
    </xdr:from>
    <xdr:to>
      <xdr:col>4</xdr:col>
      <xdr:colOff>464297</xdr:colOff>
      <xdr:row>44</xdr:row>
      <xdr:rowOff>77334</xdr:rowOff>
    </xdr:to>
    <xdr:sp macro="" textlink="">
      <xdr:nvSpPr>
        <xdr:cNvPr id="258105" name="Text Box 57" hidden="1">
          <a:extLst>
            <a:ext uri="{FF2B5EF4-FFF2-40B4-BE49-F238E27FC236}">
              <a16:creationId xmlns:a16="http://schemas.microsoft.com/office/drawing/2014/main" id="{FD4E4E38-D662-4863-ACB4-C13D77101FB7}"/>
            </a:ext>
          </a:extLst>
        </xdr:cNvPr>
        <xdr:cNvSpPr txBox="1">
          <a:spLocks noChangeArrowheads="1"/>
        </xdr:cNvSpPr>
      </xdr:nvSpPr>
      <xdr:spPr bwMode="auto">
        <a:xfrm>
          <a:off x="3558540" y="9326880"/>
          <a:ext cx="1280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168876</xdr:rowOff>
    </xdr:from>
    <xdr:to>
      <xdr:col>5</xdr:col>
      <xdr:colOff>287804</xdr:colOff>
      <xdr:row>91</xdr:row>
      <xdr:rowOff>21412</xdr:rowOff>
    </xdr:to>
    <xdr:sp macro="" textlink="">
      <xdr:nvSpPr>
        <xdr:cNvPr id="258104" name="Text Box 56" hidden="1">
          <a:extLst>
            <a:ext uri="{FF2B5EF4-FFF2-40B4-BE49-F238E27FC236}">
              <a16:creationId xmlns:a16="http://schemas.microsoft.com/office/drawing/2014/main" id="{CE358658-5AE9-4D78-A896-9DDB830B9BF2}"/>
            </a:ext>
          </a:extLst>
        </xdr:cNvPr>
        <xdr:cNvSpPr txBox="1">
          <a:spLocks noChangeArrowheads="1"/>
        </xdr:cNvSpPr>
      </xdr:nvSpPr>
      <xdr:spPr bwMode="auto">
        <a:xfrm>
          <a:off x="4038600" y="1731264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54</xdr:row>
      <xdr:rowOff>303916</xdr:rowOff>
    </xdr:from>
    <xdr:to>
      <xdr:col>4</xdr:col>
      <xdr:colOff>464297</xdr:colOff>
      <xdr:row>57</xdr:row>
      <xdr:rowOff>125551</xdr:rowOff>
    </xdr:to>
    <xdr:sp macro="" textlink="">
      <xdr:nvSpPr>
        <xdr:cNvPr id="258125" name="Text Box 77" hidden="1">
          <a:extLst>
            <a:ext uri="{FF2B5EF4-FFF2-40B4-BE49-F238E27FC236}">
              <a16:creationId xmlns:a16="http://schemas.microsoft.com/office/drawing/2014/main" id="{AF2E8ED6-351A-4C42-BB05-E231F2D8B56A}"/>
            </a:ext>
          </a:extLst>
        </xdr:cNvPr>
        <xdr:cNvSpPr txBox="1">
          <a:spLocks noChangeArrowheads="1"/>
        </xdr:cNvSpPr>
      </xdr:nvSpPr>
      <xdr:spPr bwMode="auto">
        <a:xfrm>
          <a:off x="3550920" y="11803380"/>
          <a:ext cx="128778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122601</xdr:rowOff>
    </xdr:from>
    <xdr:to>
      <xdr:col>4</xdr:col>
      <xdr:colOff>464297</xdr:colOff>
      <xdr:row>58</xdr:row>
      <xdr:rowOff>48192</xdr:rowOff>
    </xdr:to>
    <xdr:sp macro="" textlink="">
      <xdr:nvSpPr>
        <xdr:cNvPr id="258124" name="Text Box 76" hidden="1">
          <a:extLst>
            <a:ext uri="{FF2B5EF4-FFF2-40B4-BE49-F238E27FC236}">
              <a16:creationId xmlns:a16="http://schemas.microsoft.com/office/drawing/2014/main" id="{F3DE07D3-EA8A-423C-94A4-246F34B79ED1}"/>
            </a:ext>
          </a:extLst>
        </xdr:cNvPr>
        <xdr:cNvSpPr txBox="1">
          <a:spLocks noChangeArrowheads="1"/>
        </xdr:cNvSpPr>
      </xdr:nvSpPr>
      <xdr:spPr bwMode="auto">
        <a:xfrm>
          <a:off x="3550920" y="12009120"/>
          <a:ext cx="128778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360471</xdr:rowOff>
    </xdr:from>
    <xdr:to>
      <xdr:col>4</xdr:col>
      <xdr:colOff>464297</xdr:colOff>
      <xdr:row>58</xdr:row>
      <xdr:rowOff>172446</xdr:rowOff>
    </xdr:to>
    <xdr:sp macro="" textlink="">
      <xdr:nvSpPr>
        <xdr:cNvPr id="258123" name="Text Box 75" hidden="1">
          <a:extLst>
            <a:ext uri="{FF2B5EF4-FFF2-40B4-BE49-F238E27FC236}">
              <a16:creationId xmlns:a16="http://schemas.microsoft.com/office/drawing/2014/main" id="{65697809-1D4A-4D81-9F2B-6C5A065C28BB}"/>
            </a:ext>
          </a:extLst>
        </xdr:cNvPr>
        <xdr:cNvSpPr txBox="1">
          <a:spLocks noChangeArrowheads="1"/>
        </xdr:cNvSpPr>
      </xdr:nvSpPr>
      <xdr:spPr bwMode="auto">
        <a:xfrm>
          <a:off x="3550920" y="12222480"/>
          <a:ext cx="128778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56</xdr:row>
      <xdr:rowOff>126102</xdr:rowOff>
    </xdr:from>
    <xdr:to>
      <xdr:col>4</xdr:col>
      <xdr:colOff>464297</xdr:colOff>
      <xdr:row>59</xdr:row>
      <xdr:rowOff>46478</xdr:rowOff>
    </xdr:to>
    <xdr:sp macro="" textlink="">
      <xdr:nvSpPr>
        <xdr:cNvPr id="258122" name="Text Box 74" hidden="1">
          <a:extLst>
            <a:ext uri="{FF2B5EF4-FFF2-40B4-BE49-F238E27FC236}">
              <a16:creationId xmlns:a16="http://schemas.microsoft.com/office/drawing/2014/main" id="{1E1C8B04-4DDA-4A9D-84CC-77774D06FF39}"/>
            </a:ext>
          </a:extLst>
        </xdr:cNvPr>
        <xdr:cNvSpPr txBox="1">
          <a:spLocks noChangeArrowheads="1"/>
        </xdr:cNvSpPr>
      </xdr:nvSpPr>
      <xdr:spPr bwMode="auto">
        <a:xfrm>
          <a:off x="3550920" y="12405360"/>
          <a:ext cx="128778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78</xdr:row>
      <xdr:rowOff>125748</xdr:rowOff>
    </xdr:from>
    <xdr:to>
      <xdr:col>4</xdr:col>
      <xdr:colOff>464297</xdr:colOff>
      <xdr:row>93</xdr:row>
      <xdr:rowOff>50111</xdr:rowOff>
    </xdr:to>
    <xdr:sp macro="" textlink="">
      <xdr:nvSpPr>
        <xdr:cNvPr id="258121" name="Text Box 73" hidden="1">
          <a:extLst>
            <a:ext uri="{FF2B5EF4-FFF2-40B4-BE49-F238E27FC236}">
              <a16:creationId xmlns:a16="http://schemas.microsoft.com/office/drawing/2014/main" id="{C009E776-9176-46D3-B121-5EE6FE7BEDFA}"/>
            </a:ext>
          </a:extLst>
        </xdr:cNvPr>
        <xdr:cNvSpPr txBox="1">
          <a:spLocks noChangeArrowheads="1"/>
        </xdr:cNvSpPr>
      </xdr:nvSpPr>
      <xdr:spPr bwMode="auto">
        <a:xfrm>
          <a:off x="3550920" y="17297400"/>
          <a:ext cx="128778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39</xdr:row>
      <xdr:rowOff>116563</xdr:rowOff>
    </xdr:from>
    <xdr:to>
      <xdr:col>4</xdr:col>
      <xdr:colOff>464297</xdr:colOff>
      <xdr:row>55</xdr:row>
      <xdr:rowOff>315083</xdr:rowOff>
    </xdr:to>
    <xdr:sp macro="" textlink="">
      <xdr:nvSpPr>
        <xdr:cNvPr id="258120" name="Text Box 72" hidden="1">
          <a:extLst>
            <a:ext uri="{FF2B5EF4-FFF2-40B4-BE49-F238E27FC236}">
              <a16:creationId xmlns:a16="http://schemas.microsoft.com/office/drawing/2014/main" id="{D0B5F2FD-C533-4570-BBEE-08F3EBCE2B08}"/>
            </a:ext>
          </a:extLst>
        </xdr:cNvPr>
        <xdr:cNvSpPr txBox="1">
          <a:spLocks noChangeArrowheads="1"/>
        </xdr:cNvSpPr>
      </xdr:nvSpPr>
      <xdr:spPr bwMode="auto">
        <a:xfrm>
          <a:off x="3550920" y="8465820"/>
          <a:ext cx="128778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154449</xdr:rowOff>
    </xdr:from>
    <xdr:to>
      <xdr:col>4</xdr:col>
      <xdr:colOff>464297</xdr:colOff>
      <xdr:row>53</xdr:row>
      <xdr:rowOff>246618</xdr:rowOff>
    </xdr:to>
    <xdr:sp macro="" textlink="">
      <xdr:nvSpPr>
        <xdr:cNvPr id="258119" name="Text Box 71" hidden="1">
          <a:extLst>
            <a:ext uri="{FF2B5EF4-FFF2-40B4-BE49-F238E27FC236}">
              <a16:creationId xmlns:a16="http://schemas.microsoft.com/office/drawing/2014/main" id="{AE741AA8-E487-4932-B315-A805BA2F6794}"/>
            </a:ext>
          </a:extLst>
        </xdr:cNvPr>
        <xdr:cNvSpPr txBox="1">
          <a:spLocks noChangeArrowheads="1"/>
        </xdr:cNvSpPr>
      </xdr:nvSpPr>
      <xdr:spPr bwMode="auto">
        <a:xfrm>
          <a:off x="3550920" y="8305800"/>
          <a:ext cx="128778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39937</xdr:rowOff>
    </xdr:from>
    <xdr:to>
      <xdr:col>4</xdr:col>
      <xdr:colOff>464297</xdr:colOff>
      <xdr:row>45</xdr:row>
      <xdr:rowOff>153135</xdr:rowOff>
    </xdr:to>
    <xdr:sp macro="" textlink="">
      <xdr:nvSpPr>
        <xdr:cNvPr id="258118" name="Text Box 70" hidden="1">
          <a:extLst>
            <a:ext uri="{FF2B5EF4-FFF2-40B4-BE49-F238E27FC236}">
              <a16:creationId xmlns:a16="http://schemas.microsoft.com/office/drawing/2014/main" id="{F1D86B32-85B1-4183-9204-66C932175407}"/>
            </a:ext>
          </a:extLst>
        </xdr:cNvPr>
        <xdr:cNvSpPr txBox="1">
          <a:spLocks noChangeArrowheads="1"/>
        </xdr:cNvSpPr>
      </xdr:nvSpPr>
      <xdr:spPr bwMode="auto">
        <a:xfrm>
          <a:off x="3550920" y="8168640"/>
          <a:ext cx="12877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43</xdr:row>
      <xdr:rowOff>115927</xdr:rowOff>
    </xdr:from>
    <xdr:to>
      <xdr:col>4</xdr:col>
      <xdr:colOff>464297</xdr:colOff>
      <xdr:row>45</xdr:row>
      <xdr:rowOff>115035</xdr:rowOff>
    </xdr:to>
    <xdr:sp macro="" textlink="">
      <xdr:nvSpPr>
        <xdr:cNvPr id="258117" name="Text Box 69" hidden="1">
          <a:extLst>
            <a:ext uri="{FF2B5EF4-FFF2-40B4-BE49-F238E27FC236}">
              <a16:creationId xmlns:a16="http://schemas.microsoft.com/office/drawing/2014/main" id="{9A9EAE49-4926-4FFC-A235-4330B20DF8B8}"/>
            </a:ext>
          </a:extLst>
        </xdr:cNvPr>
        <xdr:cNvSpPr txBox="1">
          <a:spLocks noChangeArrowheads="1"/>
        </xdr:cNvSpPr>
      </xdr:nvSpPr>
      <xdr:spPr bwMode="auto">
        <a:xfrm>
          <a:off x="3550920" y="9136380"/>
          <a:ext cx="1287780" cy="411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77334</xdr:rowOff>
    </xdr:from>
    <xdr:to>
      <xdr:col>4</xdr:col>
      <xdr:colOff>464297</xdr:colOff>
      <xdr:row>44</xdr:row>
      <xdr:rowOff>77334</xdr:rowOff>
    </xdr:to>
    <xdr:sp macro="" textlink="">
      <xdr:nvSpPr>
        <xdr:cNvPr id="258116" name="Text Box 68" hidden="1">
          <a:extLst>
            <a:ext uri="{FF2B5EF4-FFF2-40B4-BE49-F238E27FC236}">
              <a16:creationId xmlns:a16="http://schemas.microsoft.com/office/drawing/2014/main" id="{7CC03DAB-A3D6-4398-94F5-3252A853574D}"/>
            </a:ext>
          </a:extLst>
        </xdr:cNvPr>
        <xdr:cNvSpPr txBox="1">
          <a:spLocks noChangeArrowheads="1"/>
        </xdr:cNvSpPr>
      </xdr:nvSpPr>
      <xdr:spPr bwMode="auto">
        <a:xfrm>
          <a:off x="3550920" y="9319260"/>
          <a:ext cx="12877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168876</xdr:rowOff>
    </xdr:from>
    <xdr:to>
      <xdr:col>5</xdr:col>
      <xdr:colOff>287804</xdr:colOff>
      <xdr:row>91</xdr:row>
      <xdr:rowOff>21412</xdr:rowOff>
    </xdr:to>
    <xdr:sp macro="" textlink="">
      <xdr:nvSpPr>
        <xdr:cNvPr id="258115" name="Text Box 67" hidden="1">
          <a:extLst>
            <a:ext uri="{FF2B5EF4-FFF2-40B4-BE49-F238E27FC236}">
              <a16:creationId xmlns:a16="http://schemas.microsoft.com/office/drawing/2014/main" id="{0F89E18A-8BE0-427D-9F86-6B354084A203}"/>
            </a:ext>
          </a:extLst>
        </xdr:cNvPr>
        <xdr:cNvSpPr txBox="1">
          <a:spLocks noChangeArrowheads="1"/>
        </xdr:cNvSpPr>
      </xdr:nvSpPr>
      <xdr:spPr bwMode="auto">
        <a:xfrm>
          <a:off x="4038600" y="1730502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54</xdr:row>
      <xdr:rowOff>303916</xdr:rowOff>
    </xdr:from>
    <xdr:to>
      <xdr:col>4</xdr:col>
      <xdr:colOff>464297</xdr:colOff>
      <xdr:row>57</xdr:row>
      <xdr:rowOff>125551</xdr:rowOff>
    </xdr:to>
    <xdr:sp macro="" textlink="">
      <xdr:nvSpPr>
        <xdr:cNvPr id="258136" name="Text Box 88" hidden="1">
          <a:extLst>
            <a:ext uri="{FF2B5EF4-FFF2-40B4-BE49-F238E27FC236}">
              <a16:creationId xmlns:a16="http://schemas.microsoft.com/office/drawing/2014/main" id="{CDB79FE7-D27E-4382-B0AC-F88F2D19A641}"/>
            </a:ext>
          </a:extLst>
        </xdr:cNvPr>
        <xdr:cNvSpPr txBox="1">
          <a:spLocks noChangeArrowheads="1"/>
        </xdr:cNvSpPr>
      </xdr:nvSpPr>
      <xdr:spPr bwMode="auto">
        <a:xfrm>
          <a:off x="3514725" y="11963400"/>
          <a:ext cx="119062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122601</xdr:rowOff>
    </xdr:from>
    <xdr:to>
      <xdr:col>4</xdr:col>
      <xdr:colOff>464297</xdr:colOff>
      <xdr:row>58</xdr:row>
      <xdr:rowOff>48192</xdr:rowOff>
    </xdr:to>
    <xdr:sp macro="" textlink="">
      <xdr:nvSpPr>
        <xdr:cNvPr id="258135" name="Text Box 87" hidden="1">
          <a:extLst>
            <a:ext uri="{FF2B5EF4-FFF2-40B4-BE49-F238E27FC236}">
              <a16:creationId xmlns:a16="http://schemas.microsoft.com/office/drawing/2014/main" id="{C7D2E695-9E38-4BA9-B8C6-372D169722AE}"/>
            </a:ext>
          </a:extLst>
        </xdr:cNvPr>
        <xdr:cNvSpPr txBox="1">
          <a:spLocks noChangeArrowheads="1"/>
        </xdr:cNvSpPr>
      </xdr:nvSpPr>
      <xdr:spPr bwMode="auto">
        <a:xfrm>
          <a:off x="3514725" y="12182475"/>
          <a:ext cx="11906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360471</xdr:rowOff>
    </xdr:from>
    <xdr:to>
      <xdr:col>4</xdr:col>
      <xdr:colOff>464297</xdr:colOff>
      <xdr:row>58</xdr:row>
      <xdr:rowOff>172446</xdr:rowOff>
    </xdr:to>
    <xdr:sp macro="" textlink="">
      <xdr:nvSpPr>
        <xdr:cNvPr id="258134" name="Text Box 86" hidden="1">
          <a:extLst>
            <a:ext uri="{FF2B5EF4-FFF2-40B4-BE49-F238E27FC236}">
              <a16:creationId xmlns:a16="http://schemas.microsoft.com/office/drawing/2014/main" id="{53CDEEB9-36BE-404B-9570-5F0953725CDE}"/>
            </a:ext>
          </a:extLst>
        </xdr:cNvPr>
        <xdr:cNvSpPr txBox="1">
          <a:spLocks noChangeArrowheads="1"/>
        </xdr:cNvSpPr>
      </xdr:nvSpPr>
      <xdr:spPr bwMode="auto">
        <a:xfrm>
          <a:off x="3514725" y="12411075"/>
          <a:ext cx="1190625"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56</xdr:row>
      <xdr:rowOff>126102</xdr:rowOff>
    </xdr:from>
    <xdr:to>
      <xdr:col>4</xdr:col>
      <xdr:colOff>464297</xdr:colOff>
      <xdr:row>59</xdr:row>
      <xdr:rowOff>46478</xdr:rowOff>
    </xdr:to>
    <xdr:sp macro="" textlink="">
      <xdr:nvSpPr>
        <xdr:cNvPr id="258133" name="Text Box 85" hidden="1">
          <a:extLst>
            <a:ext uri="{FF2B5EF4-FFF2-40B4-BE49-F238E27FC236}">
              <a16:creationId xmlns:a16="http://schemas.microsoft.com/office/drawing/2014/main" id="{BD1CC641-2C5F-4420-9713-8BE5274CE99D}"/>
            </a:ext>
          </a:extLst>
        </xdr:cNvPr>
        <xdr:cNvSpPr txBox="1">
          <a:spLocks noChangeArrowheads="1"/>
        </xdr:cNvSpPr>
      </xdr:nvSpPr>
      <xdr:spPr bwMode="auto">
        <a:xfrm>
          <a:off x="3514725" y="12601575"/>
          <a:ext cx="1190625"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78</xdr:row>
      <xdr:rowOff>125748</xdr:rowOff>
    </xdr:from>
    <xdr:to>
      <xdr:col>4</xdr:col>
      <xdr:colOff>464297</xdr:colOff>
      <xdr:row>93</xdr:row>
      <xdr:rowOff>50111</xdr:rowOff>
    </xdr:to>
    <xdr:sp macro="" textlink="">
      <xdr:nvSpPr>
        <xdr:cNvPr id="258132" name="Text Box 84" hidden="1">
          <a:extLst>
            <a:ext uri="{FF2B5EF4-FFF2-40B4-BE49-F238E27FC236}">
              <a16:creationId xmlns:a16="http://schemas.microsoft.com/office/drawing/2014/main" id="{2DC7A7F3-B148-43DF-9173-1C3B376C3D9F}"/>
            </a:ext>
          </a:extLst>
        </xdr:cNvPr>
        <xdr:cNvSpPr txBox="1">
          <a:spLocks noChangeArrowheads="1"/>
        </xdr:cNvSpPr>
      </xdr:nvSpPr>
      <xdr:spPr bwMode="auto">
        <a:xfrm>
          <a:off x="3514725" y="17640300"/>
          <a:ext cx="119062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39</xdr:row>
      <xdr:rowOff>116563</xdr:rowOff>
    </xdr:from>
    <xdr:to>
      <xdr:col>4</xdr:col>
      <xdr:colOff>464297</xdr:colOff>
      <xdr:row>55</xdr:row>
      <xdr:rowOff>315083</xdr:rowOff>
    </xdr:to>
    <xdr:sp macro="" textlink="">
      <xdr:nvSpPr>
        <xdr:cNvPr id="258131" name="Text Box 83" hidden="1">
          <a:extLst>
            <a:ext uri="{FF2B5EF4-FFF2-40B4-BE49-F238E27FC236}">
              <a16:creationId xmlns:a16="http://schemas.microsoft.com/office/drawing/2014/main" id="{F54DA020-13C9-4D02-BC75-6F2F65E96630}"/>
            </a:ext>
          </a:extLst>
        </xdr:cNvPr>
        <xdr:cNvSpPr txBox="1">
          <a:spLocks noChangeArrowheads="1"/>
        </xdr:cNvSpPr>
      </xdr:nvSpPr>
      <xdr:spPr bwMode="auto">
        <a:xfrm>
          <a:off x="3514725" y="8553450"/>
          <a:ext cx="119062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154449</xdr:rowOff>
    </xdr:from>
    <xdr:to>
      <xdr:col>4</xdr:col>
      <xdr:colOff>464297</xdr:colOff>
      <xdr:row>53</xdr:row>
      <xdr:rowOff>246618</xdr:rowOff>
    </xdr:to>
    <xdr:sp macro="" textlink="">
      <xdr:nvSpPr>
        <xdr:cNvPr id="258130" name="Text Box 82" hidden="1">
          <a:extLst>
            <a:ext uri="{FF2B5EF4-FFF2-40B4-BE49-F238E27FC236}">
              <a16:creationId xmlns:a16="http://schemas.microsoft.com/office/drawing/2014/main" id="{F35FCBE6-42C0-4995-BC30-3B584A3FC639}"/>
            </a:ext>
          </a:extLst>
        </xdr:cNvPr>
        <xdr:cNvSpPr txBox="1">
          <a:spLocks noChangeArrowheads="1"/>
        </xdr:cNvSpPr>
      </xdr:nvSpPr>
      <xdr:spPr bwMode="auto">
        <a:xfrm>
          <a:off x="3514725" y="8382000"/>
          <a:ext cx="1190625" cy="2771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39937</xdr:rowOff>
    </xdr:from>
    <xdr:to>
      <xdr:col>4</xdr:col>
      <xdr:colOff>464297</xdr:colOff>
      <xdr:row>45</xdr:row>
      <xdr:rowOff>153135</xdr:rowOff>
    </xdr:to>
    <xdr:sp macro="" textlink="">
      <xdr:nvSpPr>
        <xdr:cNvPr id="258129" name="Text Box 81" hidden="1">
          <a:extLst>
            <a:ext uri="{FF2B5EF4-FFF2-40B4-BE49-F238E27FC236}">
              <a16:creationId xmlns:a16="http://schemas.microsoft.com/office/drawing/2014/main" id="{65DD4C78-3341-497E-A858-345BA13BF7BB}"/>
            </a:ext>
          </a:extLst>
        </xdr:cNvPr>
        <xdr:cNvSpPr txBox="1">
          <a:spLocks noChangeArrowheads="1"/>
        </xdr:cNvSpPr>
      </xdr:nvSpPr>
      <xdr:spPr bwMode="auto">
        <a:xfrm>
          <a:off x="3514725" y="8248650"/>
          <a:ext cx="119062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43</xdr:row>
      <xdr:rowOff>115927</xdr:rowOff>
    </xdr:from>
    <xdr:to>
      <xdr:col>4</xdr:col>
      <xdr:colOff>464297</xdr:colOff>
      <xdr:row>45</xdr:row>
      <xdr:rowOff>115035</xdr:rowOff>
    </xdr:to>
    <xdr:sp macro="" textlink="">
      <xdr:nvSpPr>
        <xdr:cNvPr id="258128" name="Text Box 80" hidden="1">
          <a:extLst>
            <a:ext uri="{FF2B5EF4-FFF2-40B4-BE49-F238E27FC236}">
              <a16:creationId xmlns:a16="http://schemas.microsoft.com/office/drawing/2014/main" id="{8ADFCC48-D9D9-4989-998A-A2437E3C1EE3}"/>
            </a:ext>
          </a:extLst>
        </xdr:cNvPr>
        <xdr:cNvSpPr txBox="1">
          <a:spLocks noChangeArrowheads="1"/>
        </xdr:cNvSpPr>
      </xdr:nvSpPr>
      <xdr:spPr bwMode="auto">
        <a:xfrm>
          <a:off x="3514725" y="9239250"/>
          <a:ext cx="119062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77334</xdr:rowOff>
    </xdr:from>
    <xdr:to>
      <xdr:col>4</xdr:col>
      <xdr:colOff>464297</xdr:colOff>
      <xdr:row>44</xdr:row>
      <xdr:rowOff>77334</xdr:rowOff>
    </xdr:to>
    <xdr:sp macro="" textlink="">
      <xdr:nvSpPr>
        <xdr:cNvPr id="258127" name="Text Box 79" hidden="1">
          <a:extLst>
            <a:ext uri="{FF2B5EF4-FFF2-40B4-BE49-F238E27FC236}">
              <a16:creationId xmlns:a16="http://schemas.microsoft.com/office/drawing/2014/main" id="{5E6F14DA-0985-4197-8622-20F77A5AFAA5}"/>
            </a:ext>
          </a:extLst>
        </xdr:cNvPr>
        <xdr:cNvSpPr txBox="1">
          <a:spLocks noChangeArrowheads="1"/>
        </xdr:cNvSpPr>
      </xdr:nvSpPr>
      <xdr:spPr bwMode="auto">
        <a:xfrm>
          <a:off x="3514725" y="9420225"/>
          <a:ext cx="11906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125748</xdr:rowOff>
    </xdr:from>
    <xdr:to>
      <xdr:col>5</xdr:col>
      <xdr:colOff>287804</xdr:colOff>
      <xdr:row>91</xdr:row>
      <xdr:rowOff>21412</xdr:rowOff>
    </xdr:to>
    <xdr:sp macro="" textlink="">
      <xdr:nvSpPr>
        <xdr:cNvPr id="258126" name="Text Box 78" hidden="1">
          <a:extLst>
            <a:ext uri="{FF2B5EF4-FFF2-40B4-BE49-F238E27FC236}">
              <a16:creationId xmlns:a16="http://schemas.microsoft.com/office/drawing/2014/main" id="{BF290713-97E1-4A13-BF1C-37F6023DB01A}"/>
            </a:ext>
          </a:extLst>
        </xdr:cNvPr>
        <xdr:cNvSpPr txBox="1">
          <a:spLocks noChangeArrowheads="1"/>
        </xdr:cNvSpPr>
      </xdr:nvSpPr>
      <xdr:spPr bwMode="auto">
        <a:xfrm>
          <a:off x="3924300" y="1764030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130352</xdr:rowOff>
    </xdr:from>
    <xdr:to>
      <xdr:col>5</xdr:col>
      <xdr:colOff>287804</xdr:colOff>
      <xdr:row>90</xdr:row>
      <xdr:rowOff>150176</xdr:rowOff>
    </xdr:to>
    <xdr:sp macro="" textlink="">
      <xdr:nvSpPr>
        <xdr:cNvPr id="258137" name="Text Box 89" hidden="1">
          <a:extLst>
            <a:ext uri="{FF2B5EF4-FFF2-40B4-BE49-F238E27FC236}">
              <a16:creationId xmlns:a16="http://schemas.microsoft.com/office/drawing/2014/main" id="{1C85DC9F-9C98-450F-9E19-1D065C923B68}"/>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40</xdr:row>
      <xdr:rowOff>115716</xdr:rowOff>
    </xdr:from>
    <xdr:to>
      <xdr:col>5</xdr:col>
      <xdr:colOff>133275</xdr:colOff>
      <xdr:row>44</xdr:row>
      <xdr:rowOff>116280</xdr:rowOff>
    </xdr:to>
    <xdr:sp macro="" textlink="">
      <xdr:nvSpPr>
        <xdr:cNvPr id="258149" name="Text Box 101" hidden="1">
          <a:extLst>
            <a:ext uri="{FF2B5EF4-FFF2-40B4-BE49-F238E27FC236}">
              <a16:creationId xmlns:a16="http://schemas.microsoft.com/office/drawing/2014/main" id="{E7B8629A-07A3-49FB-A2C7-D131B22AA69A}"/>
            </a:ext>
          </a:extLst>
        </xdr:cNvPr>
        <xdr:cNvSpPr txBox="1">
          <a:spLocks noChangeArrowheads="1"/>
        </xdr:cNvSpPr>
      </xdr:nvSpPr>
      <xdr:spPr bwMode="auto">
        <a:xfrm>
          <a:off x="3886200" y="8724900"/>
          <a:ext cx="125730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41</xdr:row>
      <xdr:rowOff>115716</xdr:rowOff>
    </xdr:from>
    <xdr:to>
      <xdr:col>5</xdr:col>
      <xdr:colOff>133275</xdr:colOff>
      <xdr:row>45</xdr:row>
      <xdr:rowOff>152077</xdr:rowOff>
    </xdr:to>
    <xdr:sp macro="" textlink="">
      <xdr:nvSpPr>
        <xdr:cNvPr id="258150" name="Text Box 102" hidden="1">
          <a:extLst>
            <a:ext uri="{FF2B5EF4-FFF2-40B4-BE49-F238E27FC236}">
              <a16:creationId xmlns:a16="http://schemas.microsoft.com/office/drawing/2014/main" id="{D70B7199-DB6A-4B5C-80E9-BFCA5534ED4E}"/>
            </a:ext>
          </a:extLst>
        </xdr:cNvPr>
        <xdr:cNvSpPr txBox="1">
          <a:spLocks noChangeArrowheads="1"/>
        </xdr:cNvSpPr>
      </xdr:nvSpPr>
      <xdr:spPr bwMode="auto">
        <a:xfrm>
          <a:off x="3886200" y="89249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27250</xdr:rowOff>
    </xdr:from>
    <xdr:to>
      <xdr:col>5</xdr:col>
      <xdr:colOff>133275</xdr:colOff>
      <xdr:row>48</xdr:row>
      <xdr:rowOff>57418</xdr:rowOff>
    </xdr:to>
    <xdr:sp macro="" textlink="">
      <xdr:nvSpPr>
        <xdr:cNvPr id="258151" name="Text Box 103" hidden="1">
          <a:extLst>
            <a:ext uri="{FF2B5EF4-FFF2-40B4-BE49-F238E27FC236}">
              <a16:creationId xmlns:a16="http://schemas.microsoft.com/office/drawing/2014/main" id="{5C72487A-284C-4AC5-93AB-EDEE3931B3AE}"/>
            </a:ext>
          </a:extLst>
        </xdr:cNvPr>
        <xdr:cNvSpPr txBox="1">
          <a:spLocks noChangeArrowheads="1"/>
        </xdr:cNvSpPr>
      </xdr:nvSpPr>
      <xdr:spPr bwMode="auto">
        <a:xfrm>
          <a:off x="3886200" y="93249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154380</xdr:rowOff>
    </xdr:from>
    <xdr:to>
      <xdr:col>5</xdr:col>
      <xdr:colOff>133275</xdr:colOff>
      <xdr:row>49</xdr:row>
      <xdr:rowOff>84701</xdr:rowOff>
    </xdr:to>
    <xdr:sp macro="" textlink="">
      <xdr:nvSpPr>
        <xdr:cNvPr id="258152" name="Text Box 104" hidden="1">
          <a:extLst>
            <a:ext uri="{FF2B5EF4-FFF2-40B4-BE49-F238E27FC236}">
              <a16:creationId xmlns:a16="http://schemas.microsoft.com/office/drawing/2014/main" id="{35617988-37FC-4EDC-97B6-51576FC4021A}"/>
            </a:ext>
          </a:extLst>
        </xdr:cNvPr>
        <xdr:cNvSpPr txBox="1">
          <a:spLocks noChangeArrowheads="1"/>
        </xdr:cNvSpPr>
      </xdr:nvSpPr>
      <xdr:spPr bwMode="auto">
        <a:xfrm>
          <a:off x="3886200" y="95345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31097</xdr:rowOff>
    </xdr:from>
    <xdr:to>
      <xdr:col>5</xdr:col>
      <xdr:colOff>133275</xdr:colOff>
      <xdr:row>50</xdr:row>
      <xdr:rowOff>133572</xdr:rowOff>
    </xdr:to>
    <xdr:sp macro="" textlink="">
      <xdr:nvSpPr>
        <xdr:cNvPr id="258153" name="Text Box 105" hidden="1">
          <a:extLst>
            <a:ext uri="{FF2B5EF4-FFF2-40B4-BE49-F238E27FC236}">
              <a16:creationId xmlns:a16="http://schemas.microsoft.com/office/drawing/2014/main" id="{FAFE7F69-9567-4B2A-976C-5795DFCD9423}"/>
            </a:ext>
          </a:extLst>
        </xdr:cNvPr>
        <xdr:cNvSpPr txBox="1">
          <a:spLocks noChangeArrowheads="1"/>
        </xdr:cNvSpPr>
      </xdr:nvSpPr>
      <xdr:spPr bwMode="auto">
        <a:xfrm>
          <a:off x="3886200" y="97440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25991</xdr:rowOff>
    </xdr:from>
    <xdr:to>
      <xdr:col>5</xdr:col>
      <xdr:colOff>133275</xdr:colOff>
      <xdr:row>62</xdr:row>
      <xdr:rowOff>188602</xdr:rowOff>
    </xdr:to>
    <xdr:sp macro="" textlink="">
      <xdr:nvSpPr>
        <xdr:cNvPr id="258154" name="Text Box 106" hidden="1">
          <a:extLst>
            <a:ext uri="{FF2B5EF4-FFF2-40B4-BE49-F238E27FC236}">
              <a16:creationId xmlns:a16="http://schemas.microsoft.com/office/drawing/2014/main" id="{C1E5109B-B99F-4A34-A64B-1D5A0647B55D}"/>
            </a:ext>
          </a:extLst>
        </xdr:cNvPr>
        <xdr:cNvSpPr txBox="1">
          <a:spLocks noChangeArrowheads="1"/>
        </xdr:cNvSpPr>
      </xdr:nvSpPr>
      <xdr:spPr bwMode="auto">
        <a:xfrm>
          <a:off x="3886200" y="13411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10402</xdr:rowOff>
    </xdr:from>
    <xdr:to>
      <xdr:col>5</xdr:col>
      <xdr:colOff>133275</xdr:colOff>
      <xdr:row>63</xdr:row>
      <xdr:rowOff>114826</xdr:rowOff>
    </xdr:to>
    <xdr:sp macro="" textlink="">
      <xdr:nvSpPr>
        <xdr:cNvPr id="258155" name="Text Box 107" hidden="1">
          <a:extLst>
            <a:ext uri="{FF2B5EF4-FFF2-40B4-BE49-F238E27FC236}">
              <a16:creationId xmlns:a16="http://schemas.microsoft.com/office/drawing/2014/main" id="{6934292F-6827-4F61-9359-E4BC126CAA17}"/>
            </a:ext>
          </a:extLst>
        </xdr:cNvPr>
        <xdr:cNvSpPr txBox="1">
          <a:spLocks noChangeArrowheads="1"/>
        </xdr:cNvSpPr>
      </xdr:nvSpPr>
      <xdr:spPr bwMode="auto">
        <a:xfrm>
          <a:off x="3886200" y="13601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87582</xdr:rowOff>
    </xdr:from>
    <xdr:to>
      <xdr:col>5</xdr:col>
      <xdr:colOff>133275</xdr:colOff>
      <xdr:row>64</xdr:row>
      <xdr:rowOff>125875</xdr:rowOff>
    </xdr:to>
    <xdr:sp macro="" textlink="">
      <xdr:nvSpPr>
        <xdr:cNvPr id="258156" name="Text Box 108" hidden="1">
          <a:extLst>
            <a:ext uri="{FF2B5EF4-FFF2-40B4-BE49-F238E27FC236}">
              <a16:creationId xmlns:a16="http://schemas.microsoft.com/office/drawing/2014/main" id="{885944F1-8E4A-456B-B2F5-8DFABDC7EBD4}"/>
            </a:ext>
          </a:extLst>
        </xdr:cNvPr>
        <xdr:cNvSpPr txBox="1">
          <a:spLocks noChangeArrowheads="1"/>
        </xdr:cNvSpPr>
      </xdr:nvSpPr>
      <xdr:spPr bwMode="auto">
        <a:xfrm>
          <a:off x="3886200" y="13792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145446</xdr:rowOff>
    </xdr:from>
    <xdr:to>
      <xdr:col>5</xdr:col>
      <xdr:colOff>133275</xdr:colOff>
      <xdr:row>65</xdr:row>
      <xdr:rowOff>120790</xdr:rowOff>
    </xdr:to>
    <xdr:sp macro="" textlink="">
      <xdr:nvSpPr>
        <xdr:cNvPr id="258157" name="Text Box 109" hidden="1">
          <a:extLst>
            <a:ext uri="{FF2B5EF4-FFF2-40B4-BE49-F238E27FC236}">
              <a16:creationId xmlns:a16="http://schemas.microsoft.com/office/drawing/2014/main" id="{E6C6E50F-AAFC-4DBA-B8D0-102ECF36057A}"/>
            </a:ext>
          </a:extLst>
        </xdr:cNvPr>
        <xdr:cNvSpPr txBox="1">
          <a:spLocks noChangeArrowheads="1"/>
        </xdr:cNvSpPr>
      </xdr:nvSpPr>
      <xdr:spPr bwMode="auto">
        <a:xfrm>
          <a:off x="3886200" y="13982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81</xdr:row>
      <xdr:rowOff>11742</xdr:rowOff>
    </xdr:from>
    <xdr:to>
      <xdr:col>5</xdr:col>
      <xdr:colOff>133275</xdr:colOff>
      <xdr:row>84</xdr:row>
      <xdr:rowOff>154633</xdr:rowOff>
    </xdr:to>
    <xdr:sp macro="" textlink="">
      <xdr:nvSpPr>
        <xdr:cNvPr id="258158" name="Text Box 110" hidden="1">
          <a:extLst>
            <a:ext uri="{FF2B5EF4-FFF2-40B4-BE49-F238E27FC236}">
              <a16:creationId xmlns:a16="http://schemas.microsoft.com/office/drawing/2014/main" id="{C9BBA7A6-102B-4C36-9522-3443CB9F6C7F}"/>
            </a:ext>
          </a:extLst>
        </xdr:cNvPr>
        <xdr:cNvSpPr txBox="1">
          <a:spLocks noChangeArrowheads="1"/>
        </xdr:cNvSpPr>
      </xdr:nvSpPr>
      <xdr:spPr bwMode="auto">
        <a:xfrm>
          <a:off x="3886200" y="18183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60194</xdr:rowOff>
    </xdr:from>
    <xdr:to>
      <xdr:col>5</xdr:col>
      <xdr:colOff>133275</xdr:colOff>
      <xdr:row>86</xdr:row>
      <xdr:rowOff>88415</xdr:rowOff>
    </xdr:to>
    <xdr:sp macro="" textlink="">
      <xdr:nvSpPr>
        <xdr:cNvPr id="258159" name="Text Box 111" hidden="1">
          <a:extLst>
            <a:ext uri="{FF2B5EF4-FFF2-40B4-BE49-F238E27FC236}">
              <a16:creationId xmlns:a16="http://schemas.microsoft.com/office/drawing/2014/main" id="{BA9807FE-F55B-419F-9EF9-C7EFEB5E47C1}"/>
            </a:ext>
          </a:extLst>
        </xdr:cNvPr>
        <xdr:cNvSpPr txBox="1">
          <a:spLocks noChangeArrowheads="1"/>
        </xdr:cNvSpPr>
      </xdr:nvSpPr>
      <xdr:spPr bwMode="auto">
        <a:xfrm>
          <a:off x="3886200" y="18545175"/>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31471</xdr:rowOff>
    </xdr:from>
    <xdr:to>
      <xdr:col>5</xdr:col>
      <xdr:colOff>133275</xdr:colOff>
      <xdr:row>88</xdr:row>
      <xdr:rowOff>116603</xdr:rowOff>
    </xdr:to>
    <xdr:sp macro="" textlink="">
      <xdr:nvSpPr>
        <xdr:cNvPr id="258160" name="Text Box 112" hidden="1">
          <a:extLst>
            <a:ext uri="{FF2B5EF4-FFF2-40B4-BE49-F238E27FC236}">
              <a16:creationId xmlns:a16="http://schemas.microsoft.com/office/drawing/2014/main" id="{D0C41837-0A4C-44E8-ABCE-FDC54AB36B3B}"/>
            </a:ext>
          </a:extLst>
        </xdr:cNvPr>
        <xdr:cNvSpPr txBox="1">
          <a:spLocks noChangeArrowheads="1"/>
        </xdr:cNvSpPr>
      </xdr:nvSpPr>
      <xdr:spPr bwMode="auto">
        <a:xfrm>
          <a:off x="3886200" y="1888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130352</xdr:rowOff>
    </xdr:from>
    <xdr:to>
      <xdr:col>5</xdr:col>
      <xdr:colOff>287804</xdr:colOff>
      <xdr:row>90</xdr:row>
      <xdr:rowOff>150176</xdr:rowOff>
    </xdr:to>
    <xdr:sp macro="" textlink="">
      <xdr:nvSpPr>
        <xdr:cNvPr id="258173" name="Text Box 125" hidden="1">
          <a:extLst>
            <a:ext uri="{FF2B5EF4-FFF2-40B4-BE49-F238E27FC236}">
              <a16:creationId xmlns:a16="http://schemas.microsoft.com/office/drawing/2014/main" id="{646D364A-6B63-41E8-B8F9-8FBEA2548FC7}"/>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40</xdr:row>
      <xdr:rowOff>115716</xdr:rowOff>
    </xdr:from>
    <xdr:to>
      <xdr:col>5</xdr:col>
      <xdr:colOff>133275</xdr:colOff>
      <xdr:row>44</xdr:row>
      <xdr:rowOff>116280</xdr:rowOff>
    </xdr:to>
    <xdr:sp macro="" textlink="">
      <xdr:nvSpPr>
        <xdr:cNvPr id="258172" name="Text Box 124" hidden="1">
          <a:extLst>
            <a:ext uri="{FF2B5EF4-FFF2-40B4-BE49-F238E27FC236}">
              <a16:creationId xmlns:a16="http://schemas.microsoft.com/office/drawing/2014/main" id="{989AF1E0-0392-4FCF-93A4-C4435A14BD39}"/>
            </a:ext>
          </a:extLst>
        </xdr:cNvPr>
        <xdr:cNvSpPr txBox="1">
          <a:spLocks noChangeArrowheads="1"/>
        </xdr:cNvSpPr>
      </xdr:nvSpPr>
      <xdr:spPr bwMode="auto">
        <a:xfrm>
          <a:off x="3886200" y="8724900"/>
          <a:ext cx="125730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41</xdr:row>
      <xdr:rowOff>115716</xdr:rowOff>
    </xdr:from>
    <xdr:to>
      <xdr:col>5</xdr:col>
      <xdr:colOff>133275</xdr:colOff>
      <xdr:row>45</xdr:row>
      <xdr:rowOff>152077</xdr:rowOff>
    </xdr:to>
    <xdr:sp macro="" textlink="">
      <xdr:nvSpPr>
        <xdr:cNvPr id="258171" name="Text Box 123" hidden="1">
          <a:extLst>
            <a:ext uri="{FF2B5EF4-FFF2-40B4-BE49-F238E27FC236}">
              <a16:creationId xmlns:a16="http://schemas.microsoft.com/office/drawing/2014/main" id="{EDDB947C-589A-416D-9635-6DFCA5C9CA98}"/>
            </a:ext>
          </a:extLst>
        </xdr:cNvPr>
        <xdr:cNvSpPr txBox="1">
          <a:spLocks noChangeArrowheads="1"/>
        </xdr:cNvSpPr>
      </xdr:nvSpPr>
      <xdr:spPr bwMode="auto">
        <a:xfrm>
          <a:off x="3886200" y="89249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27250</xdr:rowOff>
    </xdr:from>
    <xdr:to>
      <xdr:col>5</xdr:col>
      <xdr:colOff>133275</xdr:colOff>
      <xdr:row>48</xdr:row>
      <xdr:rowOff>57418</xdr:rowOff>
    </xdr:to>
    <xdr:sp macro="" textlink="">
      <xdr:nvSpPr>
        <xdr:cNvPr id="258170" name="Text Box 122" hidden="1">
          <a:extLst>
            <a:ext uri="{FF2B5EF4-FFF2-40B4-BE49-F238E27FC236}">
              <a16:creationId xmlns:a16="http://schemas.microsoft.com/office/drawing/2014/main" id="{41521D7B-0FB5-4D68-B391-4F8E898C7BA8}"/>
            </a:ext>
          </a:extLst>
        </xdr:cNvPr>
        <xdr:cNvSpPr txBox="1">
          <a:spLocks noChangeArrowheads="1"/>
        </xdr:cNvSpPr>
      </xdr:nvSpPr>
      <xdr:spPr bwMode="auto">
        <a:xfrm>
          <a:off x="3886200" y="93249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154380</xdr:rowOff>
    </xdr:from>
    <xdr:to>
      <xdr:col>5</xdr:col>
      <xdr:colOff>133275</xdr:colOff>
      <xdr:row>49</xdr:row>
      <xdr:rowOff>84701</xdr:rowOff>
    </xdr:to>
    <xdr:sp macro="" textlink="">
      <xdr:nvSpPr>
        <xdr:cNvPr id="258169" name="Text Box 121" hidden="1">
          <a:extLst>
            <a:ext uri="{FF2B5EF4-FFF2-40B4-BE49-F238E27FC236}">
              <a16:creationId xmlns:a16="http://schemas.microsoft.com/office/drawing/2014/main" id="{DAAAAB86-718F-4996-BB04-E84428379A52}"/>
            </a:ext>
          </a:extLst>
        </xdr:cNvPr>
        <xdr:cNvSpPr txBox="1">
          <a:spLocks noChangeArrowheads="1"/>
        </xdr:cNvSpPr>
      </xdr:nvSpPr>
      <xdr:spPr bwMode="auto">
        <a:xfrm>
          <a:off x="3886200" y="95345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31097</xdr:rowOff>
    </xdr:from>
    <xdr:to>
      <xdr:col>5</xdr:col>
      <xdr:colOff>133275</xdr:colOff>
      <xdr:row>50</xdr:row>
      <xdr:rowOff>133572</xdr:rowOff>
    </xdr:to>
    <xdr:sp macro="" textlink="">
      <xdr:nvSpPr>
        <xdr:cNvPr id="258168" name="Text Box 120" hidden="1">
          <a:extLst>
            <a:ext uri="{FF2B5EF4-FFF2-40B4-BE49-F238E27FC236}">
              <a16:creationId xmlns:a16="http://schemas.microsoft.com/office/drawing/2014/main" id="{B723D271-1A14-433E-9B1B-5F055073ACC0}"/>
            </a:ext>
          </a:extLst>
        </xdr:cNvPr>
        <xdr:cNvSpPr txBox="1">
          <a:spLocks noChangeArrowheads="1"/>
        </xdr:cNvSpPr>
      </xdr:nvSpPr>
      <xdr:spPr bwMode="auto">
        <a:xfrm>
          <a:off x="3886200" y="97440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25991</xdr:rowOff>
    </xdr:from>
    <xdr:to>
      <xdr:col>5</xdr:col>
      <xdr:colOff>133275</xdr:colOff>
      <xdr:row>62</xdr:row>
      <xdr:rowOff>188602</xdr:rowOff>
    </xdr:to>
    <xdr:sp macro="" textlink="">
      <xdr:nvSpPr>
        <xdr:cNvPr id="258167" name="Text Box 119" hidden="1">
          <a:extLst>
            <a:ext uri="{FF2B5EF4-FFF2-40B4-BE49-F238E27FC236}">
              <a16:creationId xmlns:a16="http://schemas.microsoft.com/office/drawing/2014/main" id="{6A326EE1-1C08-4078-8605-020A2F8E31F7}"/>
            </a:ext>
          </a:extLst>
        </xdr:cNvPr>
        <xdr:cNvSpPr txBox="1">
          <a:spLocks noChangeArrowheads="1"/>
        </xdr:cNvSpPr>
      </xdr:nvSpPr>
      <xdr:spPr bwMode="auto">
        <a:xfrm>
          <a:off x="3886200" y="13411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10402</xdr:rowOff>
    </xdr:from>
    <xdr:to>
      <xdr:col>5</xdr:col>
      <xdr:colOff>133275</xdr:colOff>
      <xdr:row>63</xdr:row>
      <xdr:rowOff>114826</xdr:rowOff>
    </xdr:to>
    <xdr:sp macro="" textlink="">
      <xdr:nvSpPr>
        <xdr:cNvPr id="258166" name="Text Box 118" hidden="1">
          <a:extLst>
            <a:ext uri="{FF2B5EF4-FFF2-40B4-BE49-F238E27FC236}">
              <a16:creationId xmlns:a16="http://schemas.microsoft.com/office/drawing/2014/main" id="{635CBE83-550A-4F94-8B69-56E10ABF546E}"/>
            </a:ext>
          </a:extLst>
        </xdr:cNvPr>
        <xdr:cNvSpPr txBox="1">
          <a:spLocks noChangeArrowheads="1"/>
        </xdr:cNvSpPr>
      </xdr:nvSpPr>
      <xdr:spPr bwMode="auto">
        <a:xfrm>
          <a:off x="3886200" y="13601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87582</xdr:rowOff>
    </xdr:from>
    <xdr:to>
      <xdr:col>5</xdr:col>
      <xdr:colOff>133275</xdr:colOff>
      <xdr:row>64</xdr:row>
      <xdr:rowOff>125875</xdr:rowOff>
    </xdr:to>
    <xdr:sp macro="" textlink="">
      <xdr:nvSpPr>
        <xdr:cNvPr id="258165" name="Text Box 117" hidden="1">
          <a:extLst>
            <a:ext uri="{FF2B5EF4-FFF2-40B4-BE49-F238E27FC236}">
              <a16:creationId xmlns:a16="http://schemas.microsoft.com/office/drawing/2014/main" id="{51AEC109-152B-4F5E-8414-3B1F71A990B2}"/>
            </a:ext>
          </a:extLst>
        </xdr:cNvPr>
        <xdr:cNvSpPr txBox="1">
          <a:spLocks noChangeArrowheads="1"/>
        </xdr:cNvSpPr>
      </xdr:nvSpPr>
      <xdr:spPr bwMode="auto">
        <a:xfrm>
          <a:off x="3886200" y="13792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145446</xdr:rowOff>
    </xdr:from>
    <xdr:to>
      <xdr:col>5</xdr:col>
      <xdr:colOff>133275</xdr:colOff>
      <xdr:row>65</xdr:row>
      <xdr:rowOff>120790</xdr:rowOff>
    </xdr:to>
    <xdr:sp macro="" textlink="">
      <xdr:nvSpPr>
        <xdr:cNvPr id="258164" name="Text Box 116" hidden="1">
          <a:extLst>
            <a:ext uri="{FF2B5EF4-FFF2-40B4-BE49-F238E27FC236}">
              <a16:creationId xmlns:a16="http://schemas.microsoft.com/office/drawing/2014/main" id="{2A43A914-A0B0-4BAD-B807-69A5E610831F}"/>
            </a:ext>
          </a:extLst>
        </xdr:cNvPr>
        <xdr:cNvSpPr txBox="1">
          <a:spLocks noChangeArrowheads="1"/>
        </xdr:cNvSpPr>
      </xdr:nvSpPr>
      <xdr:spPr bwMode="auto">
        <a:xfrm>
          <a:off x="3886200" y="13982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81</xdr:row>
      <xdr:rowOff>11742</xdr:rowOff>
    </xdr:from>
    <xdr:to>
      <xdr:col>5</xdr:col>
      <xdr:colOff>133275</xdr:colOff>
      <xdr:row>84</xdr:row>
      <xdr:rowOff>154633</xdr:rowOff>
    </xdr:to>
    <xdr:sp macro="" textlink="">
      <xdr:nvSpPr>
        <xdr:cNvPr id="258163" name="Text Box 115" hidden="1">
          <a:extLst>
            <a:ext uri="{FF2B5EF4-FFF2-40B4-BE49-F238E27FC236}">
              <a16:creationId xmlns:a16="http://schemas.microsoft.com/office/drawing/2014/main" id="{D1FB1822-FBE2-447A-B66B-7CAE6BB4E815}"/>
            </a:ext>
          </a:extLst>
        </xdr:cNvPr>
        <xdr:cNvSpPr txBox="1">
          <a:spLocks noChangeArrowheads="1"/>
        </xdr:cNvSpPr>
      </xdr:nvSpPr>
      <xdr:spPr bwMode="auto">
        <a:xfrm>
          <a:off x="3886200" y="18183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60194</xdr:rowOff>
    </xdr:from>
    <xdr:to>
      <xdr:col>5</xdr:col>
      <xdr:colOff>133275</xdr:colOff>
      <xdr:row>86</xdr:row>
      <xdr:rowOff>88415</xdr:rowOff>
    </xdr:to>
    <xdr:sp macro="" textlink="">
      <xdr:nvSpPr>
        <xdr:cNvPr id="258162" name="Text Box 114" hidden="1">
          <a:extLst>
            <a:ext uri="{FF2B5EF4-FFF2-40B4-BE49-F238E27FC236}">
              <a16:creationId xmlns:a16="http://schemas.microsoft.com/office/drawing/2014/main" id="{DB7E14AA-8DA2-4877-9A83-0ADEF26B16A4}"/>
            </a:ext>
          </a:extLst>
        </xdr:cNvPr>
        <xdr:cNvSpPr txBox="1">
          <a:spLocks noChangeArrowheads="1"/>
        </xdr:cNvSpPr>
      </xdr:nvSpPr>
      <xdr:spPr bwMode="auto">
        <a:xfrm>
          <a:off x="3886200" y="185451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31471</xdr:rowOff>
    </xdr:from>
    <xdr:to>
      <xdr:col>5</xdr:col>
      <xdr:colOff>133275</xdr:colOff>
      <xdr:row>88</xdr:row>
      <xdr:rowOff>116603</xdr:rowOff>
    </xdr:to>
    <xdr:sp macro="" textlink="">
      <xdr:nvSpPr>
        <xdr:cNvPr id="258161" name="Text Box 113" hidden="1">
          <a:extLst>
            <a:ext uri="{FF2B5EF4-FFF2-40B4-BE49-F238E27FC236}">
              <a16:creationId xmlns:a16="http://schemas.microsoft.com/office/drawing/2014/main" id="{18B6A1A1-E3FD-4047-8FA5-3FC5B8E05B80}"/>
            </a:ext>
          </a:extLst>
        </xdr:cNvPr>
        <xdr:cNvSpPr txBox="1">
          <a:spLocks noChangeArrowheads="1"/>
        </xdr:cNvSpPr>
      </xdr:nvSpPr>
      <xdr:spPr bwMode="auto">
        <a:xfrm>
          <a:off x="3886200" y="1888807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130352</xdr:rowOff>
    </xdr:from>
    <xdr:to>
      <xdr:col>5</xdr:col>
      <xdr:colOff>287804</xdr:colOff>
      <xdr:row>90</xdr:row>
      <xdr:rowOff>150176</xdr:rowOff>
    </xdr:to>
    <xdr:sp macro="" textlink="">
      <xdr:nvSpPr>
        <xdr:cNvPr id="258186" name="Text Box 138" hidden="1">
          <a:extLst>
            <a:ext uri="{FF2B5EF4-FFF2-40B4-BE49-F238E27FC236}">
              <a16:creationId xmlns:a16="http://schemas.microsoft.com/office/drawing/2014/main" id="{30509615-67FA-4BE1-A202-8152F5DB3C7E}"/>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40</xdr:row>
      <xdr:rowOff>115716</xdr:rowOff>
    </xdr:from>
    <xdr:to>
      <xdr:col>5</xdr:col>
      <xdr:colOff>133275</xdr:colOff>
      <xdr:row>44</xdr:row>
      <xdr:rowOff>116280</xdr:rowOff>
    </xdr:to>
    <xdr:sp macro="" textlink="">
      <xdr:nvSpPr>
        <xdr:cNvPr id="258185" name="Text Box 137" hidden="1">
          <a:extLst>
            <a:ext uri="{FF2B5EF4-FFF2-40B4-BE49-F238E27FC236}">
              <a16:creationId xmlns:a16="http://schemas.microsoft.com/office/drawing/2014/main" id="{1806C9A9-EDA3-4C4C-8D1F-DE3CB7AD93D8}"/>
            </a:ext>
          </a:extLst>
        </xdr:cNvPr>
        <xdr:cNvSpPr txBox="1">
          <a:spLocks noChangeArrowheads="1"/>
        </xdr:cNvSpPr>
      </xdr:nvSpPr>
      <xdr:spPr bwMode="auto">
        <a:xfrm>
          <a:off x="4000500" y="864870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41</xdr:row>
      <xdr:rowOff>115716</xdr:rowOff>
    </xdr:from>
    <xdr:to>
      <xdr:col>5</xdr:col>
      <xdr:colOff>133275</xdr:colOff>
      <xdr:row>45</xdr:row>
      <xdr:rowOff>152077</xdr:rowOff>
    </xdr:to>
    <xdr:sp macro="" textlink="">
      <xdr:nvSpPr>
        <xdr:cNvPr id="258184" name="Text Box 136" hidden="1">
          <a:extLst>
            <a:ext uri="{FF2B5EF4-FFF2-40B4-BE49-F238E27FC236}">
              <a16:creationId xmlns:a16="http://schemas.microsoft.com/office/drawing/2014/main" id="{9DB28CC2-DDED-4AFF-BE65-90966A1631C6}"/>
            </a:ext>
          </a:extLst>
        </xdr:cNvPr>
        <xdr:cNvSpPr txBox="1">
          <a:spLocks noChangeArrowheads="1"/>
        </xdr:cNvSpPr>
      </xdr:nvSpPr>
      <xdr:spPr bwMode="auto">
        <a:xfrm>
          <a:off x="4000500" y="8846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43</xdr:row>
      <xdr:rowOff>153180</xdr:rowOff>
    </xdr:from>
    <xdr:to>
      <xdr:col>5</xdr:col>
      <xdr:colOff>133275</xdr:colOff>
      <xdr:row>48</xdr:row>
      <xdr:rowOff>18622</xdr:rowOff>
    </xdr:to>
    <xdr:sp macro="" textlink="">
      <xdr:nvSpPr>
        <xdr:cNvPr id="258183" name="Text Box 135" hidden="1">
          <a:extLst>
            <a:ext uri="{FF2B5EF4-FFF2-40B4-BE49-F238E27FC236}">
              <a16:creationId xmlns:a16="http://schemas.microsoft.com/office/drawing/2014/main" id="{289EEA78-5087-4170-BC37-9C436FFA440D}"/>
            </a:ext>
          </a:extLst>
        </xdr:cNvPr>
        <xdr:cNvSpPr txBox="1">
          <a:spLocks noChangeArrowheads="1"/>
        </xdr:cNvSpPr>
      </xdr:nvSpPr>
      <xdr:spPr bwMode="auto">
        <a:xfrm>
          <a:off x="4000500" y="9227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154380</xdr:rowOff>
    </xdr:from>
    <xdr:to>
      <xdr:col>5</xdr:col>
      <xdr:colOff>133275</xdr:colOff>
      <xdr:row>49</xdr:row>
      <xdr:rowOff>64592</xdr:rowOff>
    </xdr:to>
    <xdr:sp macro="" textlink="">
      <xdr:nvSpPr>
        <xdr:cNvPr id="258182" name="Text Box 134" hidden="1">
          <a:extLst>
            <a:ext uri="{FF2B5EF4-FFF2-40B4-BE49-F238E27FC236}">
              <a16:creationId xmlns:a16="http://schemas.microsoft.com/office/drawing/2014/main" id="{C10CCC45-8420-411D-A833-64964DA6C417}"/>
            </a:ext>
          </a:extLst>
        </xdr:cNvPr>
        <xdr:cNvSpPr txBox="1">
          <a:spLocks noChangeArrowheads="1"/>
        </xdr:cNvSpPr>
      </xdr:nvSpPr>
      <xdr:spPr bwMode="auto">
        <a:xfrm>
          <a:off x="4000500" y="944118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31097</xdr:rowOff>
    </xdr:from>
    <xdr:to>
      <xdr:col>5</xdr:col>
      <xdr:colOff>133275</xdr:colOff>
      <xdr:row>50</xdr:row>
      <xdr:rowOff>133572</xdr:rowOff>
    </xdr:to>
    <xdr:sp macro="" textlink="">
      <xdr:nvSpPr>
        <xdr:cNvPr id="258181" name="Text Box 133" hidden="1">
          <a:extLst>
            <a:ext uri="{FF2B5EF4-FFF2-40B4-BE49-F238E27FC236}">
              <a16:creationId xmlns:a16="http://schemas.microsoft.com/office/drawing/2014/main" id="{A3A984B5-A63F-43B4-AE99-04FDFF119ED3}"/>
            </a:ext>
          </a:extLst>
        </xdr:cNvPr>
        <xdr:cNvSpPr txBox="1">
          <a:spLocks noChangeArrowheads="1"/>
        </xdr:cNvSpPr>
      </xdr:nvSpPr>
      <xdr:spPr bwMode="auto">
        <a:xfrm>
          <a:off x="4000500" y="96469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164843</xdr:rowOff>
    </xdr:from>
    <xdr:to>
      <xdr:col>5</xdr:col>
      <xdr:colOff>133275</xdr:colOff>
      <xdr:row>62</xdr:row>
      <xdr:rowOff>188602</xdr:rowOff>
    </xdr:to>
    <xdr:sp macro="" textlink="">
      <xdr:nvSpPr>
        <xdr:cNvPr id="258180" name="Text Box 132" hidden="1">
          <a:extLst>
            <a:ext uri="{FF2B5EF4-FFF2-40B4-BE49-F238E27FC236}">
              <a16:creationId xmlns:a16="http://schemas.microsoft.com/office/drawing/2014/main" id="{58385BF9-968F-40BB-9BBE-EDF9BA2E7762}"/>
            </a:ext>
          </a:extLst>
        </xdr:cNvPr>
        <xdr:cNvSpPr txBox="1">
          <a:spLocks noChangeArrowheads="1"/>
        </xdr:cNvSpPr>
      </xdr:nvSpPr>
      <xdr:spPr bwMode="auto">
        <a:xfrm>
          <a:off x="4000500" y="132054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145467</xdr:rowOff>
    </xdr:from>
    <xdr:to>
      <xdr:col>5</xdr:col>
      <xdr:colOff>133275</xdr:colOff>
      <xdr:row>63</xdr:row>
      <xdr:rowOff>114826</xdr:rowOff>
    </xdr:to>
    <xdr:sp macro="" textlink="">
      <xdr:nvSpPr>
        <xdr:cNvPr id="258179" name="Text Box 131" hidden="1">
          <a:extLst>
            <a:ext uri="{FF2B5EF4-FFF2-40B4-BE49-F238E27FC236}">
              <a16:creationId xmlns:a16="http://schemas.microsoft.com/office/drawing/2014/main" id="{69448090-4C86-49C8-9D34-2EB7F064D1DC}"/>
            </a:ext>
          </a:extLst>
        </xdr:cNvPr>
        <xdr:cNvSpPr txBox="1">
          <a:spLocks noChangeArrowheads="1"/>
        </xdr:cNvSpPr>
      </xdr:nvSpPr>
      <xdr:spPr bwMode="auto">
        <a:xfrm>
          <a:off x="4000500" y="1338834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124981</xdr:rowOff>
    </xdr:from>
    <xdr:to>
      <xdr:col>5</xdr:col>
      <xdr:colOff>133275</xdr:colOff>
      <xdr:row>64</xdr:row>
      <xdr:rowOff>125875</xdr:rowOff>
    </xdr:to>
    <xdr:sp macro="" textlink="">
      <xdr:nvSpPr>
        <xdr:cNvPr id="258178" name="Text Box 130" hidden="1">
          <a:extLst>
            <a:ext uri="{FF2B5EF4-FFF2-40B4-BE49-F238E27FC236}">
              <a16:creationId xmlns:a16="http://schemas.microsoft.com/office/drawing/2014/main" id="{2FD921E3-1AD1-418F-93EA-3AD770A5B3EB}"/>
            </a:ext>
          </a:extLst>
        </xdr:cNvPr>
        <xdr:cNvSpPr txBox="1">
          <a:spLocks noChangeArrowheads="1"/>
        </xdr:cNvSpPr>
      </xdr:nvSpPr>
      <xdr:spPr bwMode="auto">
        <a:xfrm>
          <a:off x="4000500" y="135712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126396</xdr:rowOff>
    </xdr:from>
    <xdr:to>
      <xdr:col>5</xdr:col>
      <xdr:colOff>133275</xdr:colOff>
      <xdr:row>65</xdr:row>
      <xdr:rowOff>120790</xdr:rowOff>
    </xdr:to>
    <xdr:sp macro="" textlink="">
      <xdr:nvSpPr>
        <xdr:cNvPr id="258177" name="Text Box 129" hidden="1">
          <a:extLst>
            <a:ext uri="{FF2B5EF4-FFF2-40B4-BE49-F238E27FC236}">
              <a16:creationId xmlns:a16="http://schemas.microsoft.com/office/drawing/2014/main" id="{69682EB3-5ACF-4B20-9D34-3E7CAD9B55C9}"/>
            </a:ext>
          </a:extLst>
        </xdr:cNvPr>
        <xdr:cNvSpPr txBox="1">
          <a:spLocks noChangeArrowheads="1"/>
        </xdr:cNvSpPr>
      </xdr:nvSpPr>
      <xdr:spPr bwMode="auto">
        <a:xfrm>
          <a:off x="4000500" y="137541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80</xdr:row>
      <xdr:rowOff>76854</xdr:rowOff>
    </xdr:from>
    <xdr:to>
      <xdr:col>5</xdr:col>
      <xdr:colOff>133275</xdr:colOff>
      <xdr:row>84</xdr:row>
      <xdr:rowOff>154633</xdr:rowOff>
    </xdr:to>
    <xdr:sp macro="" textlink="">
      <xdr:nvSpPr>
        <xdr:cNvPr id="258176" name="Text Box 128" hidden="1">
          <a:extLst>
            <a:ext uri="{FF2B5EF4-FFF2-40B4-BE49-F238E27FC236}">
              <a16:creationId xmlns:a16="http://schemas.microsoft.com/office/drawing/2014/main" id="{6DF67816-E8A1-4613-ABD3-5F51BC42A56C}"/>
            </a:ext>
          </a:extLst>
        </xdr:cNvPr>
        <xdr:cNvSpPr txBox="1">
          <a:spLocks noChangeArrowheads="1"/>
        </xdr:cNvSpPr>
      </xdr:nvSpPr>
      <xdr:spPr bwMode="auto">
        <a:xfrm>
          <a:off x="4000500" y="178384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60194</xdr:rowOff>
    </xdr:from>
    <xdr:to>
      <xdr:col>5</xdr:col>
      <xdr:colOff>133275</xdr:colOff>
      <xdr:row>86</xdr:row>
      <xdr:rowOff>88415</xdr:rowOff>
    </xdr:to>
    <xdr:sp macro="" textlink="">
      <xdr:nvSpPr>
        <xdr:cNvPr id="258175" name="Text Box 127" hidden="1">
          <a:extLst>
            <a:ext uri="{FF2B5EF4-FFF2-40B4-BE49-F238E27FC236}">
              <a16:creationId xmlns:a16="http://schemas.microsoft.com/office/drawing/2014/main" id="{B7BB1BEE-06C7-40E8-BED8-86422C7ECED9}"/>
            </a:ext>
          </a:extLst>
        </xdr:cNvPr>
        <xdr:cNvSpPr txBox="1">
          <a:spLocks noChangeArrowheads="1"/>
        </xdr:cNvSpPr>
      </xdr:nvSpPr>
      <xdr:spPr bwMode="auto">
        <a:xfrm>
          <a:off x="4000500" y="18204180"/>
          <a:ext cx="12649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31471</xdr:rowOff>
    </xdr:from>
    <xdr:to>
      <xdr:col>5</xdr:col>
      <xdr:colOff>133275</xdr:colOff>
      <xdr:row>88</xdr:row>
      <xdr:rowOff>116603</xdr:rowOff>
    </xdr:to>
    <xdr:sp macro="" textlink="">
      <xdr:nvSpPr>
        <xdr:cNvPr id="258174" name="Text Box 126" hidden="1">
          <a:extLst>
            <a:ext uri="{FF2B5EF4-FFF2-40B4-BE49-F238E27FC236}">
              <a16:creationId xmlns:a16="http://schemas.microsoft.com/office/drawing/2014/main" id="{E0707D8B-EE6E-4001-8BF7-3C9C757D9352}"/>
            </a:ext>
          </a:extLst>
        </xdr:cNvPr>
        <xdr:cNvSpPr txBox="1">
          <a:spLocks noChangeArrowheads="1"/>
        </xdr:cNvSpPr>
      </xdr:nvSpPr>
      <xdr:spPr bwMode="auto">
        <a:xfrm>
          <a:off x="4000500" y="18554700"/>
          <a:ext cx="126492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130352</xdr:rowOff>
    </xdr:from>
    <xdr:to>
      <xdr:col>5</xdr:col>
      <xdr:colOff>287804</xdr:colOff>
      <xdr:row>90</xdr:row>
      <xdr:rowOff>150176</xdr:rowOff>
    </xdr:to>
    <xdr:sp macro="" textlink="">
      <xdr:nvSpPr>
        <xdr:cNvPr id="258199" name="Text Box 151" hidden="1">
          <a:extLst>
            <a:ext uri="{FF2B5EF4-FFF2-40B4-BE49-F238E27FC236}">
              <a16:creationId xmlns:a16="http://schemas.microsoft.com/office/drawing/2014/main" id="{B80E63B9-1C66-4B71-9033-B34D7CA0CB03}"/>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40</xdr:row>
      <xdr:rowOff>115716</xdr:rowOff>
    </xdr:from>
    <xdr:to>
      <xdr:col>5</xdr:col>
      <xdr:colOff>105335</xdr:colOff>
      <xdr:row>44</xdr:row>
      <xdr:rowOff>116280</xdr:rowOff>
    </xdr:to>
    <xdr:sp macro="" textlink="">
      <xdr:nvSpPr>
        <xdr:cNvPr id="258198" name="Text Box 150" hidden="1">
          <a:extLst>
            <a:ext uri="{FF2B5EF4-FFF2-40B4-BE49-F238E27FC236}">
              <a16:creationId xmlns:a16="http://schemas.microsoft.com/office/drawing/2014/main" id="{931A2DF4-BD70-42F4-BFFD-C679DA344655}"/>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41</xdr:row>
      <xdr:rowOff>115716</xdr:rowOff>
    </xdr:from>
    <xdr:to>
      <xdr:col>5</xdr:col>
      <xdr:colOff>105335</xdr:colOff>
      <xdr:row>45</xdr:row>
      <xdr:rowOff>152077</xdr:rowOff>
    </xdr:to>
    <xdr:sp macro="" textlink="">
      <xdr:nvSpPr>
        <xdr:cNvPr id="258197" name="Text Box 149" hidden="1">
          <a:extLst>
            <a:ext uri="{FF2B5EF4-FFF2-40B4-BE49-F238E27FC236}">
              <a16:creationId xmlns:a16="http://schemas.microsoft.com/office/drawing/2014/main" id="{23C156C3-C589-4C6F-9C2A-491197AC578A}"/>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43</xdr:row>
      <xdr:rowOff>153180</xdr:rowOff>
    </xdr:from>
    <xdr:to>
      <xdr:col>5</xdr:col>
      <xdr:colOff>105335</xdr:colOff>
      <xdr:row>48</xdr:row>
      <xdr:rowOff>18622</xdr:rowOff>
    </xdr:to>
    <xdr:sp macro="" textlink="">
      <xdr:nvSpPr>
        <xdr:cNvPr id="258196" name="Text Box 148" hidden="1">
          <a:extLst>
            <a:ext uri="{FF2B5EF4-FFF2-40B4-BE49-F238E27FC236}">
              <a16:creationId xmlns:a16="http://schemas.microsoft.com/office/drawing/2014/main" id="{1E63EEE1-0D08-4FD2-986B-D13F34D78DFE}"/>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154380</xdr:rowOff>
    </xdr:from>
    <xdr:to>
      <xdr:col>5</xdr:col>
      <xdr:colOff>105335</xdr:colOff>
      <xdr:row>49</xdr:row>
      <xdr:rowOff>64592</xdr:rowOff>
    </xdr:to>
    <xdr:sp macro="" textlink="">
      <xdr:nvSpPr>
        <xdr:cNvPr id="258195" name="Text Box 147" hidden="1">
          <a:extLst>
            <a:ext uri="{FF2B5EF4-FFF2-40B4-BE49-F238E27FC236}">
              <a16:creationId xmlns:a16="http://schemas.microsoft.com/office/drawing/2014/main" id="{991B1544-D0CA-45CB-ABEF-8BCB1C1DCAD9}"/>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31097</xdr:rowOff>
    </xdr:from>
    <xdr:to>
      <xdr:col>5</xdr:col>
      <xdr:colOff>105335</xdr:colOff>
      <xdr:row>50</xdr:row>
      <xdr:rowOff>133572</xdr:rowOff>
    </xdr:to>
    <xdr:sp macro="" textlink="">
      <xdr:nvSpPr>
        <xdr:cNvPr id="258194" name="Text Box 146" hidden="1">
          <a:extLst>
            <a:ext uri="{FF2B5EF4-FFF2-40B4-BE49-F238E27FC236}">
              <a16:creationId xmlns:a16="http://schemas.microsoft.com/office/drawing/2014/main" id="{18B22ACD-D42A-4F22-901C-1BC9BBB2E0BF}"/>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164843</xdr:rowOff>
    </xdr:from>
    <xdr:to>
      <xdr:col>5</xdr:col>
      <xdr:colOff>105335</xdr:colOff>
      <xdr:row>62</xdr:row>
      <xdr:rowOff>188602</xdr:rowOff>
    </xdr:to>
    <xdr:sp macro="" textlink="">
      <xdr:nvSpPr>
        <xdr:cNvPr id="258193" name="Text Box 145" hidden="1">
          <a:extLst>
            <a:ext uri="{FF2B5EF4-FFF2-40B4-BE49-F238E27FC236}">
              <a16:creationId xmlns:a16="http://schemas.microsoft.com/office/drawing/2014/main" id="{21AE8088-1BD9-45D1-9BD5-1781B621DF3E}"/>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145467</xdr:rowOff>
    </xdr:from>
    <xdr:to>
      <xdr:col>5</xdr:col>
      <xdr:colOff>105335</xdr:colOff>
      <xdr:row>63</xdr:row>
      <xdr:rowOff>114826</xdr:rowOff>
    </xdr:to>
    <xdr:sp macro="" textlink="">
      <xdr:nvSpPr>
        <xdr:cNvPr id="258192" name="Text Box 144" hidden="1">
          <a:extLst>
            <a:ext uri="{FF2B5EF4-FFF2-40B4-BE49-F238E27FC236}">
              <a16:creationId xmlns:a16="http://schemas.microsoft.com/office/drawing/2014/main" id="{8DAFCC68-4D2E-4545-AB08-D932AD421BF2}"/>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124981</xdr:rowOff>
    </xdr:from>
    <xdr:to>
      <xdr:col>5</xdr:col>
      <xdr:colOff>105335</xdr:colOff>
      <xdr:row>64</xdr:row>
      <xdr:rowOff>125875</xdr:rowOff>
    </xdr:to>
    <xdr:sp macro="" textlink="">
      <xdr:nvSpPr>
        <xdr:cNvPr id="258191" name="Text Box 143" hidden="1">
          <a:extLst>
            <a:ext uri="{FF2B5EF4-FFF2-40B4-BE49-F238E27FC236}">
              <a16:creationId xmlns:a16="http://schemas.microsoft.com/office/drawing/2014/main" id="{C60D3818-8B42-45E9-9190-180375E040E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126396</xdr:rowOff>
    </xdr:from>
    <xdr:to>
      <xdr:col>5</xdr:col>
      <xdr:colOff>105335</xdr:colOff>
      <xdr:row>65</xdr:row>
      <xdr:rowOff>120790</xdr:rowOff>
    </xdr:to>
    <xdr:sp macro="" textlink="">
      <xdr:nvSpPr>
        <xdr:cNvPr id="258190" name="Text Box 142" hidden="1">
          <a:extLst>
            <a:ext uri="{FF2B5EF4-FFF2-40B4-BE49-F238E27FC236}">
              <a16:creationId xmlns:a16="http://schemas.microsoft.com/office/drawing/2014/main" id="{B5327802-C1AC-4776-90F8-71EC621E2901}"/>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80</xdr:row>
      <xdr:rowOff>76854</xdr:rowOff>
    </xdr:from>
    <xdr:to>
      <xdr:col>5</xdr:col>
      <xdr:colOff>105335</xdr:colOff>
      <xdr:row>84</xdr:row>
      <xdr:rowOff>154633</xdr:rowOff>
    </xdr:to>
    <xdr:sp macro="" textlink="">
      <xdr:nvSpPr>
        <xdr:cNvPr id="258189" name="Text Box 141" hidden="1">
          <a:extLst>
            <a:ext uri="{FF2B5EF4-FFF2-40B4-BE49-F238E27FC236}">
              <a16:creationId xmlns:a16="http://schemas.microsoft.com/office/drawing/2014/main" id="{DA5003AF-DA2C-40C8-8B5D-518B61F66DA5}"/>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60194</xdr:rowOff>
    </xdr:from>
    <xdr:to>
      <xdr:col>5</xdr:col>
      <xdr:colOff>105335</xdr:colOff>
      <xdr:row>86</xdr:row>
      <xdr:rowOff>88415</xdr:rowOff>
    </xdr:to>
    <xdr:sp macro="" textlink="">
      <xdr:nvSpPr>
        <xdr:cNvPr id="258188" name="Text Box 140" hidden="1">
          <a:extLst>
            <a:ext uri="{FF2B5EF4-FFF2-40B4-BE49-F238E27FC236}">
              <a16:creationId xmlns:a16="http://schemas.microsoft.com/office/drawing/2014/main" id="{6B321CC5-A672-4514-96A5-E7931AB6EE31}"/>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31471</xdr:rowOff>
    </xdr:from>
    <xdr:to>
      <xdr:col>5</xdr:col>
      <xdr:colOff>105335</xdr:colOff>
      <xdr:row>88</xdr:row>
      <xdr:rowOff>116603</xdr:rowOff>
    </xdr:to>
    <xdr:sp macro="" textlink="">
      <xdr:nvSpPr>
        <xdr:cNvPr id="258187" name="Text Box 139" hidden="1">
          <a:extLst>
            <a:ext uri="{FF2B5EF4-FFF2-40B4-BE49-F238E27FC236}">
              <a16:creationId xmlns:a16="http://schemas.microsoft.com/office/drawing/2014/main" id="{505BBBD2-3420-439D-A987-890981078B68}"/>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130352</xdr:rowOff>
    </xdr:from>
    <xdr:to>
      <xdr:col>5</xdr:col>
      <xdr:colOff>287804</xdr:colOff>
      <xdr:row>90</xdr:row>
      <xdr:rowOff>150176</xdr:rowOff>
    </xdr:to>
    <xdr:sp macro="" textlink="">
      <xdr:nvSpPr>
        <xdr:cNvPr id="258212" name="Text Box 164" hidden="1">
          <a:extLst>
            <a:ext uri="{FF2B5EF4-FFF2-40B4-BE49-F238E27FC236}">
              <a16:creationId xmlns:a16="http://schemas.microsoft.com/office/drawing/2014/main" id="{DA0FDEC6-AF7B-4FF9-9EC5-264C7208616D}"/>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40</xdr:row>
      <xdr:rowOff>115716</xdr:rowOff>
    </xdr:from>
    <xdr:to>
      <xdr:col>5</xdr:col>
      <xdr:colOff>105335</xdr:colOff>
      <xdr:row>44</xdr:row>
      <xdr:rowOff>116280</xdr:rowOff>
    </xdr:to>
    <xdr:sp macro="" textlink="">
      <xdr:nvSpPr>
        <xdr:cNvPr id="258211" name="Text Box 163" hidden="1">
          <a:extLst>
            <a:ext uri="{FF2B5EF4-FFF2-40B4-BE49-F238E27FC236}">
              <a16:creationId xmlns:a16="http://schemas.microsoft.com/office/drawing/2014/main" id="{61013165-FCD1-47D8-9D59-899DE139EF94}"/>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41</xdr:row>
      <xdr:rowOff>115716</xdr:rowOff>
    </xdr:from>
    <xdr:to>
      <xdr:col>5</xdr:col>
      <xdr:colOff>105335</xdr:colOff>
      <xdr:row>45</xdr:row>
      <xdr:rowOff>152077</xdr:rowOff>
    </xdr:to>
    <xdr:sp macro="" textlink="">
      <xdr:nvSpPr>
        <xdr:cNvPr id="258210" name="Text Box 162" hidden="1">
          <a:extLst>
            <a:ext uri="{FF2B5EF4-FFF2-40B4-BE49-F238E27FC236}">
              <a16:creationId xmlns:a16="http://schemas.microsoft.com/office/drawing/2014/main" id="{D939C523-085D-4608-B01A-3F99FD665D99}"/>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43</xdr:row>
      <xdr:rowOff>153180</xdr:rowOff>
    </xdr:from>
    <xdr:to>
      <xdr:col>5</xdr:col>
      <xdr:colOff>105335</xdr:colOff>
      <xdr:row>48</xdr:row>
      <xdr:rowOff>18622</xdr:rowOff>
    </xdr:to>
    <xdr:sp macro="" textlink="">
      <xdr:nvSpPr>
        <xdr:cNvPr id="258209" name="Text Box 161" hidden="1">
          <a:extLst>
            <a:ext uri="{FF2B5EF4-FFF2-40B4-BE49-F238E27FC236}">
              <a16:creationId xmlns:a16="http://schemas.microsoft.com/office/drawing/2014/main" id="{6C4A87AF-0A72-4CE3-AA77-8225FF17653B}"/>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154380</xdr:rowOff>
    </xdr:from>
    <xdr:to>
      <xdr:col>5</xdr:col>
      <xdr:colOff>105335</xdr:colOff>
      <xdr:row>49</xdr:row>
      <xdr:rowOff>64592</xdr:rowOff>
    </xdr:to>
    <xdr:sp macro="" textlink="">
      <xdr:nvSpPr>
        <xdr:cNvPr id="258208" name="Text Box 160" hidden="1">
          <a:extLst>
            <a:ext uri="{FF2B5EF4-FFF2-40B4-BE49-F238E27FC236}">
              <a16:creationId xmlns:a16="http://schemas.microsoft.com/office/drawing/2014/main" id="{46718102-FC4A-48D1-A0BE-94037EA0871C}"/>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31097</xdr:rowOff>
    </xdr:from>
    <xdr:to>
      <xdr:col>5</xdr:col>
      <xdr:colOff>105335</xdr:colOff>
      <xdr:row>50</xdr:row>
      <xdr:rowOff>133572</xdr:rowOff>
    </xdr:to>
    <xdr:sp macro="" textlink="">
      <xdr:nvSpPr>
        <xdr:cNvPr id="258207" name="Text Box 159" hidden="1">
          <a:extLst>
            <a:ext uri="{FF2B5EF4-FFF2-40B4-BE49-F238E27FC236}">
              <a16:creationId xmlns:a16="http://schemas.microsoft.com/office/drawing/2014/main" id="{1BB0AFC6-DDA3-4D64-87FB-484C183CBD0D}"/>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164843</xdr:rowOff>
    </xdr:from>
    <xdr:to>
      <xdr:col>5</xdr:col>
      <xdr:colOff>105335</xdr:colOff>
      <xdr:row>62</xdr:row>
      <xdr:rowOff>188602</xdr:rowOff>
    </xdr:to>
    <xdr:sp macro="" textlink="">
      <xdr:nvSpPr>
        <xdr:cNvPr id="258206" name="Text Box 158" hidden="1">
          <a:extLst>
            <a:ext uri="{FF2B5EF4-FFF2-40B4-BE49-F238E27FC236}">
              <a16:creationId xmlns:a16="http://schemas.microsoft.com/office/drawing/2014/main" id="{9213571F-E379-4851-9D5E-AB101250361A}"/>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145467</xdr:rowOff>
    </xdr:from>
    <xdr:to>
      <xdr:col>5</xdr:col>
      <xdr:colOff>105335</xdr:colOff>
      <xdr:row>63</xdr:row>
      <xdr:rowOff>114826</xdr:rowOff>
    </xdr:to>
    <xdr:sp macro="" textlink="">
      <xdr:nvSpPr>
        <xdr:cNvPr id="258205" name="Text Box 157" hidden="1">
          <a:extLst>
            <a:ext uri="{FF2B5EF4-FFF2-40B4-BE49-F238E27FC236}">
              <a16:creationId xmlns:a16="http://schemas.microsoft.com/office/drawing/2014/main" id="{38DBC8C8-A76B-4994-B885-0068D5044B57}"/>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124981</xdr:rowOff>
    </xdr:from>
    <xdr:to>
      <xdr:col>5</xdr:col>
      <xdr:colOff>105335</xdr:colOff>
      <xdr:row>64</xdr:row>
      <xdr:rowOff>125875</xdr:rowOff>
    </xdr:to>
    <xdr:sp macro="" textlink="">
      <xdr:nvSpPr>
        <xdr:cNvPr id="258204" name="Text Box 156" hidden="1">
          <a:extLst>
            <a:ext uri="{FF2B5EF4-FFF2-40B4-BE49-F238E27FC236}">
              <a16:creationId xmlns:a16="http://schemas.microsoft.com/office/drawing/2014/main" id="{4710B63F-FC9C-41F2-B542-27502722D10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126396</xdr:rowOff>
    </xdr:from>
    <xdr:to>
      <xdr:col>5</xdr:col>
      <xdr:colOff>105335</xdr:colOff>
      <xdr:row>65</xdr:row>
      <xdr:rowOff>120790</xdr:rowOff>
    </xdr:to>
    <xdr:sp macro="" textlink="">
      <xdr:nvSpPr>
        <xdr:cNvPr id="258203" name="Text Box 155" hidden="1">
          <a:extLst>
            <a:ext uri="{FF2B5EF4-FFF2-40B4-BE49-F238E27FC236}">
              <a16:creationId xmlns:a16="http://schemas.microsoft.com/office/drawing/2014/main" id="{676EFE17-D7EE-4004-AB64-21285E8D39B7}"/>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80</xdr:row>
      <xdr:rowOff>76854</xdr:rowOff>
    </xdr:from>
    <xdr:to>
      <xdr:col>5</xdr:col>
      <xdr:colOff>105335</xdr:colOff>
      <xdr:row>84</xdr:row>
      <xdr:rowOff>154633</xdr:rowOff>
    </xdr:to>
    <xdr:sp macro="" textlink="">
      <xdr:nvSpPr>
        <xdr:cNvPr id="258202" name="Text Box 154" hidden="1">
          <a:extLst>
            <a:ext uri="{FF2B5EF4-FFF2-40B4-BE49-F238E27FC236}">
              <a16:creationId xmlns:a16="http://schemas.microsoft.com/office/drawing/2014/main" id="{DCB05D0F-9E2D-44DE-B306-A7B8DFA22122}"/>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60194</xdr:rowOff>
    </xdr:from>
    <xdr:to>
      <xdr:col>5</xdr:col>
      <xdr:colOff>105335</xdr:colOff>
      <xdr:row>86</xdr:row>
      <xdr:rowOff>88415</xdr:rowOff>
    </xdr:to>
    <xdr:sp macro="" textlink="">
      <xdr:nvSpPr>
        <xdr:cNvPr id="258201" name="Text Box 153" hidden="1">
          <a:extLst>
            <a:ext uri="{FF2B5EF4-FFF2-40B4-BE49-F238E27FC236}">
              <a16:creationId xmlns:a16="http://schemas.microsoft.com/office/drawing/2014/main" id="{4021D309-17B6-4B6F-AF5D-AF883DF6D37A}"/>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31471</xdr:rowOff>
    </xdr:from>
    <xdr:to>
      <xdr:col>5</xdr:col>
      <xdr:colOff>105335</xdr:colOff>
      <xdr:row>88</xdr:row>
      <xdr:rowOff>116603</xdr:rowOff>
    </xdr:to>
    <xdr:sp macro="" textlink="">
      <xdr:nvSpPr>
        <xdr:cNvPr id="258200" name="Text Box 152" hidden="1">
          <a:extLst>
            <a:ext uri="{FF2B5EF4-FFF2-40B4-BE49-F238E27FC236}">
              <a16:creationId xmlns:a16="http://schemas.microsoft.com/office/drawing/2014/main" id="{60F6900B-A076-44B0-B9F6-9A9DA7B5BC56}"/>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130352</xdr:rowOff>
    </xdr:from>
    <xdr:to>
      <xdr:col>5</xdr:col>
      <xdr:colOff>287804</xdr:colOff>
      <xdr:row>90</xdr:row>
      <xdr:rowOff>150176</xdr:rowOff>
    </xdr:to>
    <xdr:sp macro="" textlink="">
      <xdr:nvSpPr>
        <xdr:cNvPr id="258225" name="Text Box 177" hidden="1">
          <a:extLst>
            <a:ext uri="{FF2B5EF4-FFF2-40B4-BE49-F238E27FC236}">
              <a16:creationId xmlns:a16="http://schemas.microsoft.com/office/drawing/2014/main" id="{DED80608-0C15-465F-AA91-D4AF41FDA1D5}"/>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40</xdr:row>
      <xdr:rowOff>115716</xdr:rowOff>
    </xdr:from>
    <xdr:to>
      <xdr:col>5</xdr:col>
      <xdr:colOff>105335</xdr:colOff>
      <xdr:row>44</xdr:row>
      <xdr:rowOff>116280</xdr:rowOff>
    </xdr:to>
    <xdr:sp macro="" textlink="">
      <xdr:nvSpPr>
        <xdr:cNvPr id="258224" name="Text Box 176" hidden="1">
          <a:extLst>
            <a:ext uri="{FF2B5EF4-FFF2-40B4-BE49-F238E27FC236}">
              <a16:creationId xmlns:a16="http://schemas.microsoft.com/office/drawing/2014/main" id="{950AB110-C7C9-46F2-B09D-6802CBE46BFC}"/>
            </a:ext>
          </a:extLst>
        </xdr:cNvPr>
        <xdr:cNvSpPr txBox="1">
          <a:spLocks noChangeArrowheads="1"/>
        </xdr:cNvSpPr>
      </xdr:nvSpPr>
      <xdr:spPr bwMode="auto">
        <a:xfrm>
          <a:off x="3886200" y="87249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41</xdr:row>
      <xdr:rowOff>115716</xdr:rowOff>
    </xdr:from>
    <xdr:to>
      <xdr:col>5</xdr:col>
      <xdr:colOff>105335</xdr:colOff>
      <xdr:row>45</xdr:row>
      <xdr:rowOff>152077</xdr:rowOff>
    </xdr:to>
    <xdr:sp macro="" textlink="">
      <xdr:nvSpPr>
        <xdr:cNvPr id="258223" name="Text Box 175" hidden="1">
          <a:extLst>
            <a:ext uri="{FF2B5EF4-FFF2-40B4-BE49-F238E27FC236}">
              <a16:creationId xmlns:a16="http://schemas.microsoft.com/office/drawing/2014/main" id="{C5ED9A8F-5F37-441D-B0E6-5B67E3F33FC3}"/>
            </a:ext>
          </a:extLst>
        </xdr:cNvPr>
        <xdr:cNvSpPr txBox="1">
          <a:spLocks noChangeArrowheads="1"/>
        </xdr:cNvSpPr>
      </xdr:nvSpPr>
      <xdr:spPr bwMode="auto">
        <a:xfrm>
          <a:off x="3886200" y="8924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43</xdr:row>
      <xdr:rowOff>153180</xdr:rowOff>
    </xdr:from>
    <xdr:to>
      <xdr:col>5</xdr:col>
      <xdr:colOff>105335</xdr:colOff>
      <xdr:row>48</xdr:row>
      <xdr:rowOff>18622</xdr:rowOff>
    </xdr:to>
    <xdr:sp macro="" textlink="">
      <xdr:nvSpPr>
        <xdr:cNvPr id="258222" name="Text Box 174" hidden="1">
          <a:extLst>
            <a:ext uri="{FF2B5EF4-FFF2-40B4-BE49-F238E27FC236}">
              <a16:creationId xmlns:a16="http://schemas.microsoft.com/office/drawing/2014/main" id="{00662BEC-9825-4274-AF47-AC9C4A479DDA}"/>
            </a:ext>
          </a:extLst>
        </xdr:cNvPr>
        <xdr:cNvSpPr txBox="1">
          <a:spLocks noChangeArrowheads="1"/>
        </xdr:cNvSpPr>
      </xdr:nvSpPr>
      <xdr:spPr bwMode="auto">
        <a:xfrm>
          <a:off x="3886200" y="9305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154380</xdr:rowOff>
    </xdr:from>
    <xdr:to>
      <xdr:col>5</xdr:col>
      <xdr:colOff>105335</xdr:colOff>
      <xdr:row>49</xdr:row>
      <xdr:rowOff>64592</xdr:rowOff>
    </xdr:to>
    <xdr:sp macro="" textlink="">
      <xdr:nvSpPr>
        <xdr:cNvPr id="258221" name="Text Box 173" hidden="1">
          <a:extLst>
            <a:ext uri="{FF2B5EF4-FFF2-40B4-BE49-F238E27FC236}">
              <a16:creationId xmlns:a16="http://schemas.microsoft.com/office/drawing/2014/main" id="{B1397697-2058-42F4-B9E8-17C224D65F8E}"/>
            </a:ext>
          </a:extLst>
        </xdr:cNvPr>
        <xdr:cNvSpPr txBox="1">
          <a:spLocks noChangeArrowheads="1"/>
        </xdr:cNvSpPr>
      </xdr:nvSpPr>
      <xdr:spPr bwMode="auto">
        <a:xfrm>
          <a:off x="3886200" y="953452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31097</xdr:rowOff>
    </xdr:from>
    <xdr:to>
      <xdr:col>5</xdr:col>
      <xdr:colOff>105335</xdr:colOff>
      <xdr:row>50</xdr:row>
      <xdr:rowOff>133572</xdr:rowOff>
    </xdr:to>
    <xdr:sp macro="" textlink="">
      <xdr:nvSpPr>
        <xdr:cNvPr id="258220" name="Text Box 172" hidden="1">
          <a:extLst>
            <a:ext uri="{FF2B5EF4-FFF2-40B4-BE49-F238E27FC236}">
              <a16:creationId xmlns:a16="http://schemas.microsoft.com/office/drawing/2014/main" id="{66264935-572B-44F4-93A7-9A4F4D56EF04}"/>
            </a:ext>
          </a:extLst>
        </xdr:cNvPr>
        <xdr:cNvSpPr txBox="1">
          <a:spLocks noChangeArrowheads="1"/>
        </xdr:cNvSpPr>
      </xdr:nvSpPr>
      <xdr:spPr bwMode="auto">
        <a:xfrm>
          <a:off x="3886200" y="974407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164843</xdr:rowOff>
    </xdr:from>
    <xdr:to>
      <xdr:col>5</xdr:col>
      <xdr:colOff>105335</xdr:colOff>
      <xdr:row>62</xdr:row>
      <xdr:rowOff>188602</xdr:rowOff>
    </xdr:to>
    <xdr:sp macro="" textlink="">
      <xdr:nvSpPr>
        <xdr:cNvPr id="258219" name="Text Box 171" hidden="1">
          <a:extLst>
            <a:ext uri="{FF2B5EF4-FFF2-40B4-BE49-F238E27FC236}">
              <a16:creationId xmlns:a16="http://schemas.microsoft.com/office/drawing/2014/main" id="{DC553F5F-242B-42AD-BE77-B4540BB0C7C3}"/>
            </a:ext>
          </a:extLst>
        </xdr:cNvPr>
        <xdr:cNvSpPr txBox="1">
          <a:spLocks noChangeArrowheads="1"/>
        </xdr:cNvSpPr>
      </xdr:nvSpPr>
      <xdr:spPr bwMode="auto">
        <a:xfrm>
          <a:off x="3886200" y="13392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145467</xdr:rowOff>
    </xdr:from>
    <xdr:to>
      <xdr:col>5</xdr:col>
      <xdr:colOff>105335</xdr:colOff>
      <xdr:row>63</xdr:row>
      <xdr:rowOff>114826</xdr:rowOff>
    </xdr:to>
    <xdr:sp macro="" textlink="">
      <xdr:nvSpPr>
        <xdr:cNvPr id="258218" name="Text Box 170" hidden="1">
          <a:extLst>
            <a:ext uri="{FF2B5EF4-FFF2-40B4-BE49-F238E27FC236}">
              <a16:creationId xmlns:a16="http://schemas.microsoft.com/office/drawing/2014/main" id="{4B29BE96-2C85-4C72-8B8B-64C2A6249CA6}"/>
            </a:ext>
          </a:extLst>
        </xdr:cNvPr>
        <xdr:cNvSpPr txBox="1">
          <a:spLocks noChangeArrowheads="1"/>
        </xdr:cNvSpPr>
      </xdr:nvSpPr>
      <xdr:spPr bwMode="auto">
        <a:xfrm>
          <a:off x="3886200" y="13582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124981</xdr:rowOff>
    </xdr:from>
    <xdr:to>
      <xdr:col>5</xdr:col>
      <xdr:colOff>105335</xdr:colOff>
      <xdr:row>64</xdr:row>
      <xdr:rowOff>125875</xdr:rowOff>
    </xdr:to>
    <xdr:sp macro="" textlink="">
      <xdr:nvSpPr>
        <xdr:cNvPr id="258217" name="Text Box 169" hidden="1">
          <a:extLst>
            <a:ext uri="{FF2B5EF4-FFF2-40B4-BE49-F238E27FC236}">
              <a16:creationId xmlns:a16="http://schemas.microsoft.com/office/drawing/2014/main" id="{1DEAA2B2-0F36-45C7-8577-27F9E4D38AF0}"/>
            </a:ext>
          </a:extLst>
        </xdr:cNvPr>
        <xdr:cNvSpPr txBox="1">
          <a:spLocks noChangeArrowheads="1"/>
        </xdr:cNvSpPr>
      </xdr:nvSpPr>
      <xdr:spPr bwMode="auto">
        <a:xfrm>
          <a:off x="3886200" y="13773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126396</xdr:rowOff>
    </xdr:from>
    <xdr:to>
      <xdr:col>5</xdr:col>
      <xdr:colOff>105335</xdr:colOff>
      <xdr:row>65</xdr:row>
      <xdr:rowOff>120790</xdr:rowOff>
    </xdr:to>
    <xdr:sp macro="" textlink="">
      <xdr:nvSpPr>
        <xdr:cNvPr id="258216" name="Text Box 168" hidden="1">
          <a:extLst>
            <a:ext uri="{FF2B5EF4-FFF2-40B4-BE49-F238E27FC236}">
              <a16:creationId xmlns:a16="http://schemas.microsoft.com/office/drawing/2014/main" id="{81452BE4-05B5-4F68-9066-3057A6D04796}"/>
            </a:ext>
          </a:extLst>
        </xdr:cNvPr>
        <xdr:cNvSpPr txBox="1">
          <a:spLocks noChangeArrowheads="1"/>
        </xdr:cNvSpPr>
      </xdr:nvSpPr>
      <xdr:spPr bwMode="auto">
        <a:xfrm>
          <a:off x="3886200" y="13963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80</xdr:row>
      <xdr:rowOff>76854</xdr:rowOff>
    </xdr:from>
    <xdr:to>
      <xdr:col>5</xdr:col>
      <xdr:colOff>105335</xdr:colOff>
      <xdr:row>84</xdr:row>
      <xdr:rowOff>154633</xdr:rowOff>
    </xdr:to>
    <xdr:sp macro="" textlink="">
      <xdr:nvSpPr>
        <xdr:cNvPr id="258215" name="Text Box 167" hidden="1">
          <a:extLst>
            <a:ext uri="{FF2B5EF4-FFF2-40B4-BE49-F238E27FC236}">
              <a16:creationId xmlns:a16="http://schemas.microsoft.com/office/drawing/2014/main" id="{3F47B15F-18C8-48B3-ADF3-E1E910D00798}"/>
            </a:ext>
          </a:extLst>
        </xdr:cNvPr>
        <xdr:cNvSpPr txBox="1">
          <a:spLocks noChangeArrowheads="1"/>
        </xdr:cNvSpPr>
      </xdr:nvSpPr>
      <xdr:spPr bwMode="auto">
        <a:xfrm>
          <a:off x="3886200" y="181641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60194</xdr:rowOff>
    </xdr:from>
    <xdr:to>
      <xdr:col>5</xdr:col>
      <xdr:colOff>105335</xdr:colOff>
      <xdr:row>86</xdr:row>
      <xdr:rowOff>88415</xdr:rowOff>
    </xdr:to>
    <xdr:sp macro="" textlink="">
      <xdr:nvSpPr>
        <xdr:cNvPr id="258214" name="Text Box 166" hidden="1">
          <a:extLst>
            <a:ext uri="{FF2B5EF4-FFF2-40B4-BE49-F238E27FC236}">
              <a16:creationId xmlns:a16="http://schemas.microsoft.com/office/drawing/2014/main" id="{87C5FE89-5596-4F3A-B689-29E0C076FC10}"/>
            </a:ext>
          </a:extLst>
        </xdr:cNvPr>
        <xdr:cNvSpPr txBox="1">
          <a:spLocks noChangeArrowheads="1"/>
        </xdr:cNvSpPr>
      </xdr:nvSpPr>
      <xdr:spPr bwMode="auto">
        <a:xfrm>
          <a:off x="3886200" y="1854517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31471</xdr:rowOff>
    </xdr:from>
    <xdr:to>
      <xdr:col>5</xdr:col>
      <xdr:colOff>105335</xdr:colOff>
      <xdr:row>88</xdr:row>
      <xdr:rowOff>116603</xdr:rowOff>
    </xdr:to>
    <xdr:sp macro="" textlink="">
      <xdr:nvSpPr>
        <xdr:cNvPr id="258213" name="Text Box 165" hidden="1">
          <a:extLst>
            <a:ext uri="{FF2B5EF4-FFF2-40B4-BE49-F238E27FC236}">
              <a16:creationId xmlns:a16="http://schemas.microsoft.com/office/drawing/2014/main" id="{60BAA05D-9FD6-40A1-9EB1-15079C7820A1}"/>
            </a:ext>
          </a:extLst>
        </xdr:cNvPr>
        <xdr:cNvSpPr txBox="1">
          <a:spLocks noChangeArrowheads="1"/>
        </xdr:cNvSpPr>
      </xdr:nvSpPr>
      <xdr:spPr bwMode="auto">
        <a:xfrm>
          <a:off x="3886200" y="188880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81</xdr:row>
      <xdr:rowOff>59900</xdr:rowOff>
    </xdr:from>
    <xdr:to>
      <xdr:col>5</xdr:col>
      <xdr:colOff>287804</xdr:colOff>
      <xdr:row>94</xdr:row>
      <xdr:rowOff>57647</xdr:rowOff>
    </xdr:to>
    <xdr:sp macro="" textlink="">
      <xdr:nvSpPr>
        <xdr:cNvPr id="258238" name="Text Box 190" hidden="1">
          <a:extLst>
            <a:ext uri="{FF2B5EF4-FFF2-40B4-BE49-F238E27FC236}">
              <a16:creationId xmlns:a16="http://schemas.microsoft.com/office/drawing/2014/main" id="{6D997D0C-E09D-4E13-92CA-3EDAC931FC97}"/>
            </a:ext>
          </a:extLst>
        </xdr:cNvPr>
        <xdr:cNvSpPr txBox="1">
          <a:spLocks noChangeArrowheads="1"/>
        </xdr:cNvSpPr>
      </xdr:nvSpPr>
      <xdr:spPr bwMode="auto">
        <a:xfrm>
          <a:off x="3924300" y="18373725"/>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88129</xdr:rowOff>
    </xdr:from>
    <xdr:to>
      <xdr:col>5</xdr:col>
      <xdr:colOff>105335</xdr:colOff>
      <xdr:row>53</xdr:row>
      <xdr:rowOff>245771</xdr:rowOff>
    </xdr:to>
    <xdr:sp macro="" textlink="">
      <xdr:nvSpPr>
        <xdr:cNvPr id="258237" name="Text Box 189" hidden="1">
          <a:extLst>
            <a:ext uri="{FF2B5EF4-FFF2-40B4-BE49-F238E27FC236}">
              <a16:creationId xmlns:a16="http://schemas.microsoft.com/office/drawing/2014/main" id="{85E81D92-E05B-4EAB-927C-B5AF1D5F4229}"/>
            </a:ext>
          </a:extLst>
        </xdr:cNvPr>
        <xdr:cNvSpPr txBox="1">
          <a:spLocks noChangeArrowheads="1"/>
        </xdr:cNvSpPr>
      </xdr:nvSpPr>
      <xdr:spPr bwMode="auto">
        <a:xfrm>
          <a:off x="3886200" y="9420225"/>
          <a:ext cx="1238250" cy="1762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45</xdr:row>
      <xdr:rowOff>27488</xdr:rowOff>
    </xdr:from>
    <xdr:to>
      <xdr:col>5</xdr:col>
      <xdr:colOff>105335</xdr:colOff>
      <xdr:row>53</xdr:row>
      <xdr:rowOff>302127</xdr:rowOff>
    </xdr:to>
    <xdr:sp macro="" textlink="">
      <xdr:nvSpPr>
        <xdr:cNvPr id="258236" name="Text Box 188" hidden="1">
          <a:extLst>
            <a:ext uri="{FF2B5EF4-FFF2-40B4-BE49-F238E27FC236}">
              <a16:creationId xmlns:a16="http://schemas.microsoft.com/office/drawing/2014/main" id="{1828B737-AE75-45D3-800B-315F59D11355}"/>
            </a:ext>
          </a:extLst>
        </xdr:cNvPr>
        <xdr:cNvSpPr txBox="1">
          <a:spLocks noChangeArrowheads="1"/>
        </xdr:cNvSpPr>
      </xdr:nvSpPr>
      <xdr:spPr bwMode="auto">
        <a:xfrm>
          <a:off x="3886200" y="9534525"/>
          <a:ext cx="1238250" cy="1724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153371</xdr:rowOff>
    </xdr:from>
    <xdr:to>
      <xdr:col>5</xdr:col>
      <xdr:colOff>105335</xdr:colOff>
      <xdr:row>52</xdr:row>
      <xdr:rowOff>2386</xdr:rowOff>
    </xdr:to>
    <xdr:sp macro="" textlink="">
      <xdr:nvSpPr>
        <xdr:cNvPr id="258235" name="Text Box 187" hidden="1">
          <a:extLst>
            <a:ext uri="{FF2B5EF4-FFF2-40B4-BE49-F238E27FC236}">
              <a16:creationId xmlns:a16="http://schemas.microsoft.com/office/drawing/2014/main" id="{0C449E70-9050-4528-8745-A72627AA23E4}"/>
            </a:ext>
          </a:extLst>
        </xdr:cNvPr>
        <xdr:cNvSpPr txBox="1">
          <a:spLocks noChangeArrowheads="1"/>
        </xdr:cNvSpPr>
      </xdr:nvSpPr>
      <xdr:spPr bwMode="auto">
        <a:xfrm>
          <a:off x="3886200" y="9867900"/>
          <a:ext cx="1238250"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125998</xdr:rowOff>
    </xdr:from>
    <xdr:to>
      <xdr:col>5</xdr:col>
      <xdr:colOff>105335</xdr:colOff>
      <xdr:row>52</xdr:row>
      <xdr:rowOff>48986</xdr:rowOff>
    </xdr:to>
    <xdr:sp macro="" textlink="">
      <xdr:nvSpPr>
        <xdr:cNvPr id="258234" name="Text Box 186" hidden="1">
          <a:extLst>
            <a:ext uri="{FF2B5EF4-FFF2-40B4-BE49-F238E27FC236}">
              <a16:creationId xmlns:a16="http://schemas.microsoft.com/office/drawing/2014/main" id="{161ECDA6-7364-4510-8B96-A40FB6D7C89A}"/>
            </a:ext>
          </a:extLst>
        </xdr:cNvPr>
        <xdr:cNvSpPr txBox="1">
          <a:spLocks noChangeArrowheads="1"/>
        </xdr:cNvSpPr>
      </xdr:nvSpPr>
      <xdr:spPr bwMode="auto">
        <a:xfrm>
          <a:off x="3886200" y="10172700"/>
          <a:ext cx="123825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126611</xdr:rowOff>
    </xdr:from>
    <xdr:to>
      <xdr:col>5</xdr:col>
      <xdr:colOff>105335</xdr:colOff>
      <xdr:row>53</xdr:row>
      <xdr:rowOff>106271</xdr:rowOff>
    </xdr:to>
    <xdr:sp macro="" textlink="">
      <xdr:nvSpPr>
        <xdr:cNvPr id="258233" name="Text Box 185" hidden="1">
          <a:extLst>
            <a:ext uri="{FF2B5EF4-FFF2-40B4-BE49-F238E27FC236}">
              <a16:creationId xmlns:a16="http://schemas.microsoft.com/office/drawing/2014/main" id="{DAAE195B-1FB3-4083-88FD-25D09917906C}"/>
            </a:ext>
          </a:extLst>
        </xdr:cNvPr>
        <xdr:cNvSpPr txBox="1">
          <a:spLocks noChangeArrowheads="1"/>
        </xdr:cNvSpPr>
      </xdr:nvSpPr>
      <xdr:spPr bwMode="auto">
        <a:xfrm>
          <a:off x="3886200" y="1034415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8864</xdr:rowOff>
    </xdr:from>
    <xdr:to>
      <xdr:col>5</xdr:col>
      <xdr:colOff>105335</xdr:colOff>
      <xdr:row>66</xdr:row>
      <xdr:rowOff>105641</xdr:rowOff>
    </xdr:to>
    <xdr:sp macro="" textlink="">
      <xdr:nvSpPr>
        <xdr:cNvPr id="258232" name="Text Box 184" hidden="1">
          <a:extLst>
            <a:ext uri="{FF2B5EF4-FFF2-40B4-BE49-F238E27FC236}">
              <a16:creationId xmlns:a16="http://schemas.microsoft.com/office/drawing/2014/main" id="{91E328F6-D0FD-427B-A185-36F15B226EB9}"/>
            </a:ext>
          </a:extLst>
        </xdr:cNvPr>
        <xdr:cNvSpPr txBox="1">
          <a:spLocks noChangeArrowheads="1"/>
        </xdr:cNvSpPr>
      </xdr:nvSpPr>
      <xdr:spPr bwMode="auto">
        <a:xfrm>
          <a:off x="3886200" y="14125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197820</xdr:rowOff>
    </xdr:from>
    <xdr:to>
      <xdr:col>5</xdr:col>
      <xdr:colOff>105335</xdr:colOff>
      <xdr:row>67</xdr:row>
      <xdr:rowOff>105755</xdr:rowOff>
    </xdr:to>
    <xdr:sp macro="" textlink="">
      <xdr:nvSpPr>
        <xdr:cNvPr id="258231" name="Text Box 183" hidden="1">
          <a:extLst>
            <a:ext uri="{FF2B5EF4-FFF2-40B4-BE49-F238E27FC236}">
              <a16:creationId xmlns:a16="http://schemas.microsoft.com/office/drawing/2014/main" id="{7041457D-B9C3-4341-836D-5AA7FCC58F56}"/>
            </a:ext>
          </a:extLst>
        </xdr:cNvPr>
        <xdr:cNvSpPr txBox="1">
          <a:spLocks noChangeArrowheads="1"/>
        </xdr:cNvSpPr>
      </xdr:nvSpPr>
      <xdr:spPr bwMode="auto">
        <a:xfrm>
          <a:off x="3886200" y="14316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48026</xdr:rowOff>
    </xdr:from>
    <xdr:to>
      <xdr:col>5</xdr:col>
      <xdr:colOff>105335</xdr:colOff>
      <xdr:row>68</xdr:row>
      <xdr:rowOff>66968</xdr:rowOff>
    </xdr:to>
    <xdr:sp macro="" textlink="">
      <xdr:nvSpPr>
        <xdr:cNvPr id="258230" name="Text Box 182" hidden="1">
          <a:extLst>
            <a:ext uri="{FF2B5EF4-FFF2-40B4-BE49-F238E27FC236}">
              <a16:creationId xmlns:a16="http://schemas.microsoft.com/office/drawing/2014/main" id="{0B026C8E-638D-47B8-8D89-0345BD52650A}"/>
            </a:ext>
          </a:extLst>
        </xdr:cNvPr>
        <xdr:cNvSpPr txBox="1">
          <a:spLocks noChangeArrowheads="1"/>
        </xdr:cNvSpPr>
      </xdr:nvSpPr>
      <xdr:spPr bwMode="auto">
        <a:xfrm>
          <a:off x="3886200" y="14506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45809</xdr:rowOff>
    </xdr:from>
    <xdr:to>
      <xdr:col>5</xdr:col>
      <xdr:colOff>105335</xdr:colOff>
      <xdr:row>69</xdr:row>
      <xdr:rowOff>49975</xdr:rowOff>
    </xdr:to>
    <xdr:sp macro="" textlink="">
      <xdr:nvSpPr>
        <xdr:cNvPr id="258229" name="Text Box 181" hidden="1">
          <a:extLst>
            <a:ext uri="{FF2B5EF4-FFF2-40B4-BE49-F238E27FC236}">
              <a16:creationId xmlns:a16="http://schemas.microsoft.com/office/drawing/2014/main" id="{18BF31F7-59C0-466C-98AF-43EE6C68482F}"/>
            </a:ext>
          </a:extLst>
        </xdr:cNvPr>
        <xdr:cNvSpPr txBox="1">
          <a:spLocks noChangeArrowheads="1"/>
        </xdr:cNvSpPr>
      </xdr:nvSpPr>
      <xdr:spPr bwMode="auto">
        <a:xfrm>
          <a:off x="3886200" y="14697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83</xdr:row>
      <xdr:rowOff>171520</xdr:rowOff>
    </xdr:from>
    <xdr:to>
      <xdr:col>5</xdr:col>
      <xdr:colOff>105335</xdr:colOff>
      <xdr:row>88</xdr:row>
      <xdr:rowOff>143778</xdr:rowOff>
    </xdr:to>
    <xdr:sp macro="" textlink="">
      <xdr:nvSpPr>
        <xdr:cNvPr id="258228" name="Text Box 180" hidden="1">
          <a:extLst>
            <a:ext uri="{FF2B5EF4-FFF2-40B4-BE49-F238E27FC236}">
              <a16:creationId xmlns:a16="http://schemas.microsoft.com/office/drawing/2014/main" id="{869A8211-A88D-485D-BC05-7F0E9144CC65}"/>
            </a:ext>
          </a:extLst>
        </xdr:cNvPr>
        <xdr:cNvSpPr txBox="1">
          <a:spLocks noChangeArrowheads="1"/>
        </xdr:cNvSpPr>
      </xdr:nvSpPr>
      <xdr:spPr bwMode="auto">
        <a:xfrm>
          <a:off x="3886200" y="1889760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143778</xdr:rowOff>
    </xdr:from>
    <xdr:to>
      <xdr:col>5</xdr:col>
      <xdr:colOff>105335</xdr:colOff>
      <xdr:row>95</xdr:row>
      <xdr:rowOff>150937</xdr:rowOff>
    </xdr:to>
    <xdr:sp macro="" textlink="">
      <xdr:nvSpPr>
        <xdr:cNvPr id="258227" name="Text Box 179" hidden="1">
          <a:extLst>
            <a:ext uri="{FF2B5EF4-FFF2-40B4-BE49-F238E27FC236}">
              <a16:creationId xmlns:a16="http://schemas.microsoft.com/office/drawing/2014/main" id="{6F6D7AEF-F90D-4E73-A55B-A85B8DC17DA9}"/>
            </a:ext>
          </a:extLst>
        </xdr:cNvPr>
        <xdr:cNvSpPr txBox="1">
          <a:spLocks noChangeArrowheads="1"/>
        </xdr:cNvSpPr>
      </xdr:nvSpPr>
      <xdr:spPr bwMode="auto">
        <a:xfrm>
          <a:off x="3886200" y="19735800"/>
          <a:ext cx="1238250" cy="1476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143778</xdr:rowOff>
    </xdr:from>
    <xdr:to>
      <xdr:col>5</xdr:col>
      <xdr:colOff>105335</xdr:colOff>
      <xdr:row>94</xdr:row>
      <xdr:rowOff>170905</xdr:rowOff>
    </xdr:to>
    <xdr:sp macro="" textlink="">
      <xdr:nvSpPr>
        <xdr:cNvPr id="258226" name="Text Box 178" hidden="1">
          <a:extLst>
            <a:ext uri="{FF2B5EF4-FFF2-40B4-BE49-F238E27FC236}">
              <a16:creationId xmlns:a16="http://schemas.microsoft.com/office/drawing/2014/main" id="{E0334D5E-255E-4284-BBE9-8FF578A73DA6}"/>
            </a:ext>
          </a:extLst>
        </xdr:cNvPr>
        <xdr:cNvSpPr txBox="1">
          <a:spLocks noChangeArrowheads="1"/>
        </xdr:cNvSpPr>
      </xdr:nvSpPr>
      <xdr:spPr bwMode="auto">
        <a:xfrm>
          <a:off x="3886200" y="19735800"/>
          <a:ext cx="1238250" cy="1209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104</xdr:row>
      <xdr:rowOff>65189</xdr:rowOff>
    </xdr:from>
    <xdr:to>
      <xdr:col>5</xdr:col>
      <xdr:colOff>315744</xdr:colOff>
      <xdr:row>117</xdr:row>
      <xdr:rowOff>84208</xdr:rowOff>
    </xdr:to>
    <xdr:sp macro="" textlink="">
      <xdr:nvSpPr>
        <xdr:cNvPr id="258251" name="Text Box 203" hidden="1">
          <a:extLst>
            <a:ext uri="{FF2B5EF4-FFF2-40B4-BE49-F238E27FC236}">
              <a16:creationId xmlns:a16="http://schemas.microsoft.com/office/drawing/2014/main" id="{F408F5C7-12C2-445E-8798-2101C065765D}"/>
            </a:ext>
          </a:extLst>
        </xdr:cNvPr>
        <xdr:cNvSpPr txBox="1">
          <a:spLocks noChangeArrowheads="1"/>
        </xdr:cNvSpPr>
      </xdr:nvSpPr>
      <xdr:spPr bwMode="auto">
        <a:xfrm>
          <a:off x="3924300" y="23021925"/>
          <a:ext cx="1409700" cy="2638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64</xdr:row>
      <xdr:rowOff>106192</xdr:rowOff>
    </xdr:from>
    <xdr:to>
      <xdr:col>5</xdr:col>
      <xdr:colOff>105335</xdr:colOff>
      <xdr:row>77</xdr:row>
      <xdr:rowOff>159118</xdr:rowOff>
    </xdr:to>
    <xdr:sp macro="" textlink="">
      <xdr:nvSpPr>
        <xdr:cNvPr id="258250" name="Text Box 202" hidden="1">
          <a:extLst>
            <a:ext uri="{FF2B5EF4-FFF2-40B4-BE49-F238E27FC236}">
              <a16:creationId xmlns:a16="http://schemas.microsoft.com/office/drawing/2014/main" id="{528CB3E0-180E-439C-BB2A-AB3D19CB7738}"/>
            </a:ext>
          </a:extLst>
        </xdr:cNvPr>
        <xdr:cNvSpPr txBox="1">
          <a:spLocks noChangeArrowheads="1"/>
        </xdr:cNvSpPr>
      </xdr:nvSpPr>
      <xdr:spPr bwMode="auto">
        <a:xfrm>
          <a:off x="3895725" y="14611350"/>
          <a:ext cx="1228725" cy="2867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62</xdr:row>
      <xdr:rowOff>132244</xdr:rowOff>
    </xdr:from>
    <xdr:to>
      <xdr:col>5</xdr:col>
      <xdr:colOff>133275</xdr:colOff>
      <xdr:row>75</xdr:row>
      <xdr:rowOff>87102</xdr:rowOff>
    </xdr:to>
    <xdr:sp macro="" textlink="">
      <xdr:nvSpPr>
        <xdr:cNvPr id="258249" name="Text Box 201" hidden="1">
          <a:extLst>
            <a:ext uri="{FF2B5EF4-FFF2-40B4-BE49-F238E27FC236}">
              <a16:creationId xmlns:a16="http://schemas.microsoft.com/office/drawing/2014/main" id="{8E1239BC-89AE-4D0E-A53A-F1AE812110A0}"/>
            </a:ext>
          </a:extLst>
        </xdr:cNvPr>
        <xdr:cNvSpPr txBox="1">
          <a:spLocks noChangeArrowheads="1"/>
        </xdr:cNvSpPr>
      </xdr:nvSpPr>
      <xdr:spPr bwMode="auto">
        <a:xfrm>
          <a:off x="3924300" y="14249400"/>
          <a:ext cx="1219200" cy="281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66</xdr:row>
      <xdr:rowOff>174456</xdr:rowOff>
    </xdr:from>
    <xdr:to>
      <xdr:col>5</xdr:col>
      <xdr:colOff>105335</xdr:colOff>
      <xdr:row>70</xdr:row>
      <xdr:rowOff>25948</xdr:rowOff>
    </xdr:to>
    <xdr:sp macro="" textlink="">
      <xdr:nvSpPr>
        <xdr:cNvPr id="258248" name="Text Box 200" hidden="1">
          <a:extLst>
            <a:ext uri="{FF2B5EF4-FFF2-40B4-BE49-F238E27FC236}">
              <a16:creationId xmlns:a16="http://schemas.microsoft.com/office/drawing/2014/main" id="{ED507346-25DF-430B-BC8D-4B8CF48A5846}"/>
            </a:ext>
          </a:extLst>
        </xdr:cNvPr>
        <xdr:cNvSpPr txBox="1">
          <a:spLocks noChangeArrowheads="1"/>
        </xdr:cNvSpPr>
      </xdr:nvSpPr>
      <xdr:spPr bwMode="auto">
        <a:xfrm>
          <a:off x="3895725" y="15087600"/>
          <a:ext cx="1228725"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69</xdr:row>
      <xdr:rowOff>47569</xdr:rowOff>
    </xdr:from>
    <xdr:to>
      <xdr:col>5</xdr:col>
      <xdr:colOff>105335</xdr:colOff>
      <xdr:row>70</xdr:row>
      <xdr:rowOff>122215</xdr:rowOff>
    </xdr:to>
    <xdr:sp macro="" textlink="">
      <xdr:nvSpPr>
        <xdr:cNvPr id="258247" name="Text Box 199" hidden="1">
          <a:extLst>
            <a:ext uri="{FF2B5EF4-FFF2-40B4-BE49-F238E27FC236}">
              <a16:creationId xmlns:a16="http://schemas.microsoft.com/office/drawing/2014/main" id="{5A0997F7-D40F-4DAC-97D7-9E05CEC6F874}"/>
            </a:ext>
          </a:extLst>
        </xdr:cNvPr>
        <xdr:cNvSpPr txBox="1">
          <a:spLocks noChangeArrowheads="1"/>
        </xdr:cNvSpPr>
      </xdr:nvSpPr>
      <xdr:spPr bwMode="auto">
        <a:xfrm>
          <a:off x="3895725" y="15630525"/>
          <a:ext cx="1228725" cy="295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70</xdr:row>
      <xdr:rowOff>11195</xdr:rowOff>
    </xdr:from>
    <xdr:to>
      <xdr:col>5</xdr:col>
      <xdr:colOff>105335</xdr:colOff>
      <xdr:row>70</xdr:row>
      <xdr:rowOff>278160</xdr:rowOff>
    </xdr:to>
    <xdr:sp macro="" textlink="">
      <xdr:nvSpPr>
        <xdr:cNvPr id="258246" name="Text Box 198" hidden="1">
          <a:extLst>
            <a:ext uri="{FF2B5EF4-FFF2-40B4-BE49-F238E27FC236}">
              <a16:creationId xmlns:a16="http://schemas.microsoft.com/office/drawing/2014/main" id="{08A79673-5B25-4496-A2E3-6902C90E132C}"/>
            </a:ext>
          </a:extLst>
        </xdr:cNvPr>
        <xdr:cNvSpPr txBox="1">
          <a:spLocks noChangeArrowheads="1"/>
        </xdr:cNvSpPr>
      </xdr:nvSpPr>
      <xdr:spPr bwMode="auto">
        <a:xfrm>
          <a:off x="3895725" y="15754350"/>
          <a:ext cx="1228725" cy="314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83</xdr:row>
      <xdr:rowOff>152707</xdr:rowOff>
    </xdr:from>
    <xdr:to>
      <xdr:col>5</xdr:col>
      <xdr:colOff>105335</xdr:colOff>
      <xdr:row>88</xdr:row>
      <xdr:rowOff>126826</xdr:rowOff>
    </xdr:to>
    <xdr:sp macro="" textlink="">
      <xdr:nvSpPr>
        <xdr:cNvPr id="258245" name="Text Box 197" hidden="1">
          <a:extLst>
            <a:ext uri="{FF2B5EF4-FFF2-40B4-BE49-F238E27FC236}">
              <a16:creationId xmlns:a16="http://schemas.microsoft.com/office/drawing/2014/main" id="{2C4F1FF0-EB87-4442-8098-99DE061C7E52}"/>
            </a:ext>
          </a:extLst>
        </xdr:cNvPr>
        <xdr:cNvSpPr txBox="1">
          <a:spLocks noChangeArrowheads="1"/>
        </xdr:cNvSpPr>
      </xdr:nvSpPr>
      <xdr:spPr bwMode="auto">
        <a:xfrm>
          <a:off x="3895725" y="18888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84</xdr:row>
      <xdr:rowOff>149657</xdr:rowOff>
    </xdr:from>
    <xdr:to>
      <xdr:col>5</xdr:col>
      <xdr:colOff>105335</xdr:colOff>
      <xdr:row>89</xdr:row>
      <xdr:rowOff>85600</xdr:rowOff>
    </xdr:to>
    <xdr:sp macro="" textlink="">
      <xdr:nvSpPr>
        <xdr:cNvPr id="258244" name="Text Box 196" hidden="1">
          <a:extLst>
            <a:ext uri="{FF2B5EF4-FFF2-40B4-BE49-F238E27FC236}">
              <a16:creationId xmlns:a16="http://schemas.microsoft.com/office/drawing/2014/main" id="{7C8DB0A3-6B58-4DB5-BAC0-C92465D60AB7}"/>
            </a:ext>
          </a:extLst>
        </xdr:cNvPr>
        <xdr:cNvSpPr txBox="1">
          <a:spLocks noChangeArrowheads="1"/>
        </xdr:cNvSpPr>
      </xdr:nvSpPr>
      <xdr:spPr bwMode="auto">
        <a:xfrm>
          <a:off x="3895725" y="19078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85</xdr:row>
      <xdr:rowOff>160558</xdr:rowOff>
    </xdr:from>
    <xdr:to>
      <xdr:col>5</xdr:col>
      <xdr:colOff>105335</xdr:colOff>
      <xdr:row>90</xdr:row>
      <xdr:rowOff>98066</xdr:rowOff>
    </xdr:to>
    <xdr:sp macro="" textlink="">
      <xdr:nvSpPr>
        <xdr:cNvPr id="258243" name="Text Box 195" hidden="1">
          <a:extLst>
            <a:ext uri="{FF2B5EF4-FFF2-40B4-BE49-F238E27FC236}">
              <a16:creationId xmlns:a16="http://schemas.microsoft.com/office/drawing/2014/main" id="{33A626EF-DD21-4A6D-8626-DF746C220FF1}"/>
            </a:ext>
          </a:extLst>
        </xdr:cNvPr>
        <xdr:cNvSpPr txBox="1">
          <a:spLocks noChangeArrowheads="1"/>
        </xdr:cNvSpPr>
      </xdr:nvSpPr>
      <xdr:spPr bwMode="auto">
        <a:xfrm>
          <a:off x="3895725" y="19269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87</xdr:row>
      <xdr:rowOff>50780</xdr:rowOff>
    </xdr:from>
    <xdr:to>
      <xdr:col>5</xdr:col>
      <xdr:colOff>105335</xdr:colOff>
      <xdr:row>91</xdr:row>
      <xdr:rowOff>106066</xdr:rowOff>
    </xdr:to>
    <xdr:sp macro="" textlink="">
      <xdr:nvSpPr>
        <xdr:cNvPr id="258242" name="Text Box 194" hidden="1">
          <a:extLst>
            <a:ext uri="{FF2B5EF4-FFF2-40B4-BE49-F238E27FC236}">
              <a16:creationId xmlns:a16="http://schemas.microsoft.com/office/drawing/2014/main" id="{ACF9B6C0-DA6C-429F-A775-F8A949C501CF}"/>
            </a:ext>
          </a:extLst>
        </xdr:cNvPr>
        <xdr:cNvSpPr txBox="1">
          <a:spLocks noChangeArrowheads="1"/>
        </xdr:cNvSpPr>
      </xdr:nvSpPr>
      <xdr:spPr bwMode="auto">
        <a:xfrm>
          <a:off x="3895725" y="19459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110</xdr:row>
      <xdr:rowOff>125574</xdr:rowOff>
    </xdr:from>
    <xdr:to>
      <xdr:col>5</xdr:col>
      <xdr:colOff>105335</xdr:colOff>
      <xdr:row>110</xdr:row>
      <xdr:rowOff>125658</xdr:rowOff>
    </xdr:to>
    <xdr:sp macro="" textlink="">
      <xdr:nvSpPr>
        <xdr:cNvPr id="258241" name="Text Box 193" hidden="1">
          <a:extLst>
            <a:ext uri="{FF2B5EF4-FFF2-40B4-BE49-F238E27FC236}">
              <a16:creationId xmlns:a16="http://schemas.microsoft.com/office/drawing/2014/main" id="{2448CB33-D312-47EE-AA89-6EEF17AFE723}"/>
            </a:ext>
          </a:extLst>
        </xdr:cNvPr>
        <xdr:cNvSpPr txBox="1">
          <a:spLocks noChangeArrowheads="1"/>
        </xdr:cNvSpPr>
      </xdr:nvSpPr>
      <xdr:spPr bwMode="auto">
        <a:xfrm>
          <a:off x="3895725" y="24307800"/>
          <a:ext cx="1228725"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111</xdr:row>
      <xdr:rowOff>143040</xdr:rowOff>
    </xdr:from>
    <xdr:to>
      <xdr:col>5</xdr:col>
      <xdr:colOff>105335</xdr:colOff>
      <xdr:row>134</xdr:row>
      <xdr:rowOff>154254</xdr:rowOff>
    </xdr:to>
    <xdr:sp macro="" textlink="">
      <xdr:nvSpPr>
        <xdr:cNvPr id="258240" name="Text Box 192" hidden="1">
          <a:extLst>
            <a:ext uri="{FF2B5EF4-FFF2-40B4-BE49-F238E27FC236}">
              <a16:creationId xmlns:a16="http://schemas.microsoft.com/office/drawing/2014/main" id="{27FACA8B-9AC9-492D-B9AE-1DE99877AC9F}"/>
            </a:ext>
          </a:extLst>
        </xdr:cNvPr>
        <xdr:cNvSpPr txBox="1">
          <a:spLocks noChangeArrowheads="1"/>
        </xdr:cNvSpPr>
      </xdr:nvSpPr>
      <xdr:spPr bwMode="auto">
        <a:xfrm>
          <a:off x="3895725" y="24498300"/>
          <a:ext cx="1228725"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111</xdr:row>
      <xdr:rowOff>143040</xdr:rowOff>
    </xdr:from>
    <xdr:to>
      <xdr:col>5</xdr:col>
      <xdr:colOff>105335</xdr:colOff>
      <xdr:row>133</xdr:row>
      <xdr:rowOff>64771</xdr:rowOff>
    </xdr:to>
    <xdr:sp macro="" textlink="">
      <xdr:nvSpPr>
        <xdr:cNvPr id="258239" name="Text Box 191" hidden="1">
          <a:extLst>
            <a:ext uri="{FF2B5EF4-FFF2-40B4-BE49-F238E27FC236}">
              <a16:creationId xmlns:a16="http://schemas.microsoft.com/office/drawing/2014/main" id="{12A75657-D1FD-48E7-B26A-E23F11EFFD6A}"/>
            </a:ext>
          </a:extLst>
        </xdr:cNvPr>
        <xdr:cNvSpPr txBox="1">
          <a:spLocks noChangeArrowheads="1"/>
        </xdr:cNvSpPr>
      </xdr:nvSpPr>
      <xdr:spPr bwMode="auto">
        <a:xfrm>
          <a:off x="3895725" y="24498300"/>
          <a:ext cx="1228725" cy="418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108</xdr:row>
      <xdr:rowOff>77115</xdr:rowOff>
    </xdr:from>
    <xdr:to>
      <xdr:col>5</xdr:col>
      <xdr:colOff>306854</xdr:colOff>
      <xdr:row>122</xdr:row>
      <xdr:rowOff>145970</xdr:rowOff>
    </xdr:to>
    <xdr:sp macro="" textlink="">
      <xdr:nvSpPr>
        <xdr:cNvPr id="258264" name="Text Box 216" hidden="1">
          <a:extLst>
            <a:ext uri="{FF2B5EF4-FFF2-40B4-BE49-F238E27FC236}">
              <a16:creationId xmlns:a16="http://schemas.microsoft.com/office/drawing/2014/main" id="{32D3F8EC-30B0-47ED-B68B-D2745D9FE719}"/>
            </a:ext>
          </a:extLst>
        </xdr:cNvPr>
        <xdr:cNvSpPr txBox="1">
          <a:spLocks noChangeArrowheads="1"/>
        </xdr:cNvSpPr>
      </xdr:nvSpPr>
      <xdr:spPr bwMode="auto">
        <a:xfrm>
          <a:off x="4070350" y="23774400"/>
          <a:ext cx="1447800" cy="266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66</xdr:row>
      <xdr:rowOff>124925</xdr:rowOff>
    </xdr:from>
    <xdr:to>
      <xdr:col>5</xdr:col>
      <xdr:colOff>124385</xdr:colOff>
      <xdr:row>80</xdr:row>
      <xdr:rowOff>57168</xdr:rowOff>
    </xdr:to>
    <xdr:sp macro="" textlink="">
      <xdr:nvSpPr>
        <xdr:cNvPr id="258263" name="Text Box 215" hidden="1">
          <a:extLst>
            <a:ext uri="{FF2B5EF4-FFF2-40B4-BE49-F238E27FC236}">
              <a16:creationId xmlns:a16="http://schemas.microsoft.com/office/drawing/2014/main" id="{B8ECEFF4-6ED8-40C8-A527-DADD8F88183E}"/>
            </a:ext>
          </a:extLst>
        </xdr:cNvPr>
        <xdr:cNvSpPr txBox="1">
          <a:spLocks noChangeArrowheads="1"/>
        </xdr:cNvSpPr>
      </xdr:nvSpPr>
      <xdr:spPr bwMode="auto">
        <a:xfrm>
          <a:off x="4057650" y="15093950"/>
          <a:ext cx="1270000" cy="310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66</xdr:row>
      <xdr:rowOff>174456</xdr:rowOff>
    </xdr:from>
    <xdr:to>
      <xdr:col>5</xdr:col>
      <xdr:colOff>124385</xdr:colOff>
      <xdr:row>80</xdr:row>
      <xdr:rowOff>30733</xdr:rowOff>
    </xdr:to>
    <xdr:sp macro="" textlink="">
      <xdr:nvSpPr>
        <xdr:cNvPr id="258262" name="Text Box 214" hidden="1">
          <a:extLst>
            <a:ext uri="{FF2B5EF4-FFF2-40B4-BE49-F238E27FC236}">
              <a16:creationId xmlns:a16="http://schemas.microsoft.com/office/drawing/2014/main" id="{1B07724C-74B2-44B2-95B2-591BFB7EDEF9}"/>
            </a:ext>
          </a:extLst>
        </xdr:cNvPr>
        <xdr:cNvSpPr txBox="1">
          <a:spLocks noChangeArrowheads="1"/>
        </xdr:cNvSpPr>
      </xdr:nvSpPr>
      <xdr:spPr bwMode="auto">
        <a:xfrm>
          <a:off x="4057650" y="15170150"/>
          <a:ext cx="1270000" cy="3016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69</xdr:row>
      <xdr:rowOff>39797</xdr:rowOff>
    </xdr:from>
    <xdr:to>
      <xdr:col>5</xdr:col>
      <xdr:colOff>124385</xdr:colOff>
      <xdr:row>71</xdr:row>
      <xdr:rowOff>154876</xdr:rowOff>
    </xdr:to>
    <xdr:sp macro="" textlink="">
      <xdr:nvSpPr>
        <xdr:cNvPr id="258261" name="Text Box 213" hidden="1">
          <a:extLst>
            <a:ext uri="{FF2B5EF4-FFF2-40B4-BE49-F238E27FC236}">
              <a16:creationId xmlns:a16="http://schemas.microsoft.com/office/drawing/2014/main" id="{CEE495F5-559D-4646-9C0A-93A0704C41BB}"/>
            </a:ext>
          </a:extLst>
        </xdr:cNvPr>
        <xdr:cNvSpPr txBox="1">
          <a:spLocks noChangeArrowheads="1"/>
        </xdr:cNvSpPr>
      </xdr:nvSpPr>
      <xdr:spPr bwMode="auto">
        <a:xfrm>
          <a:off x="4057650" y="15589250"/>
          <a:ext cx="12700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69</xdr:row>
      <xdr:rowOff>171230</xdr:rowOff>
    </xdr:from>
    <xdr:to>
      <xdr:col>5</xdr:col>
      <xdr:colOff>124385</xdr:colOff>
      <xdr:row>70</xdr:row>
      <xdr:rowOff>370825</xdr:rowOff>
    </xdr:to>
    <xdr:sp macro="" textlink="">
      <xdr:nvSpPr>
        <xdr:cNvPr id="258260" name="Text Box 212" hidden="1">
          <a:extLst>
            <a:ext uri="{FF2B5EF4-FFF2-40B4-BE49-F238E27FC236}">
              <a16:creationId xmlns:a16="http://schemas.microsoft.com/office/drawing/2014/main" id="{C1E386C8-3BD4-4BA5-B58A-CC03F761860C}"/>
            </a:ext>
          </a:extLst>
        </xdr:cNvPr>
        <xdr:cNvSpPr txBox="1">
          <a:spLocks noChangeArrowheads="1"/>
        </xdr:cNvSpPr>
      </xdr:nvSpPr>
      <xdr:spPr bwMode="auto">
        <a:xfrm>
          <a:off x="4057650" y="15773400"/>
          <a:ext cx="1270000" cy="43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73</xdr:row>
      <xdr:rowOff>145986</xdr:rowOff>
    </xdr:from>
    <xdr:to>
      <xdr:col>5</xdr:col>
      <xdr:colOff>105335</xdr:colOff>
      <xdr:row>75</xdr:row>
      <xdr:rowOff>106999</xdr:rowOff>
    </xdr:to>
    <xdr:sp macro="" textlink="">
      <xdr:nvSpPr>
        <xdr:cNvPr id="258259" name="Text Box 211" hidden="1">
          <a:extLst>
            <a:ext uri="{FF2B5EF4-FFF2-40B4-BE49-F238E27FC236}">
              <a16:creationId xmlns:a16="http://schemas.microsoft.com/office/drawing/2014/main" id="{FB973932-ED07-4252-8A9C-729FDDD09D07}"/>
            </a:ext>
          </a:extLst>
        </xdr:cNvPr>
        <xdr:cNvSpPr txBox="1">
          <a:spLocks noChangeArrowheads="1"/>
        </xdr:cNvSpPr>
      </xdr:nvSpPr>
      <xdr:spPr bwMode="auto">
        <a:xfrm>
          <a:off x="4038600" y="16681450"/>
          <a:ext cx="127000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89</xdr:row>
      <xdr:rowOff>49236</xdr:rowOff>
    </xdr:from>
    <xdr:to>
      <xdr:col>5</xdr:col>
      <xdr:colOff>105335</xdr:colOff>
      <xdr:row>93</xdr:row>
      <xdr:rowOff>77341</xdr:rowOff>
    </xdr:to>
    <xdr:sp macro="" textlink="">
      <xdr:nvSpPr>
        <xdr:cNvPr id="258258" name="Text Box 210" hidden="1">
          <a:extLst>
            <a:ext uri="{FF2B5EF4-FFF2-40B4-BE49-F238E27FC236}">
              <a16:creationId xmlns:a16="http://schemas.microsoft.com/office/drawing/2014/main" id="{CAB0220F-503E-4F53-B9B1-2AEA7D20AE6D}"/>
            </a:ext>
          </a:extLst>
        </xdr:cNvPr>
        <xdr:cNvSpPr txBox="1">
          <a:spLocks noChangeArrowheads="1"/>
        </xdr:cNvSpPr>
      </xdr:nvSpPr>
      <xdr:spPr bwMode="auto">
        <a:xfrm>
          <a:off x="4038600" y="197929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90</xdr:row>
      <xdr:rowOff>20039</xdr:rowOff>
    </xdr:from>
    <xdr:to>
      <xdr:col>5</xdr:col>
      <xdr:colOff>105335</xdr:colOff>
      <xdr:row>94</xdr:row>
      <xdr:rowOff>76960</xdr:rowOff>
    </xdr:to>
    <xdr:sp macro="" textlink="">
      <xdr:nvSpPr>
        <xdr:cNvPr id="258257" name="Text Box 209" hidden="1">
          <a:extLst>
            <a:ext uri="{FF2B5EF4-FFF2-40B4-BE49-F238E27FC236}">
              <a16:creationId xmlns:a16="http://schemas.microsoft.com/office/drawing/2014/main" id="{FF6E717C-A290-4A1B-A7C0-DACE87AF71D3}"/>
            </a:ext>
          </a:extLst>
        </xdr:cNvPr>
        <xdr:cNvSpPr txBox="1">
          <a:spLocks noChangeArrowheads="1"/>
        </xdr:cNvSpPr>
      </xdr:nvSpPr>
      <xdr:spPr bwMode="auto">
        <a:xfrm>
          <a:off x="4038600" y="199771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91</xdr:row>
      <xdr:rowOff>27645</xdr:rowOff>
    </xdr:from>
    <xdr:to>
      <xdr:col>5</xdr:col>
      <xdr:colOff>105335</xdr:colOff>
      <xdr:row>95</xdr:row>
      <xdr:rowOff>8032</xdr:rowOff>
    </xdr:to>
    <xdr:sp macro="" textlink="">
      <xdr:nvSpPr>
        <xdr:cNvPr id="258256" name="Text Box 208" hidden="1">
          <a:extLst>
            <a:ext uri="{FF2B5EF4-FFF2-40B4-BE49-F238E27FC236}">
              <a16:creationId xmlns:a16="http://schemas.microsoft.com/office/drawing/2014/main" id="{1A8BEE06-B210-4135-9CC9-DA455B18F1E1}"/>
            </a:ext>
          </a:extLst>
        </xdr:cNvPr>
        <xdr:cNvSpPr txBox="1">
          <a:spLocks noChangeArrowheads="1"/>
        </xdr:cNvSpPr>
      </xdr:nvSpPr>
      <xdr:spPr bwMode="auto">
        <a:xfrm>
          <a:off x="4038600" y="201612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92</xdr:row>
      <xdr:rowOff>29034</xdr:rowOff>
    </xdr:from>
    <xdr:to>
      <xdr:col>5</xdr:col>
      <xdr:colOff>105335</xdr:colOff>
      <xdr:row>95</xdr:row>
      <xdr:rowOff>151970</xdr:rowOff>
    </xdr:to>
    <xdr:sp macro="" textlink="">
      <xdr:nvSpPr>
        <xdr:cNvPr id="258255" name="Text Box 207" hidden="1">
          <a:extLst>
            <a:ext uri="{FF2B5EF4-FFF2-40B4-BE49-F238E27FC236}">
              <a16:creationId xmlns:a16="http://schemas.microsoft.com/office/drawing/2014/main" id="{953A1E13-DDAF-44FB-888D-DDF74B951FB1}"/>
            </a:ext>
          </a:extLst>
        </xdr:cNvPr>
        <xdr:cNvSpPr txBox="1">
          <a:spLocks noChangeArrowheads="1"/>
        </xdr:cNvSpPr>
      </xdr:nvSpPr>
      <xdr:spPr bwMode="auto">
        <a:xfrm>
          <a:off x="4038600" y="203454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115</xdr:row>
      <xdr:rowOff>149425</xdr:rowOff>
    </xdr:from>
    <xdr:to>
      <xdr:col>5</xdr:col>
      <xdr:colOff>105335</xdr:colOff>
      <xdr:row>116</xdr:row>
      <xdr:rowOff>10654</xdr:rowOff>
    </xdr:to>
    <xdr:sp macro="" textlink="">
      <xdr:nvSpPr>
        <xdr:cNvPr id="258254" name="Text Box 206" hidden="1">
          <a:extLst>
            <a:ext uri="{FF2B5EF4-FFF2-40B4-BE49-F238E27FC236}">
              <a16:creationId xmlns:a16="http://schemas.microsoft.com/office/drawing/2014/main" id="{D9DE189E-66BD-4688-ADDB-7CB148EACC8D}"/>
            </a:ext>
          </a:extLst>
        </xdr:cNvPr>
        <xdr:cNvSpPr txBox="1">
          <a:spLocks noChangeArrowheads="1"/>
        </xdr:cNvSpPr>
      </xdr:nvSpPr>
      <xdr:spPr bwMode="auto">
        <a:xfrm>
          <a:off x="4038600" y="251079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116</xdr:row>
      <xdr:rowOff>87760</xdr:rowOff>
    </xdr:from>
    <xdr:to>
      <xdr:col>5</xdr:col>
      <xdr:colOff>105335</xdr:colOff>
      <xdr:row>184</xdr:row>
      <xdr:rowOff>27264</xdr:rowOff>
    </xdr:to>
    <xdr:sp macro="" textlink="">
      <xdr:nvSpPr>
        <xdr:cNvPr id="258253" name="Text Box 205" hidden="1">
          <a:extLst>
            <a:ext uri="{FF2B5EF4-FFF2-40B4-BE49-F238E27FC236}">
              <a16:creationId xmlns:a16="http://schemas.microsoft.com/office/drawing/2014/main" id="{0D6A1F8B-E12A-4E13-9D60-38E8A4055AE0}"/>
            </a:ext>
          </a:extLst>
        </xdr:cNvPr>
        <xdr:cNvSpPr txBox="1">
          <a:spLocks noChangeArrowheads="1"/>
        </xdr:cNvSpPr>
      </xdr:nvSpPr>
      <xdr:spPr bwMode="auto">
        <a:xfrm>
          <a:off x="4038600" y="25292050"/>
          <a:ext cx="1270000" cy="431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116</xdr:row>
      <xdr:rowOff>87760</xdr:rowOff>
    </xdr:from>
    <xdr:to>
      <xdr:col>5</xdr:col>
      <xdr:colOff>105335</xdr:colOff>
      <xdr:row>182</xdr:row>
      <xdr:rowOff>126211</xdr:rowOff>
    </xdr:to>
    <xdr:sp macro="" textlink="">
      <xdr:nvSpPr>
        <xdr:cNvPr id="258252" name="Text Box 204" hidden="1">
          <a:extLst>
            <a:ext uri="{FF2B5EF4-FFF2-40B4-BE49-F238E27FC236}">
              <a16:creationId xmlns:a16="http://schemas.microsoft.com/office/drawing/2014/main" id="{47895715-5CDB-4AB6-B154-137AD3D1B846}"/>
            </a:ext>
          </a:extLst>
        </xdr:cNvPr>
        <xdr:cNvSpPr txBox="1">
          <a:spLocks noChangeArrowheads="1"/>
        </xdr:cNvSpPr>
      </xdr:nvSpPr>
      <xdr:spPr bwMode="auto">
        <a:xfrm>
          <a:off x="4038600" y="25292050"/>
          <a:ext cx="127000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144711</xdr:rowOff>
    </xdr:from>
    <xdr:to>
      <xdr:col>5</xdr:col>
      <xdr:colOff>306854</xdr:colOff>
      <xdr:row>99</xdr:row>
      <xdr:rowOff>49161</xdr:rowOff>
    </xdr:to>
    <xdr:sp macro="" textlink="">
      <xdr:nvSpPr>
        <xdr:cNvPr id="258277" name="Text Box 229" hidden="1">
          <a:extLst>
            <a:ext uri="{FF2B5EF4-FFF2-40B4-BE49-F238E27FC236}">
              <a16:creationId xmlns:a16="http://schemas.microsoft.com/office/drawing/2014/main" id="{95CC9B08-4CA0-4E0E-B9E6-6DFE2B2DB9FD}"/>
            </a:ext>
          </a:extLst>
        </xdr:cNvPr>
        <xdr:cNvSpPr txBox="1">
          <a:spLocks noChangeArrowheads="1"/>
        </xdr:cNvSpPr>
      </xdr:nvSpPr>
      <xdr:spPr bwMode="auto">
        <a:xfrm>
          <a:off x="4070350" y="19392900"/>
          <a:ext cx="1447800" cy="265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48</xdr:row>
      <xdr:rowOff>28843</xdr:rowOff>
    </xdr:from>
    <xdr:to>
      <xdr:col>5</xdr:col>
      <xdr:colOff>124385</xdr:colOff>
      <xdr:row>57</xdr:row>
      <xdr:rowOff>180889</xdr:rowOff>
    </xdr:to>
    <xdr:sp macro="" textlink="">
      <xdr:nvSpPr>
        <xdr:cNvPr id="258276" name="Text Box 228" hidden="1">
          <a:extLst>
            <a:ext uri="{FF2B5EF4-FFF2-40B4-BE49-F238E27FC236}">
              <a16:creationId xmlns:a16="http://schemas.microsoft.com/office/drawing/2014/main" id="{2CC8BC3A-3946-4F48-B15C-DA927D74508B}"/>
            </a:ext>
          </a:extLst>
        </xdr:cNvPr>
        <xdr:cNvSpPr txBox="1">
          <a:spLocks noChangeArrowheads="1"/>
        </xdr:cNvSpPr>
      </xdr:nvSpPr>
      <xdr:spPr bwMode="auto">
        <a:xfrm>
          <a:off x="4051300" y="10109200"/>
          <a:ext cx="1276350" cy="309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48</xdr:row>
      <xdr:rowOff>105043</xdr:rowOff>
    </xdr:from>
    <xdr:to>
      <xdr:col>5</xdr:col>
      <xdr:colOff>124385</xdr:colOff>
      <xdr:row>57</xdr:row>
      <xdr:rowOff>180537</xdr:rowOff>
    </xdr:to>
    <xdr:sp macro="" textlink="">
      <xdr:nvSpPr>
        <xdr:cNvPr id="258275" name="Text Box 227" hidden="1">
          <a:extLst>
            <a:ext uri="{FF2B5EF4-FFF2-40B4-BE49-F238E27FC236}">
              <a16:creationId xmlns:a16="http://schemas.microsoft.com/office/drawing/2014/main" id="{5DA4C422-0C43-4D25-97F6-DAE615713B9A}"/>
            </a:ext>
          </a:extLst>
        </xdr:cNvPr>
        <xdr:cNvSpPr txBox="1">
          <a:spLocks noChangeArrowheads="1"/>
        </xdr:cNvSpPr>
      </xdr:nvSpPr>
      <xdr:spPr bwMode="auto">
        <a:xfrm>
          <a:off x="4051300" y="10185400"/>
          <a:ext cx="1276350" cy="299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53</xdr:row>
      <xdr:rowOff>187446</xdr:rowOff>
    </xdr:from>
    <xdr:to>
      <xdr:col>5</xdr:col>
      <xdr:colOff>124385</xdr:colOff>
      <xdr:row>54</xdr:row>
      <xdr:rowOff>246246</xdr:rowOff>
    </xdr:to>
    <xdr:sp macro="" textlink="">
      <xdr:nvSpPr>
        <xdr:cNvPr id="258274" name="Text Box 226" hidden="1">
          <a:extLst>
            <a:ext uri="{FF2B5EF4-FFF2-40B4-BE49-F238E27FC236}">
              <a16:creationId xmlns:a16="http://schemas.microsoft.com/office/drawing/2014/main" id="{3A31F99C-A06C-43EB-AFB4-C282301D81A7}"/>
            </a:ext>
          </a:extLst>
        </xdr:cNvPr>
        <xdr:cNvSpPr txBox="1">
          <a:spLocks noChangeArrowheads="1"/>
        </xdr:cNvSpPr>
      </xdr:nvSpPr>
      <xdr:spPr bwMode="auto">
        <a:xfrm>
          <a:off x="4051300" y="11156950"/>
          <a:ext cx="12763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53</xdr:row>
      <xdr:rowOff>390598</xdr:rowOff>
    </xdr:from>
    <xdr:to>
      <xdr:col>5</xdr:col>
      <xdr:colOff>124385</xdr:colOff>
      <xdr:row>54</xdr:row>
      <xdr:rowOff>140230</xdr:rowOff>
    </xdr:to>
    <xdr:sp macro="" textlink="">
      <xdr:nvSpPr>
        <xdr:cNvPr id="258273" name="Text Box 225" hidden="1">
          <a:extLst>
            <a:ext uri="{FF2B5EF4-FFF2-40B4-BE49-F238E27FC236}">
              <a16:creationId xmlns:a16="http://schemas.microsoft.com/office/drawing/2014/main" id="{381C53F8-AFF3-45DB-8997-9B396D226184}"/>
            </a:ext>
          </a:extLst>
        </xdr:cNvPr>
        <xdr:cNvSpPr txBox="1">
          <a:spLocks noChangeArrowheads="1"/>
        </xdr:cNvSpPr>
      </xdr:nvSpPr>
      <xdr:spPr bwMode="auto">
        <a:xfrm>
          <a:off x="4051300" y="11366500"/>
          <a:ext cx="1276350" cy="43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226776</xdr:rowOff>
    </xdr:from>
    <xdr:to>
      <xdr:col>5</xdr:col>
      <xdr:colOff>105335</xdr:colOff>
      <xdr:row>56</xdr:row>
      <xdr:rowOff>207901</xdr:rowOff>
    </xdr:to>
    <xdr:sp macro="" textlink="">
      <xdr:nvSpPr>
        <xdr:cNvPr id="258272" name="Text Box 224" hidden="1">
          <a:extLst>
            <a:ext uri="{FF2B5EF4-FFF2-40B4-BE49-F238E27FC236}">
              <a16:creationId xmlns:a16="http://schemas.microsoft.com/office/drawing/2014/main" id="{32988064-F72C-4D53-839B-755EB0FA4F96}"/>
            </a:ext>
          </a:extLst>
        </xdr:cNvPr>
        <xdr:cNvSpPr txBox="1">
          <a:spLocks noChangeArrowheads="1"/>
        </xdr:cNvSpPr>
      </xdr:nvSpPr>
      <xdr:spPr bwMode="auto">
        <a:xfrm>
          <a:off x="4032250" y="12369800"/>
          <a:ext cx="127635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142433</xdr:rowOff>
    </xdr:from>
    <xdr:to>
      <xdr:col>5</xdr:col>
      <xdr:colOff>105335</xdr:colOff>
      <xdr:row>71</xdr:row>
      <xdr:rowOff>154643</xdr:rowOff>
    </xdr:to>
    <xdr:sp macro="" textlink="">
      <xdr:nvSpPr>
        <xdr:cNvPr id="258271" name="Text Box 223" hidden="1">
          <a:extLst>
            <a:ext uri="{FF2B5EF4-FFF2-40B4-BE49-F238E27FC236}">
              <a16:creationId xmlns:a16="http://schemas.microsoft.com/office/drawing/2014/main" id="{347C8171-92B9-4E95-8014-074746C475D5}"/>
            </a:ext>
          </a:extLst>
        </xdr:cNvPr>
        <xdr:cNvSpPr txBox="1">
          <a:spLocks noChangeArrowheads="1"/>
        </xdr:cNvSpPr>
      </xdr:nvSpPr>
      <xdr:spPr bwMode="auto">
        <a:xfrm>
          <a:off x="4032250" y="154940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143283</xdr:rowOff>
    </xdr:from>
    <xdr:to>
      <xdr:col>5</xdr:col>
      <xdr:colOff>105335</xdr:colOff>
      <xdr:row>72</xdr:row>
      <xdr:rowOff>126077</xdr:rowOff>
    </xdr:to>
    <xdr:sp macro="" textlink="">
      <xdr:nvSpPr>
        <xdr:cNvPr id="258270" name="Text Box 222" hidden="1">
          <a:extLst>
            <a:ext uri="{FF2B5EF4-FFF2-40B4-BE49-F238E27FC236}">
              <a16:creationId xmlns:a16="http://schemas.microsoft.com/office/drawing/2014/main" id="{AD6A47B9-BC84-4B1C-9739-D29295C0ECBB}"/>
            </a:ext>
          </a:extLst>
        </xdr:cNvPr>
        <xdr:cNvSpPr txBox="1">
          <a:spLocks noChangeArrowheads="1"/>
        </xdr:cNvSpPr>
      </xdr:nvSpPr>
      <xdr:spPr bwMode="auto">
        <a:xfrm>
          <a:off x="4032250" y="156781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54958</xdr:rowOff>
    </xdr:from>
    <xdr:to>
      <xdr:col>5</xdr:col>
      <xdr:colOff>105335</xdr:colOff>
      <xdr:row>73</xdr:row>
      <xdr:rowOff>153538</xdr:rowOff>
    </xdr:to>
    <xdr:sp macro="" textlink="">
      <xdr:nvSpPr>
        <xdr:cNvPr id="258269" name="Text Box 221" hidden="1">
          <a:extLst>
            <a:ext uri="{FF2B5EF4-FFF2-40B4-BE49-F238E27FC236}">
              <a16:creationId xmlns:a16="http://schemas.microsoft.com/office/drawing/2014/main" id="{D02085ED-1FBB-41D5-B678-7EB79F720B80}"/>
            </a:ext>
          </a:extLst>
        </xdr:cNvPr>
        <xdr:cNvSpPr txBox="1">
          <a:spLocks noChangeArrowheads="1"/>
        </xdr:cNvSpPr>
      </xdr:nvSpPr>
      <xdr:spPr bwMode="auto">
        <a:xfrm>
          <a:off x="4032250" y="158623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216953</xdr:rowOff>
    </xdr:from>
    <xdr:to>
      <xdr:col>5</xdr:col>
      <xdr:colOff>105335</xdr:colOff>
      <xdr:row>74</xdr:row>
      <xdr:rowOff>153028</xdr:rowOff>
    </xdr:to>
    <xdr:sp macro="" textlink="">
      <xdr:nvSpPr>
        <xdr:cNvPr id="258268" name="Text Box 220" hidden="1">
          <a:extLst>
            <a:ext uri="{FF2B5EF4-FFF2-40B4-BE49-F238E27FC236}">
              <a16:creationId xmlns:a16="http://schemas.microsoft.com/office/drawing/2014/main" id="{30FEB94E-615E-4F21-AD75-CEC1B7A11FAA}"/>
            </a:ext>
          </a:extLst>
        </xdr:cNvPr>
        <xdr:cNvSpPr txBox="1">
          <a:spLocks noChangeArrowheads="1"/>
        </xdr:cNvSpPr>
      </xdr:nvSpPr>
      <xdr:spPr bwMode="auto">
        <a:xfrm>
          <a:off x="4032250" y="160464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46783</xdr:rowOff>
    </xdr:from>
    <xdr:to>
      <xdr:col>5</xdr:col>
      <xdr:colOff>105335</xdr:colOff>
      <xdr:row>95</xdr:row>
      <xdr:rowOff>113185</xdr:rowOff>
    </xdr:to>
    <xdr:sp macro="" textlink="">
      <xdr:nvSpPr>
        <xdr:cNvPr id="258267" name="Text Box 219" hidden="1">
          <a:extLst>
            <a:ext uri="{FF2B5EF4-FFF2-40B4-BE49-F238E27FC236}">
              <a16:creationId xmlns:a16="http://schemas.microsoft.com/office/drawing/2014/main" id="{55D99C49-01EF-4BCD-AA72-045FA10CBAF5}"/>
            </a:ext>
          </a:extLst>
        </xdr:cNvPr>
        <xdr:cNvSpPr txBox="1">
          <a:spLocks noChangeArrowheads="1"/>
        </xdr:cNvSpPr>
      </xdr:nvSpPr>
      <xdr:spPr bwMode="auto">
        <a:xfrm>
          <a:off x="4032250" y="210502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208536</xdr:rowOff>
    </xdr:from>
    <xdr:to>
      <xdr:col>5</xdr:col>
      <xdr:colOff>105335</xdr:colOff>
      <xdr:row>117</xdr:row>
      <xdr:rowOff>149587</xdr:rowOff>
    </xdr:to>
    <xdr:sp macro="" textlink="">
      <xdr:nvSpPr>
        <xdr:cNvPr id="258266" name="Text Box 218" hidden="1">
          <a:extLst>
            <a:ext uri="{FF2B5EF4-FFF2-40B4-BE49-F238E27FC236}">
              <a16:creationId xmlns:a16="http://schemas.microsoft.com/office/drawing/2014/main" id="{7FE7C95E-9F89-47B6-BA2C-B7A3EA64D893}"/>
            </a:ext>
          </a:extLst>
        </xdr:cNvPr>
        <xdr:cNvSpPr txBox="1">
          <a:spLocks noChangeArrowheads="1"/>
        </xdr:cNvSpPr>
      </xdr:nvSpPr>
      <xdr:spPr bwMode="auto">
        <a:xfrm>
          <a:off x="4032250" y="21234400"/>
          <a:ext cx="1276350" cy="432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208536</xdr:rowOff>
    </xdr:from>
    <xdr:to>
      <xdr:col>5</xdr:col>
      <xdr:colOff>105335</xdr:colOff>
      <xdr:row>116</xdr:row>
      <xdr:rowOff>124282</xdr:rowOff>
    </xdr:to>
    <xdr:sp macro="" textlink="">
      <xdr:nvSpPr>
        <xdr:cNvPr id="258265" name="Text Box 217" hidden="1">
          <a:extLst>
            <a:ext uri="{FF2B5EF4-FFF2-40B4-BE49-F238E27FC236}">
              <a16:creationId xmlns:a16="http://schemas.microsoft.com/office/drawing/2014/main" id="{5EF53326-2A30-46EC-9F7B-B44361B63BE2}"/>
            </a:ext>
          </a:extLst>
        </xdr:cNvPr>
        <xdr:cNvSpPr txBox="1">
          <a:spLocks noChangeArrowheads="1"/>
        </xdr:cNvSpPr>
      </xdr:nvSpPr>
      <xdr:spPr bwMode="auto">
        <a:xfrm>
          <a:off x="4032250" y="21234400"/>
          <a:ext cx="127635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31090</xdr:rowOff>
    </xdr:from>
    <xdr:to>
      <xdr:col>5</xdr:col>
      <xdr:colOff>287804</xdr:colOff>
      <xdr:row>92</xdr:row>
      <xdr:rowOff>79065</xdr:rowOff>
    </xdr:to>
    <xdr:sp macro="" textlink="">
      <xdr:nvSpPr>
        <xdr:cNvPr id="258290" name="Text Box 242" hidden="1">
          <a:extLst>
            <a:ext uri="{FF2B5EF4-FFF2-40B4-BE49-F238E27FC236}">
              <a16:creationId xmlns:a16="http://schemas.microsoft.com/office/drawing/2014/main" id="{181F0DB9-F518-4F2B-930B-022E067A88A8}"/>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289" name="Text Box 241" hidden="1">
          <a:extLst>
            <a:ext uri="{FF2B5EF4-FFF2-40B4-BE49-F238E27FC236}">
              <a16:creationId xmlns:a16="http://schemas.microsoft.com/office/drawing/2014/main" id="{67079520-CC4E-4838-B7D6-08EF82026BE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288" name="Text Box 240" hidden="1">
          <a:extLst>
            <a:ext uri="{FF2B5EF4-FFF2-40B4-BE49-F238E27FC236}">
              <a16:creationId xmlns:a16="http://schemas.microsoft.com/office/drawing/2014/main" id="{43FDC40D-2D6F-4CB9-A386-16419CF73DD3}"/>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105335</xdr:colOff>
      <xdr:row>53</xdr:row>
      <xdr:rowOff>246283</xdr:rowOff>
    </xdr:to>
    <xdr:sp macro="" textlink="">
      <xdr:nvSpPr>
        <xdr:cNvPr id="258287" name="Text Box 239" hidden="1">
          <a:extLst>
            <a:ext uri="{FF2B5EF4-FFF2-40B4-BE49-F238E27FC236}">
              <a16:creationId xmlns:a16="http://schemas.microsoft.com/office/drawing/2014/main" id="{007FB241-44BD-48F3-A96E-4FD65754782D}"/>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107419</xdr:rowOff>
    </xdr:from>
    <xdr:to>
      <xdr:col>5</xdr:col>
      <xdr:colOff>105335</xdr:colOff>
      <xdr:row>53</xdr:row>
      <xdr:rowOff>219454</xdr:rowOff>
    </xdr:to>
    <xdr:sp macro="" textlink="">
      <xdr:nvSpPr>
        <xdr:cNvPr id="258286" name="Text Box 238" hidden="1">
          <a:extLst>
            <a:ext uri="{FF2B5EF4-FFF2-40B4-BE49-F238E27FC236}">
              <a16:creationId xmlns:a16="http://schemas.microsoft.com/office/drawing/2014/main" id="{7F328CD4-240B-48E8-8F9A-BD377D6CE763}"/>
            </a:ext>
          </a:extLst>
        </xdr:cNvPr>
        <xdr:cNvSpPr txBox="1">
          <a:spLocks noChangeArrowheads="1"/>
        </xdr:cNvSpPr>
      </xdr:nvSpPr>
      <xdr:spPr bwMode="auto">
        <a:xfrm>
          <a:off x="4008120" y="10279380"/>
          <a:ext cx="126492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465605</xdr:rowOff>
    </xdr:from>
    <xdr:to>
      <xdr:col>5</xdr:col>
      <xdr:colOff>105335</xdr:colOff>
      <xdr:row>54</xdr:row>
      <xdr:rowOff>339884</xdr:rowOff>
    </xdr:to>
    <xdr:sp macro="" textlink="">
      <xdr:nvSpPr>
        <xdr:cNvPr id="258285" name="Text Box 237" hidden="1">
          <a:extLst>
            <a:ext uri="{FF2B5EF4-FFF2-40B4-BE49-F238E27FC236}">
              <a16:creationId xmlns:a16="http://schemas.microsoft.com/office/drawing/2014/main" id="{5DFCAA6C-AD22-439E-9E84-3C9ED313574D}"/>
            </a:ext>
          </a:extLst>
        </xdr:cNvPr>
        <xdr:cNvSpPr txBox="1">
          <a:spLocks noChangeArrowheads="1"/>
        </xdr:cNvSpPr>
      </xdr:nvSpPr>
      <xdr:spPr bwMode="auto">
        <a:xfrm>
          <a:off x="4008120" y="11353800"/>
          <a:ext cx="126492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86353</xdr:rowOff>
    </xdr:from>
    <xdr:to>
      <xdr:col>5</xdr:col>
      <xdr:colOff>105335</xdr:colOff>
      <xdr:row>67</xdr:row>
      <xdr:rowOff>145305</xdr:rowOff>
    </xdr:to>
    <xdr:sp macro="" textlink="">
      <xdr:nvSpPr>
        <xdr:cNvPr id="258284" name="Text Box 236" hidden="1">
          <a:extLst>
            <a:ext uri="{FF2B5EF4-FFF2-40B4-BE49-F238E27FC236}">
              <a16:creationId xmlns:a16="http://schemas.microsoft.com/office/drawing/2014/main" id="{7A3924CB-4217-443E-A6EB-B94863B8803A}"/>
            </a:ext>
          </a:extLst>
        </xdr:cNvPr>
        <xdr:cNvSpPr txBox="1">
          <a:spLocks noChangeArrowheads="1"/>
        </xdr:cNvSpPr>
      </xdr:nvSpPr>
      <xdr:spPr bwMode="auto">
        <a:xfrm>
          <a:off x="4008120" y="13906500"/>
          <a:ext cx="1264920" cy="1287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70</xdr:row>
      <xdr:rowOff>55170</xdr:rowOff>
    </xdr:to>
    <xdr:sp macro="" textlink="">
      <xdr:nvSpPr>
        <xdr:cNvPr id="258283" name="Text Box 235" hidden="1">
          <a:extLst>
            <a:ext uri="{FF2B5EF4-FFF2-40B4-BE49-F238E27FC236}">
              <a16:creationId xmlns:a16="http://schemas.microsoft.com/office/drawing/2014/main" id="{00BD35A4-AC98-4DD0-897B-1EB83262B45F}"/>
            </a:ext>
          </a:extLst>
        </xdr:cNvPr>
        <xdr:cNvSpPr txBox="1">
          <a:spLocks noChangeArrowheads="1"/>
        </xdr:cNvSpPr>
      </xdr:nvSpPr>
      <xdr:spPr bwMode="auto">
        <a:xfrm>
          <a:off x="4008120" y="14089380"/>
          <a:ext cx="1264920" cy="1691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275691</xdr:rowOff>
    </xdr:to>
    <xdr:sp macro="" textlink="">
      <xdr:nvSpPr>
        <xdr:cNvPr id="258282" name="Text Box 234" hidden="1">
          <a:extLst>
            <a:ext uri="{FF2B5EF4-FFF2-40B4-BE49-F238E27FC236}">
              <a16:creationId xmlns:a16="http://schemas.microsoft.com/office/drawing/2014/main" id="{87507C18-A2E7-41FB-ABA6-AF7247725E06}"/>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70</xdr:row>
      <xdr:rowOff>275691</xdr:rowOff>
    </xdr:to>
    <xdr:sp macro="" textlink="">
      <xdr:nvSpPr>
        <xdr:cNvPr id="258281" name="Text Box 233" hidden="1">
          <a:extLst>
            <a:ext uri="{FF2B5EF4-FFF2-40B4-BE49-F238E27FC236}">
              <a16:creationId xmlns:a16="http://schemas.microsoft.com/office/drawing/2014/main" id="{705D0224-AAEA-4627-ADE8-8BAC07CCDD58}"/>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101718</xdr:rowOff>
    </xdr:from>
    <xdr:to>
      <xdr:col>5</xdr:col>
      <xdr:colOff>105335</xdr:colOff>
      <xdr:row>90</xdr:row>
      <xdr:rowOff>149543</xdr:rowOff>
    </xdr:to>
    <xdr:sp macro="" textlink="">
      <xdr:nvSpPr>
        <xdr:cNvPr id="258280" name="Text Box 232" hidden="1">
          <a:extLst>
            <a:ext uri="{FF2B5EF4-FFF2-40B4-BE49-F238E27FC236}">
              <a16:creationId xmlns:a16="http://schemas.microsoft.com/office/drawing/2014/main" id="{8035AB5B-D755-4F9B-992C-CCFA8107C08D}"/>
            </a:ext>
          </a:extLst>
        </xdr:cNvPr>
        <xdr:cNvSpPr txBox="1">
          <a:spLocks noChangeArrowheads="1"/>
        </xdr:cNvSpPr>
      </xdr:nvSpPr>
      <xdr:spPr bwMode="auto">
        <a:xfrm>
          <a:off x="4008120" y="1994154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88287</xdr:rowOff>
    </xdr:from>
    <xdr:to>
      <xdr:col>5</xdr:col>
      <xdr:colOff>105335</xdr:colOff>
      <xdr:row>117</xdr:row>
      <xdr:rowOff>63928</xdr:rowOff>
    </xdr:to>
    <xdr:sp macro="" textlink="">
      <xdr:nvSpPr>
        <xdr:cNvPr id="258279" name="Text Box 231" hidden="1">
          <a:extLst>
            <a:ext uri="{FF2B5EF4-FFF2-40B4-BE49-F238E27FC236}">
              <a16:creationId xmlns:a16="http://schemas.microsoft.com/office/drawing/2014/main" id="{0852D8D1-94A3-4624-921F-8E6550264C1E}"/>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88287</xdr:rowOff>
    </xdr:from>
    <xdr:to>
      <xdr:col>5</xdr:col>
      <xdr:colOff>105335</xdr:colOff>
      <xdr:row>117</xdr:row>
      <xdr:rowOff>63928</xdr:rowOff>
    </xdr:to>
    <xdr:sp macro="" textlink="">
      <xdr:nvSpPr>
        <xdr:cNvPr id="258278" name="Text Box 230" hidden="1">
          <a:extLst>
            <a:ext uri="{FF2B5EF4-FFF2-40B4-BE49-F238E27FC236}">
              <a16:creationId xmlns:a16="http://schemas.microsoft.com/office/drawing/2014/main" id="{570898CE-6FCF-4E1D-B85E-661268993C1F}"/>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295" name="Text Box 247" hidden="1">
          <a:extLst>
            <a:ext uri="{FF2B5EF4-FFF2-40B4-BE49-F238E27FC236}">
              <a16:creationId xmlns:a16="http://schemas.microsoft.com/office/drawing/2014/main" id="{5EC1E6D8-AC98-4F11-AC1D-87A73FFC9979}"/>
            </a:ext>
          </a:extLst>
        </xdr:cNvPr>
        <xdr:cNvSpPr txBox="1">
          <a:spLocks noChangeArrowheads="1"/>
        </xdr:cNvSpPr>
      </xdr:nvSpPr>
      <xdr:spPr bwMode="auto">
        <a:xfrm>
          <a:off x="15339060" y="2095500"/>
          <a:ext cx="13182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31090</xdr:rowOff>
    </xdr:from>
    <xdr:to>
      <xdr:col>5</xdr:col>
      <xdr:colOff>287804</xdr:colOff>
      <xdr:row>92</xdr:row>
      <xdr:rowOff>79065</xdr:rowOff>
    </xdr:to>
    <xdr:sp macro="" textlink="">
      <xdr:nvSpPr>
        <xdr:cNvPr id="258309" name="Text Box 261" hidden="1">
          <a:extLst>
            <a:ext uri="{FF2B5EF4-FFF2-40B4-BE49-F238E27FC236}">
              <a16:creationId xmlns:a16="http://schemas.microsoft.com/office/drawing/2014/main" id="{80071E85-31BB-4362-A482-9DD8DB44131A}"/>
            </a:ext>
          </a:extLst>
        </xdr:cNvPr>
        <xdr:cNvSpPr txBox="1">
          <a:spLocks noChangeArrowheads="1"/>
        </xdr:cNvSpPr>
      </xdr:nvSpPr>
      <xdr:spPr bwMode="auto">
        <a:xfrm>
          <a:off x="4070350" y="18726150"/>
          <a:ext cx="1428750" cy="172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308" name="Text Box 260" hidden="1">
          <a:extLst>
            <a:ext uri="{FF2B5EF4-FFF2-40B4-BE49-F238E27FC236}">
              <a16:creationId xmlns:a16="http://schemas.microsoft.com/office/drawing/2014/main" id="{60E42B37-1680-4E29-A5FA-4D7ADF31C626}"/>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307" name="Text Box 259" hidden="1">
          <a:extLst>
            <a:ext uri="{FF2B5EF4-FFF2-40B4-BE49-F238E27FC236}">
              <a16:creationId xmlns:a16="http://schemas.microsoft.com/office/drawing/2014/main" id="{3A3452A1-4108-40A3-A5DA-AB3902CB68DD}"/>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105335</xdr:colOff>
      <xdr:row>53</xdr:row>
      <xdr:rowOff>246283</xdr:rowOff>
    </xdr:to>
    <xdr:sp macro="" textlink="">
      <xdr:nvSpPr>
        <xdr:cNvPr id="258306" name="Text Box 258" hidden="1">
          <a:extLst>
            <a:ext uri="{FF2B5EF4-FFF2-40B4-BE49-F238E27FC236}">
              <a16:creationId xmlns:a16="http://schemas.microsoft.com/office/drawing/2014/main" id="{A0B29146-A435-4123-ACF0-F7876446757F}"/>
            </a:ext>
          </a:extLst>
        </xdr:cNvPr>
        <xdr:cNvSpPr txBox="1">
          <a:spLocks noChangeArrowheads="1"/>
        </xdr:cNvSpPr>
      </xdr:nvSpPr>
      <xdr:spPr bwMode="auto">
        <a:xfrm>
          <a:off x="4032250" y="10191750"/>
          <a:ext cx="1276350" cy="1022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105335</xdr:colOff>
      <xdr:row>53</xdr:row>
      <xdr:rowOff>207623</xdr:rowOff>
    </xdr:to>
    <xdr:sp macro="" textlink="">
      <xdr:nvSpPr>
        <xdr:cNvPr id="258305" name="Text Box 257" hidden="1">
          <a:extLst>
            <a:ext uri="{FF2B5EF4-FFF2-40B4-BE49-F238E27FC236}">
              <a16:creationId xmlns:a16="http://schemas.microsoft.com/office/drawing/2014/main" id="{CA6C935D-630E-4AE4-9EE8-6A15C814E8EA}"/>
            </a:ext>
          </a:extLst>
        </xdr:cNvPr>
        <xdr:cNvSpPr txBox="1">
          <a:spLocks noChangeArrowheads="1"/>
        </xdr:cNvSpPr>
      </xdr:nvSpPr>
      <xdr:spPr bwMode="auto">
        <a:xfrm>
          <a:off x="4032250" y="10325100"/>
          <a:ext cx="12763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465605</xdr:rowOff>
    </xdr:from>
    <xdr:to>
      <xdr:col>5</xdr:col>
      <xdr:colOff>105335</xdr:colOff>
      <xdr:row>54</xdr:row>
      <xdr:rowOff>341789</xdr:rowOff>
    </xdr:to>
    <xdr:sp macro="" textlink="">
      <xdr:nvSpPr>
        <xdr:cNvPr id="258304" name="Text Box 256" hidden="1">
          <a:extLst>
            <a:ext uri="{FF2B5EF4-FFF2-40B4-BE49-F238E27FC236}">
              <a16:creationId xmlns:a16="http://schemas.microsoft.com/office/drawing/2014/main" id="{96670D16-1893-44E1-A242-D0AAAF70882E}"/>
            </a:ext>
          </a:extLst>
        </xdr:cNvPr>
        <xdr:cNvSpPr txBox="1">
          <a:spLocks noChangeArrowheads="1"/>
        </xdr:cNvSpPr>
      </xdr:nvSpPr>
      <xdr:spPr bwMode="auto">
        <a:xfrm>
          <a:off x="4032250" y="11423650"/>
          <a:ext cx="12763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86353</xdr:rowOff>
    </xdr:from>
    <xdr:to>
      <xdr:col>5</xdr:col>
      <xdr:colOff>105335</xdr:colOff>
      <xdr:row>67</xdr:row>
      <xdr:rowOff>144035</xdr:rowOff>
    </xdr:to>
    <xdr:sp macro="" textlink="">
      <xdr:nvSpPr>
        <xdr:cNvPr id="258303" name="Text Box 255" hidden="1">
          <a:extLst>
            <a:ext uri="{FF2B5EF4-FFF2-40B4-BE49-F238E27FC236}">
              <a16:creationId xmlns:a16="http://schemas.microsoft.com/office/drawing/2014/main" id="{D3517B08-808E-4F52-951B-4BD8469409FD}"/>
            </a:ext>
          </a:extLst>
        </xdr:cNvPr>
        <xdr:cNvSpPr txBox="1">
          <a:spLocks noChangeArrowheads="1"/>
        </xdr:cNvSpPr>
      </xdr:nvSpPr>
      <xdr:spPr bwMode="auto">
        <a:xfrm>
          <a:off x="4032250" y="13995400"/>
          <a:ext cx="12763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70</xdr:row>
      <xdr:rowOff>87538</xdr:rowOff>
    </xdr:to>
    <xdr:sp macro="" textlink="">
      <xdr:nvSpPr>
        <xdr:cNvPr id="258302" name="Text Box 254" hidden="1">
          <a:extLst>
            <a:ext uri="{FF2B5EF4-FFF2-40B4-BE49-F238E27FC236}">
              <a16:creationId xmlns:a16="http://schemas.microsoft.com/office/drawing/2014/main" id="{81A626F8-52C5-436F-BC99-8A0EFE87E056}"/>
            </a:ext>
          </a:extLst>
        </xdr:cNvPr>
        <xdr:cNvSpPr txBox="1">
          <a:spLocks noChangeArrowheads="1"/>
        </xdr:cNvSpPr>
      </xdr:nvSpPr>
      <xdr:spPr bwMode="auto">
        <a:xfrm>
          <a:off x="4032250" y="14179550"/>
          <a:ext cx="12763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275691</xdr:rowOff>
    </xdr:to>
    <xdr:sp macro="" textlink="">
      <xdr:nvSpPr>
        <xdr:cNvPr id="258301" name="Text Box 253" hidden="1">
          <a:extLst>
            <a:ext uri="{FF2B5EF4-FFF2-40B4-BE49-F238E27FC236}">
              <a16:creationId xmlns:a16="http://schemas.microsoft.com/office/drawing/2014/main" id="{507FEEB7-3BB2-4230-AC0E-67D2CA4B51F4}"/>
            </a:ext>
          </a:extLst>
        </xdr:cNvPr>
        <xdr:cNvSpPr txBox="1">
          <a:spLocks noChangeArrowheads="1"/>
        </xdr:cNvSpPr>
      </xdr:nvSpPr>
      <xdr:spPr bwMode="auto">
        <a:xfrm>
          <a:off x="4032250" y="143637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70</xdr:row>
      <xdr:rowOff>275691</xdr:rowOff>
    </xdr:to>
    <xdr:sp macro="" textlink="">
      <xdr:nvSpPr>
        <xdr:cNvPr id="258300" name="Text Box 252" hidden="1">
          <a:extLst>
            <a:ext uri="{FF2B5EF4-FFF2-40B4-BE49-F238E27FC236}">
              <a16:creationId xmlns:a16="http://schemas.microsoft.com/office/drawing/2014/main" id="{9BED1156-F97F-42C9-BDF7-B6B097A3379E}"/>
            </a:ext>
          </a:extLst>
        </xdr:cNvPr>
        <xdr:cNvSpPr txBox="1">
          <a:spLocks noChangeArrowheads="1"/>
        </xdr:cNvSpPr>
      </xdr:nvSpPr>
      <xdr:spPr bwMode="auto">
        <a:xfrm>
          <a:off x="4032250" y="14547850"/>
          <a:ext cx="12763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68698</xdr:rowOff>
    </xdr:from>
    <xdr:to>
      <xdr:col>5</xdr:col>
      <xdr:colOff>105335</xdr:colOff>
      <xdr:row>90</xdr:row>
      <xdr:rowOff>134515</xdr:rowOff>
    </xdr:to>
    <xdr:sp macro="" textlink="">
      <xdr:nvSpPr>
        <xdr:cNvPr id="258299" name="Text Box 251" hidden="1">
          <a:extLst>
            <a:ext uri="{FF2B5EF4-FFF2-40B4-BE49-F238E27FC236}">
              <a16:creationId xmlns:a16="http://schemas.microsoft.com/office/drawing/2014/main" id="{D8E95805-65E9-4C5E-A4DA-205163748792}"/>
            </a:ext>
          </a:extLst>
        </xdr:cNvPr>
        <xdr:cNvSpPr txBox="1">
          <a:spLocks noChangeArrowheads="1"/>
        </xdr:cNvSpPr>
      </xdr:nvSpPr>
      <xdr:spPr bwMode="auto">
        <a:xfrm>
          <a:off x="4032250" y="200469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67967</xdr:rowOff>
    </xdr:from>
    <xdr:to>
      <xdr:col>5</xdr:col>
      <xdr:colOff>105335</xdr:colOff>
      <xdr:row>117</xdr:row>
      <xdr:rowOff>63928</xdr:rowOff>
    </xdr:to>
    <xdr:sp macro="" textlink="">
      <xdr:nvSpPr>
        <xdr:cNvPr id="258298" name="Text Box 250" hidden="1">
          <a:extLst>
            <a:ext uri="{FF2B5EF4-FFF2-40B4-BE49-F238E27FC236}">
              <a16:creationId xmlns:a16="http://schemas.microsoft.com/office/drawing/2014/main" id="{6CF1C3A7-0A3B-4612-AEF7-263E47ECA99B}"/>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67967</xdr:rowOff>
    </xdr:from>
    <xdr:to>
      <xdr:col>5</xdr:col>
      <xdr:colOff>105335</xdr:colOff>
      <xdr:row>117</xdr:row>
      <xdr:rowOff>63928</xdr:rowOff>
    </xdr:to>
    <xdr:sp macro="" textlink="">
      <xdr:nvSpPr>
        <xdr:cNvPr id="258297" name="Text Box 249" hidden="1">
          <a:extLst>
            <a:ext uri="{FF2B5EF4-FFF2-40B4-BE49-F238E27FC236}">
              <a16:creationId xmlns:a16="http://schemas.microsoft.com/office/drawing/2014/main" id="{ED324ABC-E3EE-44BA-B769-D51D8C178B89}"/>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296" name="Text Box 248" hidden="1">
          <a:extLst>
            <a:ext uri="{FF2B5EF4-FFF2-40B4-BE49-F238E27FC236}">
              <a16:creationId xmlns:a16="http://schemas.microsoft.com/office/drawing/2014/main" id="{3170862E-3A11-4380-BFC6-375182A40D84}"/>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31090</xdr:rowOff>
    </xdr:from>
    <xdr:to>
      <xdr:col>5</xdr:col>
      <xdr:colOff>287804</xdr:colOff>
      <xdr:row>92</xdr:row>
      <xdr:rowOff>79065</xdr:rowOff>
    </xdr:to>
    <xdr:sp macro="" textlink="">
      <xdr:nvSpPr>
        <xdr:cNvPr id="258323" name="Text Box 275" hidden="1">
          <a:extLst>
            <a:ext uri="{FF2B5EF4-FFF2-40B4-BE49-F238E27FC236}">
              <a16:creationId xmlns:a16="http://schemas.microsoft.com/office/drawing/2014/main" id="{8FD9681C-6FB9-44A7-A826-49C722705737}"/>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322" name="Text Box 274" hidden="1">
          <a:extLst>
            <a:ext uri="{FF2B5EF4-FFF2-40B4-BE49-F238E27FC236}">
              <a16:creationId xmlns:a16="http://schemas.microsoft.com/office/drawing/2014/main" id="{14175EEF-CC3E-45E7-BF8F-32CA048A6372}"/>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321" name="Text Box 273" hidden="1">
          <a:extLst>
            <a:ext uri="{FF2B5EF4-FFF2-40B4-BE49-F238E27FC236}">
              <a16:creationId xmlns:a16="http://schemas.microsoft.com/office/drawing/2014/main" id="{37BB5DEF-8617-4385-BCC1-DF5DD9008EDB}"/>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105335</xdr:colOff>
      <xdr:row>53</xdr:row>
      <xdr:rowOff>246283</xdr:rowOff>
    </xdr:to>
    <xdr:sp macro="" textlink="">
      <xdr:nvSpPr>
        <xdr:cNvPr id="258320" name="Text Box 272" hidden="1">
          <a:extLst>
            <a:ext uri="{FF2B5EF4-FFF2-40B4-BE49-F238E27FC236}">
              <a16:creationId xmlns:a16="http://schemas.microsoft.com/office/drawing/2014/main" id="{41BA2B56-6314-47C0-8B58-4B6F5CCCF456}"/>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105335</xdr:colOff>
      <xdr:row>53</xdr:row>
      <xdr:rowOff>207623</xdr:rowOff>
    </xdr:to>
    <xdr:sp macro="" textlink="">
      <xdr:nvSpPr>
        <xdr:cNvPr id="258319" name="Text Box 271" hidden="1">
          <a:extLst>
            <a:ext uri="{FF2B5EF4-FFF2-40B4-BE49-F238E27FC236}">
              <a16:creationId xmlns:a16="http://schemas.microsoft.com/office/drawing/2014/main" id="{738EE3C1-4E2F-4894-BA2C-CA7E8FCADAD0}"/>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465605</xdr:rowOff>
    </xdr:from>
    <xdr:to>
      <xdr:col>5</xdr:col>
      <xdr:colOff>105335</xdr:colOff>
      <xdr:row>54</xdr:row>
      <xdr:rowOff>341789</xdr:rowOff>
    </xdr:to>
    <xdr:sp macro="" textlink="">
      <xdr:nvSpPr>
        <xdr:cNvPr id="258318" name="Text Box 270" hidden="1">
          <a:extLst>
            <a:ext uri="{FF2B5EF4-FFF2-40B4-BE49-F238E27FC236}">
              <a16:creationId xmlns:a16="http://schemas.microsoft.com/office/drawing/2014/main" id="{FB8D9BAB-2754-4F2C-B659-82A7061EDA86}"/>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86353</xdr:rowOff>
    </xdr:from>
    <xdr:to>
      <xdr:col>5</xdr:col>
      <xdr:colOff>105335</xdr:colOff>
      <xdr:row>67</xdr:row>
      <xdr:rowOff>144035</xdr:rowOff>
    </xdr:to>
    <xdr:sp macro="" textlink="">
      <xdr:nvSpPr>
        <xdr:cNvPr id="258317" name="Text Box 269" hidden="1">
          <a:extLst>
            <a:ext uri="{FF2B5EF4-FFF2-40B4-BE49-F238E27FC236}">
              <a16:creationId xmlns:a16="http://schemas.microsoft.com/office/drawing/2014/main" id="{EB4FBD19-C445-49B5-B90E-D8A7BBB62E0B}"/>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70</xdr:row>
      <xdr:rowOff>87538</xdr:rowOff>
    </xdr:to>
    <xdr:sp macro="" textlink="">
      <xdr:nvSpPr>
        <xdr:cNvPr id="258316" name="Text Box 268" hidden="1">
          <a:extLst>
            <a:ext uri="{FF2B5EF4-FFF2-40B4-BE49-F238E27FC236}">
              <a16:creationId xmlns:a16="http://schemas.microsoft.com/office/drawing/2014/main" id="{45828737-3065-41E9-B891-87F162E0D5FD}"/>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275691</xdr:rowOff>
    </xdr:to>
    <xdr:sp macro="" textlink="">
      <xdr:nvSpPr>
        <xdr:cNvPr id="258315" name="Text Box 267" hidden="1">
          <a:extLst>
            <a:ext uri="{FF2B5EF4-FFF2-40B4-BE49-F238E27FC236}">
              <a16:creationId xmlns:a16="http://schemas.microsoft.com/office/drawing/2014/main" id="{B3CB54EA-2A59-40D5-8C99-7E5DF135E293}"/>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70</xdr:row>
      <xdr:rowOff>275691</xdr:rowOff>
    </xdr:to>
    <xdr:sp macro="" textlink="">
      <xdr:nvSpPr>
        <xdr:cNvPr id="258314" name="Text Box 266" hidden="1">
          <a:extLst>
            <a:ext uri="{FF2B5EF4-FFF2-40B4-BE49-F238E27FC236}">
              <a16:creationId xmlns:a16="http://schemas.microsoft.com/office/drawing/2014/main" id="{D3B3C904-EF4E-44AC-A16C-A0A8D02A4934}"/>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68698</xdr:rowOff>
    </xdr:from>
    <xdr:to>
      <xdr:col>5</xdr:col>
      <xdr:colOff>105335</xdr:colOff>
      <xdr:row>90</xdr:row>
      <xdr:rowOff>134515</xdr:rowOff>
    </xdr:to>
    <xdr:sp macro="" textlink="">
      <xdr:nvSpPr>
        <xdr:cNvPr id="258313" name="Text Box 265" hidden="1">
          <a:extLst>
            <a:ext uri="{FF2B5EF4-FFF2-40B4-BE49-F238E27FC236}">
              <a16:creationId xmlns:a16="http://schemas.microsoft.com/office/drawing/2014/main" id="{BAE4ACE5-DA18-49DF-83C5-ACFE37E5C0DC}"/>
            </a:ext>
          </a:extLst>
        </xdr:cNvPr>
        <xdr:cNvSpPr txBox="1">
          <a:spLocks noChangeArrowheads="1"/>
        </xdr:cNvSpPr>
      </xdr:nvSpPr>
      <xdr:spPr bwMode="auto">
        <a:xfrm>
          <a:off x="4008120" y="1993392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67967</xdr:rowOff>
    </xdr:from>
    <xdr:to>
      <xdr:col>5</xdr:col>
      <xdr:colOff>105335</xdr:colOff>
      <xdr:row>117</xdr:row>
      <xdr:rowOff>63928</xdr:rowOff>
    </xdr:to>
    <xdr:sp macro="" textlink="">
      <xdr:nvSpPr>
        <xdr:cNvPr id="258312" name="Text Box 264" hidden="1">
          <a:extLst>
            <a:ext uri="{FF2B5EF4-FFF2-40B4-BE49-F238E27FC236}">
              <a16:creationId xmlns:a16="http://schemas.microsoft.com/office/drawing/2014/main" id="{459988BC-128D-439E-B568-36FDFE266D1A}"/>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67967</xdr:rowOff>
    </xdr:from>
    <xdr:to>
      <xdr:col>5</xdr:col>
      <xdr:colOff>105335</xdr:colOff>
      <xdr:row>117</xdr:row>
      <xdr:rowOff>63928</xdr:rowOff>
    </xdr:to>
    <xdr:sp macro="" textlink="">
      <xdr:nvSpPr>
        <xdr:cNvPr id="258311" name="Text Box 263" hidden="1">
          <a:extLst>
            <a:ext uri="{FF2B5EF4-FFF2-40B4-BE49-F238E27FC236}">
              <a16:creationId xmlns:a16="http://schemas.microsoft.com/office/drawing/2014/main" id="{2C8698CA-D1B9-46F6-A441-EE6B56F7EAD6}"/>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310" name="Text Box 262" hidden="1">
          <a:extLst>
            <a:ext uri="{FF2B5EF4-FFF2-40B4-BE49-F238E27FC236}">
              <a16:creationId xmlns:a16="http://schemas.microsoft.com/office/drawing/2014/main" id="{83E6D148-DF3D-41C0-A36F-51C8E8F7B89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27335</xdr:rowOff>
    </xdr:from>
    <xdr:to>
      <xdr:col>5</xdr:col>
      <xdr:colOff>287804</xdr:colOff>
      <xdr:row>191</xdr:row>
      <xdr:rowOff>145763</xdr:rowOff>
    </xdr:to>
    <xdr:sp macro="" textlink="">
      <xdr:nvSpPr>
        <xdr:cNvPr id="258392" name="Text Box 344" hidden="1">
          <a:extLst>
            <a:ext uri="{FF2B5EF4-FFF2-40B4-BE49-F238E27FC236}">
              <a16:creationId xmlns:a16="http://schemas.microsoft.com/office/drawing/2014/main" id="{F9D91C0E-FA1C-463F-9760-3BAA835C7A51}"/>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391" name="Text Box 343" hidden="1">
          <a:extLst>
            <a:ext uri="{FF2B5EF4-FFF2-40B4-BE49-F238E27FC236}">
              <a16:creationId xmlns:a16="http://schemas.microsoft.com/office/drawing/2014/main" id="{8D99B8FD-C40D-43DC-A466-55EE74D0266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390" name="Text Box 342" hidden="1">
          <a:extLst>
            <a:ext uri="{FF2B5EF4-FFF2-40B4-BE49-F238E27FC236}">
              <a16:creationId xmlns:a16="http://schemas.microsoft.com/office/drawing/2014/main" id="{9445F5C6-BD76-4C06-AE57-482F4710064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105335</xdr:colOff>
      <xdr:row>53</xdr:row>
      <xdr:rowOff>246283</xdr:rowOff>
    </xdr:to>
    <xdr:sp macro="" textlink="">
      <xdr:nvSpPr>
        <xdr:cNvPr id="258389" name="Text Box 341" hidden="1">
          <a:extLst>
            <a:ext uri="{FF2B5EF4-FFF2-40B4-BE49-F238E27FC236}">
              <a16:creationId xmlns:a16="http://schemas.microsoft.com/office/drawing/2014/main" id="{474D2EC0-3688-42F6-9D26-BC0605DA010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105335</xdr:colOff>
      <xdr:row>53</xdr:row>
      <xdr:rowOff>207623</xdr:rowOff>
    </xdr:to>
    <xdr:sp macro="" textlink="">
      <xdr:nvSpPr>
        <xdr:cNvPr id="258388" name="Text Box 340" hidden="1">
          <a:extLst>
            <a:ext uri="{FF2B5EF4-FFF2-40B4-BE49-F238E27FC236}">
              <a16:creationId xmlns:a16="http://schemas.microsoft.com/office/drawing/2014/main" id="{48AA3492-E43B-4074-9FCB-C05EB637F9CD}"/>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465605</xdr:rowOff>
    </xdr:from>
    <xdr:to>
      <xdr:col>5</xdr:col>
      <xdr:colOff>105335</xdr:colOff>
      <xdr:row>54</xdr:row>
      <xdr:rowOff>341789</xdr:rowOff>
    </xdr:to>
    <xdr:sp macro="" textlink="">
      <xdr:nvSpPr>
        <xdr:cNvPr id="258387" name="Text Box 339" hidden="1">
          <a:extLst>
            <a:ext uri="{FF2B5EF4-FFF2-40B4-BE49-F238E27FC236}">
              <a16:creationId xmlns:a16="http://schemas.microsoft.com/office/drawing/2014/main" id="{6F023A5C-3207-41D8-A6A0-BBBEEDFFA4F4}"/>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86353</xdr:rowOff>
    </xdr:from>
    <xdr:to>
      <xdr:col>5</xdr:col>
      <xdr:colOff>105335</xdr:colOff>
      <xdr:row>67</xdr:row>
      <xdr:rowOff>144035</xdr:rowOff>
    </xdr:to>
    <xdr:sp macro="" textlink="">
      <xdr:nvSpPr>
        <xdr:cNvPr id="258386" name="Text Box 338" hidden="1">
          <a:extLst>
            <a:ext uri="{FF2B5EF4-FFF2-40B4-BE49-F238E27FC236}">
              <a16:creationId xmlns:a16="http://schemas.microsoft.com/office/drawing/2014/main" id="{1781E0D6-F3A7-4861-8132-C29DC2D22C2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70</xdr:row>
      <xdr:rowOff>87538</xdr:rowOff>
    </xdr:to>
    <xdr:sp macro="" textlink="">
      <xdr:nvSpPr>
        <xdr:cNvPr id="258385" name="Text Box 337" hidden="1">
          <a:extLst>
            <a:ext uri="{FF2B5EF4-FFF2-40B4-BE49-F238E27FC236}">
              <a16:creationId xmlns:a16="http://schemas.microsoft.com/office/drawing/2014/main" id="{D3E0A834-614B-445E-AD19-9893272DF7AA}"/>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275691</xdr:rowOff>
    </xdr:to>
    <xdr:sp macro="" textlink="">
      <xdr:nvSpPr>
        <xdr:cNvPr id="258384" name="Text Box 336" hidden="1">
          <a:extLst>
            <a:ext uri="{FF2B5EF4-FFF2-40B4-BE49-F238E27FC236}">
              <a16:creationId xmlns:a16="http://schemas.microsoft.com/office/drawing/2014/main" id="{B5C86514-3011-4B18-8648-060B9029C1AE}"/>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70</xdr:row>
      <xdr:rowOff>275691</xdr:rowOff>
    </xdr:to>
    <xdr:sp macro="" textlink="">
      <xdr:nvSpPr>
        <xdr:cNvPr id="258383" name="Text Box 335" hidden="1">
          <a:extLst>
            <a:ext uri="{FF2B5EF4-FFF2-40B4-BE49-F238E27FC236}">
              <a16:creationId xmlns:a16="http://schemas.microsoft.com/office/drawing/2014/main" id="{FDC0DC96-5065-49C7-891B-A85D19BC6E09}"/>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45020</xdr:rowOff>
    </xdr:from>
    <xdr:to>
      <xdr:col>5</xdr:col>
      <xdr:colOff>105335</xdr:colOff>
      <xdr:row>189</xdr:row>
      <xdr:rowOff>45573</xdr:rowOff>
    </xdr:to>
    <xdr:sp macro="" textlink="">
      <xdr:nvSpPr>
        <xdr:cNvPr id="258382" name="Text Box 334" hidden="1">
          <a:extLst>
            <a:ext uri="{FF2B5EF4-FFF2-40B4-BE49-F238E27FC236}">
              <a16:creationId xmlns:a16="http://schemas.microsoft.com/office/drawing/2014/main" id="{64FA9965-80AF-4746-BD4F-6F8823742716}"/>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381" name="Text Box 333" hidden="1">
          <a:extLst>
            <a:ext uri="{FF2B5EF4-FFF2-40B4-BE49-F238E27FC236}">
              <a16:creationId xmlns:a16="http://schemas.microsoft.com/office/drawing/2014/main" id="{EA997BC3-63DB-4612-93EF-BEC5201EBE4C}"/>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380" name="Text Box 332" hidden="1">
          <a:extLst>
            <a:ext uri="{FF2B5EF4-FFF2-40B4-BE49-F238E27FC236}">
              <a16:creationId xmlns:a16="http://schemas.microsoft.com/office/drawing/2014/main" id="{9E87E258-D3AB-4908-AB19-41C54D3BCA39}"/>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379" name="Text Box 331" hidden="1">
          <a:extLst>
            <a:ext uri="{FF2B5EF4-FFF2-40B4-BE49-F238E27FC236}">
              <a16:creationId xmlns:a16="http://schemas.microsoft.com/office/drawing/2014/main" id="{2829A2AE-BA6F-400A-8761-4BD58E0E00F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26</xdr:row>
      <xdr:rowOff>45424</xdr:rowOff>
    </xdr:from>
    <xdr:to>
      <xdr:col>18</xdr:col>
      <xdr:colOff>238221</xdr:colOff>
      <xdr:row>30</xdr:row>
      <xdr:rowOff>103281</xdr:rowOff>
    </xdr:to>
    <xdr:sp macro="" textlink="">
      <xdr:nvSpPr>
        <xdr:cNvPr id="258378" name="Text Box 330" hidden="1">
          <a:extLst>
            <a:ext uri="{FF2B5EF4-FFF2-40B4-BE49-F238E27FC236}">
              <a16:creationId xmlns:a16="http://schemas.microsoft.com/office/drawing/2014/main" id="{E6AD59E2-CB61-4AB9-BA8E-0F291CFDB759}"/>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95</xdr:row>
      <xdr:rowOff>228856</xdr:rowOff>
    </xdr:from>
    <xdr:to>
      <xdr:col>5</xdr:col>
      <xdr:colOff>114225</xdr:colOff>
      <xdr:row>97</xdr:row>
      <xdr:rowOff>30797</xdr:rowOff>
    </xdr:to>
    <xdr:sp macro="" textlink="">
      <xdr:nvSpPr>
        <xdr:cNvPr id="258377" name="Text Box 329" hidden="1">
          <a:extLst>
            <a:ext uri="{FF2B5EF4-FFF2-40B4-BE49-F238E27FC236}">
              <a16:creationId xmlns:a16="http://schemas.microsoft.com/office/drawing/2014/main" id="{A5073BB7-4AFF-442B-B408-04E61E811D7C}"/>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96</xdr:row>
      <xdr:rowOff>133193</xdr:rowOff>
    </xdr:from>
    <xdr:to>
      <xdr:col>5</xdr:col>
      <xdr:colOff>114225</xdr:colOff>
      <xdr:row>98</xdr:row>
      <xdr:rowOff>106717</xdr:rowOff>
    </xdr:to>
    <xdr:sp macro="" textlink="">
      <xdr:nvSpPr>
        <xdr:cNvPr id="258376" name="Text Box 328" hidden="1">
          <a:extLst>
            <a:ext uri="{FF2B5EF4-FFF2-40B4-BE49-F238E27FC236}">
              <a16:creationId xmlns:a16="http://schemas.microsoft.com/office/drawing/2014/main" id="{15551FA0-B281-4B8A-9B10-00E8C8EF5CDA}"/>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97</xdr:row>
      <xdr:rowOff>123236</xdr:rowOff>
    </xdr:from>
    <xdr:to>
      <xdr:col>5</xdr:col>
      <xdr:colOff>114225</xdr:colOff>
      <xdr:row>101</xdr:row>
      <xdr:rowOff>133747</xdr:rowOff>
    </xdr:to>
    <xdr:sp macro="" textlink="">
      <xdr:nvSpPr>
        <xdr:cNvPr id="258375" name="Text Box 327" hidden="1">
          <a:extLst>
            <a:ext uri="{FF2B5EF4-FFF2-40B4-BE49-F238E27FC236}">
              <a16:creationId xmlns:a16="http://schemas.microsoft.com/office/drawing/2014/main" id="{BDBB6CDE-9E86-474E-8A4A-7282FD671C3A}"/>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98</xdr:row>
      <xdr:rowOff>65350</xdr:rowOff>
    </xdr:from>
    <xdr:to>
      <xdr:col>5</xdr:col>
      <xdr:colOff>114225</xdr:colOff>
      <xdr:row>102</xdr:row>
      <xdr:rowOff>124018</xdr:rowOff>
    </xdr:to>
    <xdr:sp macro="" textlink="">
      <xdr:nvSpPr>
        <xdr:cNvPr id="258374" name="Text Box 326" hidden="1">
          <a:extLst>
            <a:ext uri="{FF2B5EF4-FFF2-40B4-BE49-F238E27FC236}">
              <a16:creationId xmlns:a16="http://schemas.microsoft.com/office/drawing/2014/main" id="{BEFA97BE-E4FE-4A6E-A3D1-0CF97C3691EA}"/>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87</xdr:row>
      <xdr:rowOff>48409</xdr:rowOff>
    </xdr:from>
    <xdr:to>
      <xdr:col>5</xdr:col>
      <xdr:colOff>114225</xdr:colOff>
      <xdr:row>91</xdr:row>
      <xdr:rowOff>106067</xdr:rowOff>
    </xdr:to>
    <xdr:sp macro="" textlink="">
      <xdr:nvSpPr>
        <xdr:cNvPr id="258373" name="Text Box 325" hidden="1">
          <a:extLst>
            <a:ext uri="{FF2B5EF4-FFF2-40B4-BE49-F238E27FC236}">
              <a16:creationId xmlns:a16="http://schemas.microsoft.com/office/drawing/2014/main" id="{25712CCA-A158-49CB-90A5-81A51961E797}"/>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88</xdr:row>
      <xdr:rowOff>58103</xdr:rowOff>
    </xdr:from>
    <xdr:to>
      <xdr:col>5</xdr:col>
      <xdr:colOff>114225</xdr:colOff>
      <xdr:row>92</xdr:row>
      <xdr:rowOff>58957</xdr:rowOff>
    </xdr:to>
    <xdr:sp macro="" textlink="">
      <xdr:nvSpPr>
        <xdr:cNvPr id="258372" name="Text Box 324" hidden="1">
          <a:extLst>
            <a:ext uri="{FF2B5EF4-FFF2-40B4-BE49-F238E27FC236}">
              <a16:creationId xmlns:a16="http://schemas.microsoft.com/office/drawing/2014/main" id="{88CF8391-6588-423B-BC41-825C81231375}"/>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89</xdr:row>
      <xdr:rowOff>65856</xdr:rowOff>
    </xdr:from>
    <xdr:to>
      <xdr:col>5</xdr:col>
      <xdr:colOff>114225</xdr:colOff>
      <xdr:row>93</xdr:row>
      <xdr:rowOff>96391</xdr:rowOff>
    </xdr:to>
    <xdr:sp macro="" textlink="">
      <xdr:nvSpPr>
        <xdr:cNvPr id="258371" name="Text Box 323" hidden="1">
          <a:extLst>
            <a:ext uri="{FF2B5EF4-FFF2-40B4-BE49-F238E27FC236}">
              <a16:creationId xmlns:a16="http://schemas.microsoft.com/office/drawing/2014/main" id="{059F1E44-AA2C-4792-B8C9-7444CB7ADFD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90</xdr:row>
      <xdr:rowOff>39089</xdr:rowOff>
    </xdr:from>
    <xdr:to>
      <xdr:col>5</xdr:col>
      <xdr:colOff>114225</xdr:colOff>
      <xdr:row>94</xdr:row>
      <xdr:rowOff>76960</xdr:rowOff>
    </xdr:to>
    <xdr:sp macro="" textlink="">
      <xdr:nvSpPr>
        <xdr:cNvPr id="258370" name="Text Box 322" hidden="1">
          <a:extLst>
            <a:ext uri="{FF2B5EF4-FFF2-40B4-BE49-F238E27FC236}">
              <a16:creationId xmlns:a16="http://schemas.microsoft.com/office/drawing/2014/main" id="{BD04BDA4-B5E8-4F8D-88A9-78987995F233}"/>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27335</xdr:rowOff>
    </xdr:from>
    <xdr:to>
      <xdr:col>5</xdr:col>
      <xdr:colOff>287804</xdr:colOff>
      <xdr:row>191</xdr:row>
      <xdr:rowOff>145763</xdr:rowOff>
    </xdr:to>
    <xdr:sp macro="" textlink="">
      <xdr:nvSpPr>
        <xdr:cNvPr id="258369" name="Text Box 321" hidden="1">
          <a:extLst>
            <a:ext uri="{FF2B5EF4-FFF2-40B4-BE49-F238E27FC236}">
              <a16:creationId xmlns:a16="http://schemas.microsoft.com/office/drawing/2014/main" id="{67F15A34-BCD8-4AB3-AC34-6E9F55767695}"/>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368" name="Text Box 320" hidden="1">
          <a:extLst>
            <a:ext uri="{FF2B5EF4-FFF2-40B4-BE49-F238E27FC236}">
              <a16:creationId xmlns:a16="http://schemas.microsoft.com/office/drawing/2014/main" id="{92CF7599-8095-45A7-8515-B88FA5BCB78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367" name="Text Box 319" hidden="1">
          <a:extLst>
            <a:ext uri="{FF2B5EF4-FFF2-40B4-BE49-F238E27FC236}">
              <a16:creationId xmlns:a16="http://schemas.microsoft.com/office/drawing/2014/main" id="{633F0370-FFD8-465C-A900-8F128120F86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105335</xdr:colOff>
      <xdr:row>53</xdr:row>
      <xdr:rowOff>246283</xdr:rowOff>
    </xdr:to>
    <xdr:sp macro="" textlink="">
      <xdr:nvSpPr>
        <xdr:cNvPr id="258366" name="Text Box 318" hidden="1">
          <a:extLst>
            <a:ext uri="{FF2B5EF4-FFF2-40B4-BE49-F238E27FC236}">
              <a16:creationId xmlns:a16="http://schemas.microsoft.com/office/drawing/2014/main" id="{F988E25E-CC29-478C-B77F-0C10E80CC840}"/>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105335</xdr:colOff>
      <xdr:row>53</xdr:row>
      <xdr:rowOff>207623</xdr:rowOff>
    </xdr:to>
    <xdr:sp macro="" textlink="">
      <xdr:nvSpPr>
        <xdr:cNvPr id="258365" name="Text Box 317" hidden="1">
          <a:extLst>
            <a:ext uri="{FF2B5EF4-FFF2-40B4-BE49-F238E27FC236}">
              <a16:creationId xmlns:a16="http://schemas.microsoft.com/office/drawing/2014/main" id="{BDE439F8-1CF0-46B0-A293-1E068CD760B1}"/>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465605</xdr:rowOff>
    </xdr:from>
    <xdr:to>
      <xdr:col>5</xdr:col>
      <xdr:colOff>105335</xdr:colOff>
      <xdr:row>54</xdr:row>
      <xdr:rowOff>341789</xdr:rowOff>
    </xdr:to>
    <xdr:sp macro="" textlink="">
      <xdr:nvSpPr>
        <xdr:cNvPr id="258364" name="Text Box 316" hidden="1">
          <a:extLst>
            <a:ext uri="{FF2B5EF4-FFF2-40B4-BE49-F238E27FC236}">
              <a16:creationId xmlns:a16="http://schemas.microsoft.com/office/drawing/2014/main" id="{A7D6315B-E7CC-4850-BAA0-7490BBCC8041}"/>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86353</xdr:rowOff>
    </xdr:from>
    <xdr:to>
      <xdr:col>5</xdr:col>
      <xdr:colOff>105335</xdr:colOff>
      <xdr:row>67</xdr:row>
      <xdr:rowOff>144035</xdr:rowOff>
    </xdr:to>
    <xdr:sp macro="" textlink="">
      <xdr:nvSpPr>
        <xdr:cNvPr id="258363" name="Text Box 315" hidden="1">
          <a:extLst>
            <a:ext uri="{FF2B5EF4-FFF2-40B4-BE49-F238E27FC236}">
              <a16:creationId xmlns:a16="http://schemas.microsoft.com/office/drawing/2014/main" id="{CF8B3440-74F0-4C5B-8F61-5FC3B15D4B3E}"/>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70</xdr:row>
      <xdr:rowOff>87538</xdr:rowOff>
    </xdr:to>
    <xdr:sp macro="" textlink="">
      <xdr:nvSpPr>
        <xdr:cNvPr id="258362" name="Text Box 314" hidden="1">
          <a:extLst>
            <a:ext uri="{FF2B5EF4-FFF2-40B4-BE49-F238E27FC236}">
              <a16:creationId xmlns:a16="http://schemas.microsoft.com/office/drawing/2014/main" id="{203C464C-9BF5-448A-961E-2B17E95AE482}"/>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275691</xdr:rowOff>
    </xdr:to>
    <xdr:sp macro="" textlink="">
      <xdr:nvSpPr>
        <xdr:cNvPr id="258361" name="Text Box 313" hidden="1">
          <a:extLst>
            <a:ext uri="{FF2B5EF4-FFF2-40B4-BE49-F238E27FC236}">
              <a16:creationId xmlns:a16="http://schemas.microsoft.com/office/drawing/2014/main" id="{F026A163-DDF7-44DC-A147-755DD18FA49F}"/>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70</xdr:row>
      <xdr:rowOff>275691</xdr:rowOff>
    </xdr:to>
    <xdr:sp macro="" textlink="">
      <xdr:nvSpPr>
        <xdr:cNvPr id="258360" name="Text Box 312" hidden="1">
          <a:extLst>
            <a:ext uri="{FF2B5EF4-FFF2-40B4-BE49-F238E27FC236}">
              <a16:creationId xmlns:a16="http://schemas.microsoft.com/office/drawing/2014/main" id="{D5F12C2E-C06A-4C09-9E83-EEE556EAD26C}"/>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45020</xdr:rowOff>
    </xdr:from>
    <xdr:to>
      <xdr:col>5</xdr:col>
      <xdr:colOff>105335</xdr:colOff>
      <xdr:row>189</xdr:row>
      <xdr:rowOff>45573</xdr:rowOff>
    </xdr:to>
    <xdr:sp macro="" textlink="">
      <xdr:nvSpPr>
        <xdr:cNvPr id="258359" name="Text Box 311" hidden="1">
          <a:extLst>
            <a:ext uri="{FF2B5EF4-FFF2-40B4-BE49-F238E27FC236}">
              <a16:creationId xmlns:a16="http://schemas.microsoft.com/office/drawing/2014/main" id="{9E232606-1C3A-43FA-8BE9-0A82D6532280}"/>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358" name="Text Box 310" hidden="1">
          <a:extLst>
            <a:ext uri="{FF2B5EF4-FFF2-40B4-BE49-F238E27FC236}">
              <a16:creationId xmlns:a16="http://schemas.microsoft.com/office/drawing/2014/main" id="{2DC15A36-7ECD-4B4E-8181-02A3915D69AE}"/>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357" name="Text Box 309" hidden="1">
          <a:extLst>
            <a:ext uri="{FF2B5EF4-FFF2-40B4-BE49-F238E27FC236}">
              <a16:creationId xmlns:a16="http://schemas.microsoft.com/office/drawing/2014/main" id="{12451A23-8065-47C5-9AB3-90A3D17855B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356" name="Text Box 308" hidden="1">
          <a:extLst>
            <a:ext uri="{FF2B5EF4-FFF2-40B4-BE49-F238E27FC236}">
              <a16:creationId xmlns:a16="http://schemas.microsoft.com/office/drawing/2014/main" id="{45BF7731-56C5-4A9B-9549-ACA07095F0E1}"/>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26</xdr:row>
      <xdr:rowOff>45424</xdr:rowOff>
    </xdr:from>
    <xdr:to>
      <xdr:col>18</xdr:col>
      <xdr:colOff>238221</xdr:colOff>
      <xdr:row>30</xdr:row>
      <xdr:rowOff>103281</xdr:rowOff>
    </xdr:to>
    <xdr:sp macro="" textlink="">
      <xdr:nvSpPr>
        <xdr:cNvPr id="258355" name="Text Box 307" hidden="1">
          <a:extLst>
            <a:ext uri="{FF2B5EF4-FFF2-40B4-BE49-F238E27FC236}">
              <a16:creationId xmlns:a16="http://schemas.microsoft.com/office/drawing/2014/main" id="{B86ACBC0-131D-4ABF-BBC0-F3695A121558}"/>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95</xdr:row>
      <xdr:rowOff>228856</xdr:rowOff>
    </xdr:from>
    <xdr:to>
      <xdr:col>5</xdr:col>
      <xdr:colOff>114225</xdr:colOff>
      <xdr:row>97</xdr:row>
      <xdr:rowOff>30797</xdr:rowOff>
    </xdr:to>
    <xdr:sp macro="" textlink="">
      <xdr:nvSpPr>
        <xdr:cNvPr id="258354" name="Text Box 306" hidden="1">
          <a:extLst>
            <a:ext uri="{FF2B5EF4-FFF2-40B4-BE49-F238E27FC236}">
              <a16:creationId xmlns:a16="http://schemas.microsoft.com/office/drawing/2014/main" id="{EF8D2591-1797-4250-9DCF-6EE4DF650F48}"/>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96</xdr:row>
      <xdr:rowOff>133193</xdr:rowOff>
    </xdr:from>
    <xdr:to>
      <xdr:col>5</xdr:col>
      <xdr:colOff>114225</xdr:colOff>
      <xdr:row>98</xdr:row>
      <xdr:rowOff>106717</xdr:rowOff>
    </xdr:to>
    <xdr:sp macro="" textlink="">
      <xdr:nvSpPr>
        <xdr:cNvPr id="258353" name="Text Box 305" hidden="1">
          <a:extLst>
            <a:ext uri="{FF2B5EF4-FFF2-40B4-BE49-F238E27FC236}">
              <a16:creationId xmlns:a16="http://schemas.microsoft.com/office/drawing/2014/main" id="{C792FC1B-4B44-4AA4-9DC5-4C639F77A9C8}"/>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97</xdr:row>
      <xdr:rowOff>123236</xdr:rowOff>
    </xdr:from>
    <xdr:to>
      <xdr:col>5</xdr:col>
      <xdr:colOff>114225</xdr:colOff>
      <xdr:row>101</xdr:row>
      <xdr:rowOff>133747</xdr:rowOff>
    </xdr:to>
    <xdr:sp macro="" textlink="">
      <xdr:nvSpPr>
        <xdr:cNvPr id="258352" name="Text Box 304" hidden="1">
          <a:extLst>
            <a:ext uri="{FF2B5EF4-FFF2-40B4-BE49-F238E27FC236}">
              <a16:creationId xmlns:a16="http://schemas.microsoft.com/office/drawing/2014/main" id="{24B11DB6-3016-4050-B70F-DD8EA2BD24E9}"/>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98</xdr:row>
      <xdr:rowOff>65350</xdr:rowOff>
    </xdr:from>
    <xdr:to>
      <xdr:col>5</xdr:col>
      <xdr:colOff>114225</xdr:colOff>
      <xdr:row>102</xdr:row>
      <xdr:rowOff>124018</xdr:rowOff>
    </xdr:to>
    <xdr:sp macro="" textlink="">
      <xdr:nvSpPr>
        <xdr:cNvPr id="258351" name="Text Box 303" hidden="1">
          <a:extLst>
            <a:ext uri="{FF2B5EF4-FFF2-40B4-BE49-F238E27FC236}">
              <a16:creationId xmlns:a16="http://schemas.microsoft.com/office/drawing/2014/main" id="{E4476597-BF3F-48E7-91F2-CD38D90D49D1}"/>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87</xdr:row>
      <xdr:rowOff>48409</xdr:rowOff>
    </xdr:from>
    <xdr:to>
      <xdr:col>5</xdr:col>
      <xdr:colOff>114225</xdr:colOff>
      <xdr:row>91</xdr:row>
      <xdr:rowOff>106067</xdr:rowOff>
    </xdr:to>
    <xdr:sp macro="" textlink="">
      <xdr:nvSpPr>
        <xdr:cNvPr id="258350" name="Text Box 302" hidden="1">
          <a:extLst>
            <a:ext uri="{FF2B5EF4-FFF2-40B4-BE49-F238E27FC236}">
              <a16:creationId xmlns:a16="http://schemas.microsoft.com/office/drawing/2014/main" id="{4E48A858-4A68-4447-8227-ABF43682C5E0}"/>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88</xdr:row>
      <xdr:rowOff>58103</xdr:rowOff>
    </xdr:from>
    <xdr:to>
      <xdr:col>5</xdr:col>
      <xdr:colOff>114225</xdr:colOff>
      <xdr:row>92</xdr:row>
      <xdr:rowOff>58957</xdr:rowOff>
    </xdr:to>
    <xdr:sp macro="" textlink="">
      <xdr:nvSpPr>
        <xdr:cNvPr id="258349" name="Text Box 301" hidden="1">
          <a:extLst>
            <a:ext uri="{FF2B5EF4-FFF2-40B4-BE49-F238E27FC236}">
              <a16:creationId xmlns:a16="http://schemas.microsoft.com/office/drawing/2014/main" id="{77F76480-31A8-4C85-855A-E487970BC13C}"/>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89</xdr:row>
      <xdr:rowOff>65856</xdr:rowOff>
    </xdr:from>
    <xdr:to>
      <xdr:col>5</xdr:col>
      <xdr:colOff>114225</xdr:colOff>
      <xdr:row>93</xdr:row>
      <xdr:rowOff>96391</xdr:rowOff>
    </xdr:to>
    <xdr:sp macro="" textlink="">
      <xdr:nvSpPr>
        <xdr:cNvPr id="258348" name="Text Box 300" hidden="1">
          <a:extLst>
            <a:ext uri="{FF2B5EF4-FFF2-40B4-BE49-F238E27FC236}">
              <a16:creationId xmlns:a16="http://schemas.microsoft.com/office/drawing/2014/main" id="{EA3D5DF6-30E4-4F88-8DDD-D464096E797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90</xdr:row>
      <xdr:rowOff>39089</xdr:rowOff>
    </xdr:from>
    <xdr:to>
      <xdr:col>5</xdr:col>
      <xdr:colOff>114225</xdr:colOff>
      <xdr:row>94</xdr:row>
      <xdr:rowOff>76960</xdr:rowOff>
    </xdr:to>
    <xdr:sp macro="" textlink="">
      <xdr:nvSpPr>
        <xdr:cNvPr id="258347" name="Text Box 299" hidden="1">
          <a:extLst>
            <a:ext uri="{FF2B5EF4-FFF2-40B4-BE49-F238E27FC236}">
              <a16:creationId xmlns:a16="http://schemas.microsoft.com/office/drawing/2014/main" id="{0882AE3B-FB21-42BD-B40E-3E06C3809332}"/>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27335</xdr:rowOff>
    </xdr:from>
    <xdr:to>
      <xdr:col>5</xdr:col>
      <xdr:colOff>287804</xdr:colOff>
      <xdr:row>191</xdr:row>
      <xdr:rowOff>145763</xdr:rowOff>
    </xdr:to>
    <xdr:sp macro="" textlink="">
      <xdr:nvSpPr>
        <xdr:cNvPr id="258337" name="Text Box 289" hidden="1">
          <a:extLst>
            <a:ext uri="{FF2B5EF4-FFF2-40B4-BE49-F238E27FC236}">
              <a16:creationId xmlns:a16="http://schemas.microsoft.com/office/drawing/2014/main" id="{4AC14EC7-D192-49E4-A146-0ED7F50B8F58}"/>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336" name="Text Box 288" hidden="1">
          <a:extLst>
            <a:ext uri="{FF2B5EF4-FFF2-40B4-BE49-F238E27FC236}">
              <a16:creationId xmlns:a16="http://schemas.microsoft.com/office/drawing/2014/main" id="{3D704F4B-35BC-4AE2-B9FF-BBEEEEAB5BFA}"/>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335" name="Text Box 287" hidden="1">
          <a:extLst>
            <a:ext uri="{FF2B5EF4-FFF2-40B4-BE49-F238E27FC236}">
              <a16:creationId xmlns:a16="http://schemas.microsoft.com/office/drawing/2014/main" id="{DA6FA2FF-A644-441E-A3F6-994568EB100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105335</xdr:colOff>
      <xdr:row>53</xdr:row>
      <xdr:rowOff>246283</xdr:rowOff>
    </xdr:to>
    <xdr:sp macro="" textlink="">
      <xdr:nvSpPr>
        <xdr:cNvPr id="258334" name="Text Box 286" hidden="1">
          <a:extLst>
            <a:ext uri="{FF2B5EF4-FFF2-40B4-BE49-F238E27FC236}">
              <a16:creationId xmlns:a16="http://schemas.microsoft.com/office/drawing/2014/main" id="{BB1105A4-7653-43AC-81C9-56F32DE1BD81}"/>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105335</xdr:colOff>
      <xdr:row>53</xdr:row>
      <xdr:rowOff>207623</xdr:rowOff>
    </xdr:to>
    <xdr:sp macro="" textlink="">
      <xdr:nvSpPr>
        <xdr:cNvPr id="258333" name="Text Box 285" hidden="1">
          <a:extLst>
            <a:ext uri="{FF2B5EF4-FFF2-40B4-BE49-F238E27FC236}">
              <a16:creationId xmlns:a16="http://schemas.microsoft.com/office/drawing/2014/main" id="{95E17EE9-8C61-4CE7-8473-548A18E44FAF}"/>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465605</xdr:rowOff>
    </xdr:from>
    <xdr:to>
      <xdr:col>5</xdr:col>
      <xdr:colOff>105335</xdr:colOff>
      <xdr:row>54</xdr:row>
      <xdr:rowOff>341789</xdr:rowOff>
    </xdr:to>
    <xdr:sp macro="" textlink="">
      <xdr:nvSpPr>
        <xdr:cNvPr id="258332" name="Text Box 284" hidden="1">
          <a:extLst>
            <a:ext uri="{FF2B5EF4-FFF2-40B4-BE49-F238E27FC236}">
              <a16:creationId xmlns:a16="http://schemas.microsoft.com/office/drawing/2014/main" id="{D957B52A-4F3B-4281-A92D-005C3DE050EF}"/>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86353</xdr:rowOff>
    </xdr:from>
    <xdr:to>
      <xdr:col>5</xdr:col>
      <xdr:colOff>105335</xdr:colOff>
      <xdr:row>67</xdr:row>
      <xdr:rowOff>144035</xdr:rowOff>
    </xdr:to>
    <xdr:sp macro="" textlink="">
      <xdr:nvSpPr>
        <xdr:cNvPr id="258331" name="Text Box 283" hidden="1">
          <a:extLst>
            <a:ext uri="{FF2B5EF4-FFF2-40B4-BE49-F238E27FC236}">
              <a16:creationId xmlns:a16="http://schemas.microsoft.com/office/drawing/2014/main" id="{EB149AC4-363D-418C-9D73-048084F9E37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70</xdr:row>
      <xdr:rowOff>87538</xdr:rowOff>
    </xdr:to>
    <xdr:sp macro="" textlink="">
      <xdr:nvSpPr>
        <xdr:cNvPr id="258330" name="Text Box 282" hidden="1">
          <a:extLst>
            <a:ext uri="{FF2B5EF4-FFF2-40B4-BE49-F238E27FC236}">
              <a16:creationId xmlns:a16="http://schemas.microsoft.com/office/drawing/2014/main" id="{EA38855F-DE63-4E72-821C-BC033AC3AA3C}"/>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275691</xdr:rowOff>
    </xdr:to>
    <xdr:sp macro="" textlink="">
      <xdr:nvSpPr>
        <xdr:cNvPr id="258329" name="Text Box 281" hidden="1">
          <a:extLst>
            <a:ext uri="{FF2B5EF4-FFF2-40B4-BE49-F238E27FC236}">
              <a16:creationId xmlns:a16="http://schemas.microsoft.com/office/drawing/2014/main" id="{F9613853-5704-41FB-9F7D-DA8946C6A48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70</xdr:row>
      <xdr:rowOff>275691</xdr:rowOff>
    </xdr:to>
    <xdr:sp macro="" textlink="">
      <xdr:nvSpPr>
        <xdr:cNvPr id="258328" name="Text Box 280" hidden="1">
          <a:extLst>
            <a:ext uri="{FF2B5EF4-FFF2-40B4-BE49-F238E27FC236}">
              <a16:creationId xmlns:a16="http://schemas.microsoft.com/office/drawing/2014/main" id="{61433F9B-0BEF-44C0-9DBE-3CBBEF790E37}"/>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45020</xdr:rowOff>
    </xdr:from>
    <xdr:to>
      <xdr:col>5</xdr:col>
      <xdr:colOff>105335</xdr:colOff>
      <xdr:row>189</xdr:row>
      <xdr:rowOff>45573</xdr:rowOff>
    </xdr:to>
    <xdr:sp macro="" textlink="">
      <xdr:nvSpPr>
        <xdr:cNvPr id="258327" name="Text Box 279" hidden="1">
          <a:extLst>
            <a:ext uri="{FF2B5EF4-FFF2-40B4-BE49-F238E27FC236}">
              <a16:creationId xmlns:a16="http://schemas.microsoft.com/office/drawing/2014/main" id="{CD13DF43-0913-4B12-95B3-58D117B79F87}"/>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326" name="Text Box 278" hidden="1">
          <a:extLst>
            <a:ext uri="{FF2B5EF4-FFF2-40B4-BE49-F238E27FC236}">
              <a16:creationId xmlns:a16="http://schemas.microsoft.com/office/drawing/2014/main" id="{179597A6-0439-433F-A05B-522AC10FA33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325" name="Text Box 277" hidden="1">
          <a:extLst>
            <a:ext uri="{FF2B5EF4-FFF2-40B4-BE49-F238E27FC236}">
              <a16:creationId xmlns:a16="http://schemas.microsoft.com/office/drawing/2014/main" id="{348FDA4C-A76C-41B0-A994-41210319C35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324" name="Text Box 276" hidden="1">
          <a:extLst>
            <a:ext uri="{FF2B5EF4-FFF2-40B4-BE49-F238E27FC236}">
              <a16:creationId xmlns:a16="http://schemas.microsoft.com/office/drawing/2014/main" id="{4257807F-6444-4F52-8636-06783DDF69DB}"/>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26</xdr:row>
      <xdr:rowOff>45424</xdr:rowOff>
    </xdr:from>
    <xdr:to>
      <xdr:col>18</xdr:col>
      <xdr:colOff>238221</xdr:colOff>
      <xdr:row>30</xdr:row>
      <xdr:rowOff>103281</xdr:rowOff>
    </xdr:to>
    <xdr:sp macro="" textlink="">
      <xdr:nvSpPr>
        <xdr:cNvPr id="258338" name="Text Box 290" hidden="1">
          <a:extLst>
            <a:ext uri="{FF2B5EF4-FFF2-40B4-BE49-F238E27FC236}">
              <a16:creationId xmlns:a16="http://schemas.microsoft.com/office/drawing/2014/main" id="{BB8FA034-C1D5-418A-9CAD-7312C9C66EBB}"/>
            </a:ext>
          </a:extLst>
        </xdr:cNvPr>
        <xdr:cNvSpPr txBox="1">
          <a:spLocks noChangeArrowheads="1"/>
        </xdr:cNvSpPr>
      </xdr:nvSpPr>
      <xdr:spPr bwMode="auto">
        <a:xfrm>
          <a:off x="15377160" y="6088380"/>
          <a:ext cx="12801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95</xdr:row>
      <xdr:rowOff>228856</xdr:rowOff>
    </xdr:from>
    <xdr:to>
      <xdr:col>5</xdr:col>
      <xdr:colOff>114225</xdr:colOff>
      <xdr:row>97</xdr:row>
      <xdr:rowOff>30797</xdr:rowOff>
    </xdr:to>
    <xdr:sp macro="" textlink="">
      <xdr:nvSpPr>
        <xdr:cNvPr id="258339" name="Text Box 291" hidden="1">
          <a:extLst>
            <a:ext uri="{FF2B5EF4-FFF2-40B4-BE49-F238E27FC236}">
              <a16:creationId xmlns:a16="http://schemas.microsoft.com/office/drawing/2014/main" id="{755B1C05-CF81-467A-934A-272D424CC761}"/>
            </a:ext>
          </a:extLst>
        </xdr:cNvPr>
        <xdr:cNvSpPr txBox="1">
          <a:spLocks noChangeArrowheads="1"/>
        </xdr:cNvSpPr>
      </xdr:nvSpPr>
      <xdr:spPr bwMode="auto">
        <a:xfrm>
          <a:off x="3977640" y="21130260"/>
          <a:ext cx="1310640" cy="26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96</xdr:row>
      <xdr:rowOff>133193</xdr:rowOff>
    </xdr:from>
    <xdr:to>
      <xdr:col>5</xdr:col>
      <xdr:colOff>114225</xdr:colOff>
      <xdr:row>98</xdr:row>
      <xdr:rowOff>106717</xdr:rowOff>
    </xdr:to>
    <xdr:sp macro="" textlink="">
      <xdr:nvSpPr>
        <xdr:cNvPr id="258340" name="Text Box 292" hidden="1">
          <a:extLst>
            <a:ext uri="{FF2B5EF4-FFF2-40B4-BE49-F238E27FC236}">
              <a16:creationId xmlns:a16="http://schemas.microsoft.com/office/drawing/2014/main" id="{4DC7C797-B0AD-4D8D-A853-2BF5EA49EF8C}"/>
            </a:ext>
          </a:extLst>
        </xdr:cNvPr>
        <xdr:cNvSpPr txBox="1">
          <a:spLocks noChangeArrowheads="1"/>
        </xdr:cNvSpPr>
      </xdr:nvSpPr>
      <xdr:spPr bwMode="auto">
        <a:xfrm>
          <a:off x="3977640" y="21313140"/>
          <a:ext cx="1310640" cy="45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97</xdr:row>
      <xdr:rowOff>123236</xdr:rowOff>
    </xdr:from>
    <xdr:to>
      <xdr:col>5</xdr:col>
      <xdr:colOff>114225</xdr:colOff>
      <xdr:row>101</xdr:row>
      <xdr:rowOff>133747</xdr:rowOff>
    </xdr:to>
    <xdr:sp macro="" textlink="">
      <xdr:nvSpPr>
        <xdr:cNvPr id="258341" name="Text Box 293" hidden="1">
          <a:extLst>
            <a:ext uri="{FF2B5EF4-FFF2-40B4-BE49-F238E27FC236}">
              <a16:creationId xmlns:a16="http://schemas.microsoft.com/office/drawing/2014/main" id="{5727F1EE-CAEB-4385-9AE9-44B7128C6D1C}"/>
            </a:ext>
          </a:extLst>
        </xdr:cNvPr>
        <xdr:cNvSpPr txBox="1">
          <a:spLocks noChangeArrowheads="1"/>
        </xdr:cNvSpPr>
      </xdr:nvSpPr>
      <xdr:spPr bwMode="auto">
        <a:xfrm>
          <a:off x="3977640" y="215112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98</xdr:row>
      <xdr:rowOff>65350</xdr:rowOff>
    </xdr:from>
    <xdr:to>
      <xdr:col>5</xdr:col>
      <xdr:colOff>114225</xdr:colOff>
      <xdr:row>102</xdr:row>
      <xdr:rowOff>124018</xdr:rowOff>
    </xdr:to>
    <xdr:sp macro="" textlink="">
      <xdr:nvSpPr>
        <xdr:cNvPr id="258342" name="Text Box 294" hidden="1">
          <a:extLst>
            <a:ext uri="{FF2B5EF4-FFF2-40B4-BE49-F238E27FC236}">
              <a16:creationId xmlns:a16="http://schemas.microsoft.com/office/drawing/2014/main" id="{16557773-ACA3-4437-81FD-9EEDC223C10A}"/>
            </a:ext>
          </a:extLst>
        </xdr:cNvPr>
        <xdr:cNvSpPr txBox="1">
          <a:spLocks noChangeArrowheads="1"/>
        </xdr:cNvSpPr>
      </xdr:nvSpPr>
      <xdr:spPr bwMode="auto">
        <a:xfrm>
          <a:off x="3977640" y="216941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87</xdr:row>
      <xdr:rowOff>48409</xdr:rowOff>
    </xdr:from>
    <xdr:to>
      <xdr:col>5</xdr:col>
      <xdr:colOff>114225</xdr:colOff>
      <xdr:row>91</xdr:row>
      <xdr:rowOff>106067</xdr:rowOff>
    </xdr:to>
    <xdr:sp macro="" textlink="">
      <xdr:nvSpPr>
        <xdr:cNvPr id="258343" name="Text Box 295" hidden="1">
          <a:extLst>
            <a:ext uri="{FF2B5EF4-FFF2-40B4-BE49-F238E27FC236}">
              <a16:creationId xmlns:a16="http://schemas.microsoft.com/office/drawing/2014/main" id="{C9315DFF-B83D-46EB-915E-7033FF470DD0}"/>
            </a:ext>
          </a:extLst>
        </xdr:cNvPr>
        <xdr:cNvSpPr txBox="1">
          <a:spLocks noChangeArrowheads="1"/>
        </xdr:cNvSpPr>
      </xdr:nvSpPr>
      <xdr:spPr bwMode="auto">
        <a:xfrm>
          <a:off x="3977640" y="1934718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88</xdr:row>
      <xdr:rowOff>58103</xdr:rowOff>
    </xdr:from>
    <xdr:to>
      <xdr:col>5</xdr:col>
      <xdr:colOff>114225</xdr:colOff>
      <xdr:row>92</xdr:row>
      <xdr:rowOff>58957</xdr:rowOff>
    </xdr:to>
    <xdr:sp macro="" textlink="">
      <xdr:nvSpPr>
        <xdr:cNvPr id="258344" name="Text Box 296" hidden="1">
          <a:extLst>
            <a:ext uri="{FF2B5EF4-FFF2-40B4-BE49-F238E27FC236}">
              <a16:creationId xmlns:a16="http://schemas.microsoft.com/office/drawing/2014/main" id="{C82E576E-C94C-4EDA-9A83-8E385C777798}"/>
            </a:ext>
          </a:extLst>
        </xdr:cNvPr>
        <xdr:cNvSpPr txBox="1">
          <a:spLocks noChangeArrowheads="1"/>
        </xdr:cNvSpPr>
      </xdr:nvSpPr>
      <xdr:spPr bwMode="auto">
        <a:xfrm>
          <a:off x="3977640" y="195300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89</xdr:row>
      <xdr:rowOff>65856</xdr:rowOff>
    </xdr:from>
    <xdr:to>
      <xdr:col>5</xdr:col>
      <xdr:colOff>114225</xdr:colOff>
      <xdr:row>93</xdr:row>
      <xdr:rowOff>96391</xdr:rowOff>
    </xdr:to>
    <xdr:sp macro="" textlink="">
      <xdr:nvSpPr>
        <xdr:cNvPr id="258345" name="Text Box 297" hidden="1">
          <a:extLst>
            <a:ext uri="{FF2B5EF4-FFF2-40B4-BE49-F238E27FC236}">
              <a16:creationId xmlns:a16="http://schemas.microsoft.com/office/drawing/2014/main" id="{C522A294-B0BD-44FC-A02F-6218FD75AC53}"/>
            </a:ext>
          </a:extLst>
        </xdr:cNvPr>
        <xdr:cNvSpPr txBox="1">
          <a:spLocks noChangeArrowheads="1"/>
        </xdr:cNvSpPr>
      </xdr:nvSpPr>
      <xdr:spPr bwMode="auto">
        <a:xfrm>
          <a:off x="3977640" y="197129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90</xdr:row>
      <xdr:rowOff>39089</xdr:rowOff>
    </xdr:from>
    <xdr:to>
      <xdr:col>5</xdr:col>
      <xdr:colOff>114225</xdr:colOff>
      <xdr:row>94</xdr:row>
      <xdr:rowOff>76960</xdr:rowOff>
    </xdr:to>
    <xdr:sp macro="" textlink="">
      <xdr:nvSpPr>
        <xdr:cNvPr id="258346" name="Text Box 298" hidden="1">
          <a:extLst>
            <a:ext uri="{FF2B5EF4-FFF2-40B4-BE49-F238E27FC236}">
              <a16:creationId xmlns:a16="http://schemas.microsoft.com/office/drawing/2014/main" id="{AF1E89D6-3179-4E74-B92C-F9E49528429E}"/>
            </a:ext>
          </a:extLst>
        </xdr:cNvPr>
        <xdr:cNvSpPr txBox="1">
          <a:spLocks noChangeArrowheads="1"/>
        </xdr:cNvSpPr>
      </xdr:nvSpPr>
      <xdr:spPr bwMode="auto">
        <a:xfrm>
          <a:off x="3977640" y="1989582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45500</xdr:rowOff>
    </xdr:from>
    <xdr:to>
      <xdr:col>5</xdr:col>
      <xdr:colOff>287804</xdr:colOff>
      <xdr:row>191</xdr:row>
      <xdr:rowOff>145763</xdr:rowOff>
    </xdr:to>
    <xdr:sp macro="" textlink="">
      <xdr:nvSpPr>
        <xdr:cNvPr id="258461" name="Text Box 413" hidden="1">
          <a:extLst>
            <a:ext uri="{FF2B5EF4-FFF2-40B4-BE49-F238E27FC236}">
              <a16:creationId xmlns:a16="http://schemas.microsoft.com/office/drawing/2014/main" id="{837A0564-CA11-46FD-8697-BB72CBF2492F}"/>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460" name="Text Box 412" hidden="1">
          <a:extLst>
            <a:ext uri="{FF2B5EF4-FFF2-40B4-BE49-F238E27FC236}">
              <a16:creationId xmlns:a16="http://schemas.microsoft.com/office/drawing/2014/main" id="{EB5F1527-5B00-4D6E-B06A-DF809346501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459" name="Text Box 411" hidden="1">
          <a:extLst>
            <a:ext uri="{FF2B5EF4-FFF2-40B4-BE49-F238E27FC236}">
              <a16:creationId xmlns:a16="http://schemas.microsoft.com/office/drawing/2014/main" id="{7621EF48-19F7-4B88-8AB0-C5840E54F58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105335</xdr:colOff>
      <xdr:row>53</xdr:row>
      <xdr:rowOff>246283</xdr:rowOff>
    </xdr:to>
    <xdr:sp macro="" textlink="">
      <xdr:nvSpPr>
        <xdr:cNvPr id="258458" name="Text Box 410" hidden="1">
          <a:extLst>
            <a:ext uri="{FF2B5EF4-FFF2-40B4-BE49-F238E27FC236}">
              <a16:creationId xmlns:a16="http://schemas.microsoft.com/office/drawing/2014/main" id="{E0536428-661A-4EFB-A387-7C4567713FF5}"/>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105335</xdr:colOff>
      <xdr:row>53</xdr:row>
      <xdr:rowOff>207623</xdr:rowOff>
    </xdr:to>
    <xdr:sp macro="" textlink="">
      <xdr:nvSpPr>
        <xdr:cNvPr id="258457" name="Text Box 409" hidden="1">
          <a:extLst>
            <a:ext uri="{FF2B5EF4-FFF2-40B4-BE49-F238E27FC236}">
              <a16:creationId xmlns:a16="http://schemas.microsoft.com/office/drawing/2014/main" id="{34D36746-1601-415A-B37A-A618DCEBB658}"/>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465605</xdr:rowOff>
    </xdr:from>
    <xdr:to>
      <xdr:col>5</xdr:col>
      <xdr:colOff>105335</xdr:colOff>
      <xdr:row>54</xdr:row>
      <xdr:rowOff>341789</xdr:rowOff>
    </xdr:to>
    <xdr:sp macro="" textlink="">
      <xdr:nvSpPr>
        <xdr:cNvPr id="258456" name="Text Box 408" hidden="1">
          <a:extLst>
            <a:ext uri="{FF2B5EF4-FFF2-40B4-BE49-F238E27FC236}">
              <a16:creationId xmlns:a16="http://schemas.microsoft.com/office/drawing/2014/main" id="{6CA005A5-2B05-4D48-A988-A627E6C47B35}"/>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86353</xdr:rowOff>
    </xdr:from>
    <xdr:to>
      <xdr:col>5</xdr:col>
      <xdr:colOff>105335</xdr:colOff>
      <xdr:row>67</xdr:row>
      <xdr:rowOff>144035</xdr:rowOff>
    </xdr:to>
    <xdr:sp macro="" textlink="">
      <xdr:nvSpPr>
        <xdr:cNvPr id="258455" name="Text Box 407" hidden="1">
          <a:extLst>
            <a:ext uri="{FF2B5EF4-FFF2-40B4-BE49-F238E27FC236}">
              <a16:creationId xmlns:a16="http://schemas.microsoft.com/office/drawing/2014/main" id="{2765D102-A9F9-47B0-B3E1-43C3FDB21F8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70</xdr:row>
      <xdr:rowOff>87538</xdr:rowOff>
    </xdr:to>
    <xdr:sp macro="" textlink="">
      <xdr:nvSpPr>
        <xdr:cNvPr id="258454" name="Text Box 406" hidden="1">
          <a:extLst>
            <a:ext uri="{FF2B5EF4-FFF2-40B4-BE49-F238E27FC236}">
              <a16:creationId xmlns:a16="http://schemas.microsoft.com/office/drawing/2014/main" id="{C648D693-0F91-45A8-93DA-DDBD2404F6E6}"/>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275691</xdr:rowOff>
    </xdr:to>
    <xdr:sp macro="" textlink="">
      <xdr:nvSpPr>
        <xdr:cNvPr id="258453" name="Text Box 405" hidden="1">
          <a:extLst>
            <a:ext uri="{FF2B5EF4-FFF2-40B4-BE49-F238E27FC236}">
              <a16:creationId xmlns:a16="http://schemas.microsoft.com/office/drawing/2014/main" id="{760B4CED-B450-4D4C-84DF-EC03939FFC5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70</xdr:row>
      <xdr:rowOff>275691</xdr:rowOff>
    </xdr:to>
    <xdr:sp macro="" textlink="">
      <xdr:nvSpPr>
        <xdr:cNvPr id="258452" name="Text Box 404" hidden="1">
          <a:extLst>
            <a:ext uri="{FF2B5EF4-FFF2-40B4-BE49-F238E27FC236}">
              <a16:creationId xmlns:a16="http://schemas.microsoft.com/office/drawing/2014/main" id="{85CB8814-6B91-4829-BCE6-EE083A8E7862}"/>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46925</xdr:rowOff>
    </xdr:from>
    <xdr:to>
      <xdr:col>5</xdr:col>
      <xdr:colOff>105335</xdr:colOff>
      <xdr:row>189</xdr:row>
      <xdr:rowOff>47335</xdr:rowOff>
    </xdr:to>
    <xdr:sp macro="" textlink="">
      <xdr:nvSpPr>
        <xdr:cNvPr id="258451" name="Text Box 403" hidden="1">
          <a:extLst>
            <a:ext uri="{FF2B5EF4-FFF2-40B4-BE49-F238E27FC236}">
              <a16:creationId xmlns:a16="http://schemas.microsoft.com/office/drawing/2014/main" id="{1CF0D463-453A-4C69-8989-B9CDBDCA5C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450" name="Text Box 402" hidden="1">
          <a:extLst>
            <a:ext uri="{FF2B5EF4-FFF2-40B4-BE49-F238E27FC236}">
              <a16:creationId xmlns:a16="http://schemas.microsoft.com/office/drawing/2014/main" id="{7A6BE255-1BF4-4687-972A-9E6F8806E8A6}"/>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449" name="Text Box 401" hidden="1">
          <a:extLst>
            <a:ext uri="{FF2B5EF4-FFF2-40B4-BE49-F238E27FC236}">
              <a16:creationId xmlns:a16="http://schemas.microsoft.com/office/drawing/2014/main" id="{5C2E7BC7-A36A-4574-8D19-2D84124EAF0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448" name="Text Box 400" hidden="1">
          <a:extLst>
            <a:ext uri="{FF2B5EF4-FFF2-40B4-BE49-F238E27FC236}">
              <a16:creationId xmlns:a16="http://schemas.microsoft.com/office/drawing/2014/main" id="{A4837FF4-4E39-4C63-B682-387BAD286E82}"/>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26</xdr:row>
      <xdr:rowOff>28279</xdr:rowOff>
    </xdr:from>
    <xdr:to>
      <xdr:col>18</xdr:col>
      <xdr:colOff>238221</xdr:colOff>
      <xdr:row>30</xdr:row>
      <xdr:rowOff>105186</xdr:rowOff>
    </xdr:to>
    <xdr:sp macro="" textlink="">
      <xdr:nvSpPr>
        <xdr:cNvPr id="258447" name="Text Box 399" hidden="1">
          <a:extLst>
            <a:ext uri="{FF2B5EF4-FFF2-40B4-BE49-F238E27FC236}">
              <a16:creationId xmlns:a16="http://schemas.microsoft.com/office/drawing/2014/main" id="{0A1F7EA4-5134-46F3-BB41-F599CE67A4A0}"/>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189486</xdr:rowOff>
    </xdr:from>
    <xdr:to>
      <xdr:col>5</xdr:col>
      <xdr:colOff>112955</xdr:colOff>
      <xdr:row>97</xdr:row>
      <xdr:rowOff>30797</xdr:rowOff>
    </xdr:to>
    <xdr:sp macro="" textlink="">
      <xdr:nvSpPr>
        <xdr:cNvPr id="258446" name="Text Box 398" hidden="1">
          <a:extLst>
            <a:ext uri="{FF2B5EF4-FFF2-40B4-BE49-F238E27FC236}">
              <a16:creationId xmlns:a16="http://schemas.microsoft.com/office/drawing/2014/main" id="{578A73FB-DE29-4E38-B849-7A0E0E94E083}"/>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133193</xdr:rowOff>
    </xdr:from>
    <xdr:to>
      <xdr:col>5</xdr:col>
      <xdr:colOff>112955</xdr:colOff>
      <xdr:row>98</xdr:row>
      <xdr:rowOff>107035</xdr:rowOff>
    </xdr:to>
    <xdr:sp macro="" textlink="">
      <xdr:nvSpPr>
        <xdr:cNvPr id="258445" name="Text Box 397" hidden="1">
          <a:extLst>
            <a:ext uri="{FF2B5EF4-FFF2-40B4-BE49-F238E27FC236}">
              <a16:creationId xmlns:a16="http://schemas.microsoft.com/office/drawing/2014/main" id="{45E85962-25A0-41F2-B0E0-5265DB84478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123236</xdr:rowOff>
    </xdr:from>
    <xdr:to>
      <xdr:col>5</xdr:col>
      <xdr:colOff>112955</xdr:colOff>
      <xdr:row>101</xdr:row>
      <xdr:rowOff>133747</xdr:rowOff>
    </xdr:to>
    <xdr:sp macro="" textlink="">
      <xdr:nvSpPr>
        <xdr:cNvPr id="258444" name="Text Box 396" hidden="1">
          <a:extLst>
            <a:ext uri="{FF2B5EF4-FFF2-40B4-BE49-F238E27FC236}">
              <a16:creationId xmlns:a16="http://schemas.microsoft.com/office/drawing/2014/main" id="{61CDDD2B-D957-4564-A76B-4FF5031722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65350</xdr:rowOff>
    </xdr:from>
    <xdr:to>
      <xdr:col>5</xdr:col>
      <xdr:colOff>112955</xdr:colOff>
      <xdr:row>102</xdr:row>
      <xdr:rowOff>124018</xdr:rowOff>
    </xdr:to>
    <xdr:sp macro="" textlink="">
      <xdr:nvSpPr>
        <xdr:cNvPr id="258443" name="Text Box 395" hidden="1">
          <a:extLst>
            <a:ext uri="{FF2B5EF4-FFF2-40B4-BE49-F238E27FC236}">
              <a16:creationId xmlns:a16="http://schemas.microsoft.com/office/drawing/2014/main" id="{06C03AC7-37B8-4482-A228-B3D04A54666F}"/>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48409</xdr:rowOff>
    </xdr:from>
    <xdr:to>
      <xdr:col>5</xdr:col>
      <xdr:colOff>112955</xdr:colOff>
      <xdr:row>91</xdr:row>
      <xdr:rowOff>106067</xdr:rowOff>
    </xdr:to>
    <xdr:sp macro="" textlink="">
      <xdr:nvSpPr>
        <xdr:cNvPr id="258442" name="Text Box 394" hidden="1">
          <a:extLst>
            <a:ext uri="{FF2B5EF4-FFF2-40B4-BE49-F238E27FC236}">
              <a16:creationId xmlns:a16="http://schemas.microsoft.com/office/drawing/2014/main" id="{540444C8-DE33-4CA5-A026-C49858C742A4}"/>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58103</xdr:rowOff>
    </xdr:from>
    <xdr:to>
      <xdr:col>5</xdr:col>
      <xdr:colOff>112955</xdr:colOff>
      <xdr:row>92</xdr:row>
      <xdr:rowOff>58957</xdr:rowOff>
    </xdr:to>
    <xdr:sp macro="" textlink="">
      <xdr:nvSpPr>
        <xdr:cNvPr id="258441" name="Text Box 393" hidden="1">
          <a:extLst>
            <a:ext uri="{FF2B5EF4-FFF2-40B4-BE49-F238E27FC236}">
              <a16:creationId xmlns:a16="http://schemas.microsoft.com/office/drawing/2014/main" id="{85A73F4F-8E5B-48C7-8641-8ABE8BCCB684}"/>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65856</xdr:rowOff>
    </xdr:from>
    <xdr:to>
      <xdr:col>5</xdr:col>
      <xdr:colOff>112955</xdr:colOff>
      <xdr:row>93</xdr:row>
      <xdr:rowOff>96391</xdr:rowOff>
    </xdr:to>
    <xdr:sp macro="" textlink="">
      <xdr:nvSpPr>
        <xdr:cNvPr id="258440" name="Text Box 392" hidden="1">
          <a:extLst>
            <a:ext uri="{FF2B5EF4-FFF2-40B4-BE49-F238E27FC236}">
              <a16:creationId xmlns:a16="http://schemas.microsoft.com/office/drawing/2014/main" id="{42584DC4-16EA-4DB5-89D3-BB29C41A272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39089</xdr:rowOff>
    </xdr:from>
    <xdr:to>
      <xdr:col>5</xdr:col>
      <xdr:colOff>112955</xdr:colOff>
      <xdr:row>94</xdr:row>
      <xdr:rowOff>76960</xdr:rowOff>
    </xdr:to>
    <xdr:sp macro="" textlink="">
      <xdr:nvSpPr>
        <xdr:cNvPr id="258439" name="Text Box 391" hidden="1">
          <a:extLst>
            <a:ext uri="{FF2B5EF4-FFF2-40B4-BE49-F238E27FC236}">
              <a16:creationId xmlns:a16="http://schemas.microsoft.com/office/drawing/2014/main" id="{56C12DE3-76C8-443B-BBA7-8456C5CC5CF4}"/>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45500</xdr:rowOff>
    </xdr:from>
    <xdr:to>
      <xdr:col>5</xdr:col>
      <xdr:colOff>287804</xdr:colOff>
      <xdr:row>191</xdr:row>
      <xdr:rowOff>145763</xdr:rowOff>
    </xdr:to>
    <xdr:sp macro="" textlink="">
      <xdr:nvSpPr>
        <xdr:cNvPr id="258438" name="Text Box 390" hidden="1">
          <a:extLst>
            <a:ext uri="{FF2B5EF4-FFF2-40B4-BE49-F238E27FC236}">
              <a16:creationId xmlns:a16="http://schemas.microsoft.com/office/drawing/2014/main" id="{200A9B2C-3B6E-4AF8-9C7E-AA0696C64075}"/>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437" name="Text Box 389" hidden="1">
          <a:extLst>
            <a:ext uri="{FF2B5EF4-FFF2-40B4-BE49-F238E27FC236}">
              <a16:creationId xmlns:a16="http://schemas.microsoft.com/office/drawing/2014/main" id="{DDDC1CC9-EAC5-4B4E-B386-8A99A7FFC2A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436" name="Text Box 388" hidden="1">
          <a:extLst>
            <a:ext uri="{FF2B5EF4-FFF2-40B4-BE49-F238E27FC236}">
              <a16:creationId xmlns:a16="http://schemas.microsoft.com/office/drawing/2014/main" id="{06D11A38-FA29-4EED-BAE6-372E94ACA3D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105335</xdr:colOff>
      <xdr:row>53</xdr:row>
      <xdr:rowOff>246283</xdr:rowOff>
    </xdr:to>
    <xdr:sp macro="" textlink="">
      <xdr:nvSpPr>
        <xdr:cNvPr id="258435" name="Text Box 387" hidden="1">
          <a:extLst>
            <a:ext uri="{FF2B5EF4-FFF2-40B4-BE49-F238E27FC236}">
              <a16:creationId xmlns:a16="http://schemas.microsoft.com/office/drawing/2014/main" id="{6673DD1A-9EF6-4B19-98FA-C485676D072A}"/>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105335</xdr:colOff>
      <xdr:row>53</xdr:row>
      <xdr:rowOff>207623</xdr:rowOff>
    </xdr:to>
    <xdr:sp macro="" textlink="">
      <xdr:nvSpPr>
        <xdr:cNvPr id="258434" name="Text Box 386" hidden="1">
          <a:extLst>
            <a:ext uri="{FF2B5EF4-FFF2-40B4-BE49-F238E27FC236}">
              <a16:creationId xmlns:a16="http://schemas.microsoft.com/office/drawing/2014/main" id="{FDDF4766-7F32-4F2A-BF81-8FC2459A57D6}"/>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465605</xdr:rowOff>
    </xdr:from>
    <xdr:to>
      <xdr:col>5</xdr:col>
      <xdr:colOff>105335</xdr:colOff>
      <xdr:row>54</xdr:row>
      <xdr:rowOff>341789</xdr:rowOff>
    </xdr:to>
    <xdr:sp macro="" textlink="">
      <xdr:nvSpPr>
        <xdr:cNvPr id="258433" name="Text Box 385" hidden="1">
          <a:extLst>
            <a:ext uri="{FF2B5EF4-FFF2-40B4-BE49-F238E27FC236}">
              <a16:creationId xmlns:a16="http://schemas.microsoft.com/office/drawing/2014/main" id="{F2703C0D-F5E9-47AA-AC9D-8258592C8B62}"/>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86353</xdr:rowOff>
    </xdr:from>
    <xdr:to>
      <xdr:col>5</xdr:col>
      <xdr:colOff>105335</xdr:colOff>
      <xdr:row>67</xdr:row>
      <xdr:rowOff>144035</xdr:rowOff>
    </xdr:to>
    <xdr:sp macro="" textlink="">
      <xdr:nvSpPr>
        <xdr:cNvPr id="258432" name="Text Box 384" hidden="1">
          <a:extLst>
            <a:ext uri="{FF2B5EF4-FFF2-40B4-BE49-F238E27FC236}">
              <a16:creationId xmlns:a16="http://schemas.microsoft.com/office/drawing/2014/main" id="{E584EE81-17E2-49FC-899E-A947D6BBBE8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70</xdr:row>
      <xdr:rowOff>87538</xdr:rowOff>
    </xdr:to>
    <xdr:sp macro="" textlink="">
      <xdr:nvSpPr>
        <xdr:cNvPr id="258431" name="Text Box 383" hidden="1">
          <a:extLst>
            <a:ext uri="{FF2B5EF4-FFF2-40B4-BE49-F238E27FC236}">
              <a16:creationId xmlns:a16="http://schemas.microsoft.com/office/drawing/2014/main" id="{7F2B5BF6-FF8F-4D74-B5B3-29967F532055}"/>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275691</xdr:rowOff>
    </xdr:to>
    <xdr:sp macro="" textlink="">
      <xdr:nvSpPr>
        <xdr:cNvPr id="258430" name="Text Box 382" hidden="1">
          <a:extLst>
            <a:ext uri="{FF2B5EF4-FFF2-40B4-BE49-F238E27FC236}">
              <a16:creationId xmlns:a16="http://schemas.microsoft.com/office/drawing/2014/main" id="{668FD32C-B5B0-4748-AA9D-FF7E86931F38}"/>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70</xdr:row>
      <xdr:rowOff>275691</xdr:rowOff>
    </xdr:to>
    <xdr:sp macro="" textlink="">
      <xdr:nvSpPr>
        <xdr:cNvPr id="258429" name="Text Box 381" hidden="1">
          <a:extLst>
            <a:ext uri="{FF2B5EF4-FFF2-40B4-BE49-F238E27FC236}">
              <a16:creationId xmlns:a16="http://schemas.microsoft.com/office/drawing/2014/main" id="{18A40337-A52B-44BD-8B0A-F074B79A5ADE}"/>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46925</xdr:rowOff>
    </xdr:from>
    <xdr:to>
      <xdr:col>5</xdr:col>
      <xdr:colOff>105335</xdr:colOff>
      <xdr:row>189</xdr:row>
      <xdr:rowOff>47335</xdr:rowOff>
    </xdr:to>
    <xdr:sp macro="" textlink="">
      <xdr:nvSpPr>
        <xdr:cNvPr id="258428" name="Text Box 380" hidden="1">
          <a:extLst>
            <a:ext uri="{FF2B5EF4-FFF2-40B4-BE49-F238E27FC236}">
              <a16:creationId xmlns:a16="http://schemas.microsoft.com/office/drawing/2014/main" id="{74169F2B-FA48-4D72-B416-DBD4392A4C69}"/>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427" name="Text Box 379" hidden="1">
          <a:extLst>
            <a:ext uri="{FF2B5EF4-FFF2-40B4-BE49-F238E27FC236}">
              <a16:creationId xmlns:a16="http://schemas.microsoft.com/office/drawing/2014/main" id="{5528AAB4-915B-47CE-8963-CF078E6CED17}"/>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426" name="Text Box 378" hidden="1">
          <a:extLst>
            <a:ext uri="{FF2B5EF4-FFF2-40B4-BE49-F238E27FC236}">
              <a16:creationId xmlns:a16="http://schemas.microsoft.com/office/drawing/2014/main" id="{508883C5-52C3-453D-9E21-3BDB032C31C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425" name="Text Box 377" hidden="1">
          <a:extLst>
            <a:ext uri="{FF2B5EF4-FFF2-40B4-BE49-F238E27FC236}">
              <a16:creationId xmlns:a16="http://schemas.microsoft.com/office/drawing/2014/main" id="{7313E7FD-1FC4-47CC-8A0D-34EF18460E1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26</xdr:row>
      <xdr:rowOff>28279</xdr:rowOff>
    </xdr:from>
    <xdr:to>
      <xdr:col>18</xdr:col>
      <xdr:colOff>238221</xdr:colOff>
      <xdr:row>30</xdr:row>
      <xdr:rowOff>105186</xdr:rowOff>
    </xdr:to>
    <xdr:sp macro="" textlink="">
      <xdr:nvSpPr>
        <xdr:cNvPr id="258424" name="Text Box 376" hidden="1">
          <a:extLst>
            <a:ext uri="{FF2B5EF4-FFF2-40B4-BE49-F238E27FC236}">
              <a16:creationId xmlns:a16="http://schemas.microsoft.com/office/drawing/2014/main" id="{1859DE3F-E706-4243-B63D-0313451E1E8E}"/>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189486</xdr:rowOff>
    </xdr:from>
    <xdr:to>
      <xdr:col>5</xdr:col>
      <xdr:colOff>112955</xdr:colOff>
      <xdr:row>97</xdr:row>
      <xdr:rowOff>30797</xdr:rowOff>
    </xdr:to>
    <xdr:sp macro="" textlink="">
      <xdr:nvSpPr>
        <xdr:cNvPr id="258423" name="Text Box 375" hidden="1">
          <a:extLst>
            <a:ext uri="{FF2B5EF4-FFF2-40B4-BE49-F238E27FC236}">
              <a16:creationId xmlns:a16="http://schemas.microsoft.com/office/drawing/2014/main" id="{2E51CBB5-3661-4736-8040-B714B03085B5}"/>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133193</xdr:rowOff>
    </xdr:from>
    <xdr:to>
      <xdr:col>5</xdr:col>
      <xdr:colOff>112955</xdr:colOff>
      <xdr:row>98</xdr:row>
      <xdr:rowOff>107035</xdr:rowOff>
    </xdr:to>
    <xdr:sp macro="" textlink="">
      <xdr:nvSpPr>
        <xdr:cNvPr id="258422" name="Text Box 374" hidden="1">
          <a:extLst>
            <a:ext uri="{FF2B5EF4-FFF2-40B4-BE49-F238E27FC236}">
              <a16:creationId xmlns:a16="http://schemas.microsoft.com/office/drawing/2014/main" id="{AD101233-E720-4711-B521-3025D3CEC874}"/>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123236</xdr:rowOff>
    </xdr:from>
    <xdr:to>
      <xdr:col>5</xdr:col>
      <xdr:colOff>112955</xdr:colOff>
      <xdr:row>101</xdr:row>
      <xdr:rowOff>133747</xdr:rowOff>
    </xdr:to>
    <xdr:sp macro="" textlink="">
      <xdr:nvSpPr>
        <xdr:cNvPr id="258421" name="Text Box 373" hidden="1">
          <a:extLst>
            <a:ext uri="{FF2B5EF4-FFF2-40B4-BE49-F238E27FC236}">
              <a16:creationId xmlns:a16="http://schemas.microsoft.com/office/drawing/2014/main" id="{6C4DC465-C005-48E3-BAE1-C12E171089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65350</xdr:rowOff>
    </xdr:from>
    <xdr:to>
      <xdr:col>5</xdr:col>
      <xdr:colOff>112955</xdr:colOff>
      <xdr:row>102</xdr:row>
      <xdr:rowOff>124018</xdr:rowOff>
    </xdr:to>
    <xdr:sp macro="" textlink="">
      <xdr:nvSpPr>
        <xdr:cNvPr id="258420" name="Text Box 372" hidden="1">
          <a:extLst>
            <a:ext uri="{FF2B5EF4-FFF2-40B4-BE49-F238E27FC236}">
              <a16:creationId xmlns:a16="http://schemas.microsoft.com/office/drawing/2014/main" id="{E7BB2D98-AB97-4529-9D19-248A0C768949}"/>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48409</xdr:rowOff>
    </xdr:from>
    <xdr:to>
      <xdr:col>5</xdr:col>
      <xdr:colOff>112955</xdr:colOff>
      <xdr:row>91</xdr:row>
      <xdr:rowOff>106067</xdr:rowOff>
    </xdr:to>
    <xdr:sp macro="" textlink="">
      <xdr:nvSpPr>
        <xdr:cNvPr id="258419" name="Text Box 371" hidden="1">
          <a:extLst>
            <a:ext uri="{FF2B5EF4-FFF2-40B4-BE49-F238E27FC236}">
              <a16:creationId xmlns:a16="http://schemas.microsoft.com/office/drawing/2014/main" id="{214129A8-9E61-471B-8F06-1E5F179D289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58103</xdr:rowOff>
    </xdr:from>
    <xdr:to>
      <xdr:col>5</xdr:col>
      <xdr:colOff>112955</xdr:colOff>
      <xdr:row>92</xdr:row>
      <xdr:rowOff>58957</xdr:rowOff>
    </xdr:to>
    <xdr:sp macro="" textlink="">
      <xdr:nvSpPr>
        <xdr:cNvPr id="258418" name="Text Box 370" hidden="1">
          <a:extLst>
            <a:ext uri="{FF2B5EF4-FFF2-40B4-BE49-F238E27FC236}">
              <a16:creationId xmlns:a16="http://schemas.microsoft.com/office/drawing/2014/main" id="{54049864-E03B-4A63-8516-F3A466285CC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65856</xdr:rowOff>
    </xdr:from>
    <xdr:to>
      <xdr:col>5</xdr:col>
      <xdr:colOff>112955</xdr:colOff>
      <xdr:row>93</xdr:row>
      <xdr:rowOff>96391</xdr:rowOff>
    </xdr:to>
    <xdr:sp macro="" textlink="">
      <xdr:nvSpPr>
        <xdr:cNvPr id="258417" name="Text Box 369" hidden="1">
          <a:extLst>
            <a:ext uri="{FF2B5EF4-FFF2-40B4-BE49-F238E27FC236}">
              <a16:creationId xmlns:a16="http://schemas.microsoft.com/office/drawing/2014/main" id="{35A6AC1C-6B4B-43B1-A4A4-9B719FDFC53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39089</xdr:rowOff>
    </xdr:from>
    <xdr:to>
      <xdr:col>5</xdr:col>
      <xdr:colOff>112955</xdr:colOff>
      <xdr:row>94</xdr:row>
      <xdr:rowOff>76960</xdr:rowOff>
    </xdr:to>
    <xdr:sp macro="" textlink="">
      <xdr:nvSpPr>
        <xdr:cNvPr id="258416" name="Text Box 368" hidden="1">
          <a:extLst>
            <a:ext uri="{FF2B5EF4-FFF2-40B4-BE49-F238E27FC236}">
              <a16:creationId xmlns:a16="http://schemas.microsoft.com/office/drawing/2014/main" id="{68146593-F111-478D-AF9C-5A30FD00272B}"/>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45500</xdr:rowOff>
    </xdr:from>
    <xdr:to>
      <xdr:col>5</xdr:col>
      <xdr:colOff>287804</xdr:colOff>
      <xdr:row>191</xdr:row>
      <xdr:rowOff>145763</xdr:rowOff>
    </xdr:to>
    <xdr:sp macro="" textlink="">
      <xdr:nvSpPr>
        <xdr:cNvPr id="258415" name="Text Box 367" hidden="1">
          <a:extLst>
            <a:ext uri="{FF2B5EF4-FFF2-40B4-BE49-F238E27FC236}">
              <a16:creationId xmlns:a16="http://schemas.microsoft.com/office/drawing/2014/main" id="{85ACF4EA-7678-4FA2-9DC0-8840DBDF6423}"/>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414" name="Text Box 366" hidden="1">
          <a:extLst>
            <a:ext uri="{FF2B5EF4-FFF2-40B4-BE49-F238E27FC236}">
              <a16:creationId xmlns:a16="http://schemas.microsoft.com/office/drawing/2014/main" id="{604C28F6-EB9E-41B2-ACD1-211AECAD54FC}"/>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413" name="Text Box 365" hidden="1">
          <a:extLst>
            <a:ext uri="{FF2B5EF4-FFF2-40B4-BE49-F238E27FC236}">
              <a16:creationId xmlns:a16="http://schemas.microsoft.com/office/drawing/2014/main" id="{32FB51A6-A228-48AE-A976-690D81DE047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105335</xdr:colOff>
      <xdr:row>53</xdr:row>
      <xdr:rowOff>246283</xdr:rowOff>
    </xdr:to>
    <xdr:sp macro="" textlink="">
      <xdr:nvSpPr>
        <xdr:cNvPr id="258412" name="Text Box 364" hidden="1">
          <a:extLst>
            <a:ext uri="{FF2B5EF4-FFF2-40B4-BE49-F238E27FC236}">
              <a16:creationId xmlns:a16="http://schemas.microsoft.com/office/drawing/2014/main" id="{15272EC6-3B13-4299-A180-46F6A6C8296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105335</xdr:colOff>
      <xdr:row>53</xdr:row>
      <xdr:rowOff>207623</xdr:rowOff>
    </xdr:to>
    <xdr:sp macro="" textlink="">
      <xdr:nvSpPr>
        <xdr:cNvPr id="258411" name="Text Box 363" hidden="1">
          <a:extLst>
            <a:ext uri="{FF2B5EF4-FFF2-40B4-BE49-F238E27FC236}">
              <a16:creationId xmlns:a16="http://schemas.microsoft.com/office/drawing/2014/main" id="{D86458B8-04BB-42A6-9FF8-CC3191446659}"/>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465605</xdr:rowOff>
    </xdr:from>
    <xdr:to>
      <xdr:col>5</xdr:col>
      <xdr:colOff>105335</xdr:colOff>
      <xdr:row>54</xdr:row>
      <xdr:rowOff>341789</xdr:rowOff>
    </xdr:to>
    <xdr:sp macro="" textlink="">
      <xdr:nvSpPr>
        <xdr:cNvPr id="258410" name="Text Box 362" hidden="1">
          <a:extLst>
            <a:ext uri="{FF2B5EF4-FFF2-40B4-BE49-F238E27FC236}">
              <a16:creationId xmlns:a16="http://schemas.microsoft.com/office/drawing/2014/main" id="{CF90A911-F796-4275-A709-CA8995DD27B8}"/>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86353</xdr:rowOff>
    </xdr:from>
    <xdr:to>
      <xdr:col>5</xdr:col>
      <xdr:colOff>105335</xdr:colOff>
      <xdr:row>67</xdr:row>
      <xdr:rowOff>144035</xdr:rowOff>
    </xdr:to>
    <xdr:sp macro="" textlink="">
      <xdr:nvSpPr>
        <xdr:cNvPr id="258409" name="Text Box 361" hidden="1">
          <a:extLst>
            <a:ext uri="{FF2B5EF4-FFF2-40B4-BE49-F238E27FC236}">
              <a16:creationId xmlns:a16="http://schemas.microsoft.com/office/drawing/2014/main" id="{0C92A616-338D-4907-B951-4DD1E38E8C51}"/>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70</xdr:row>
      <xdr:rowOff>87538</xdr:rowOff>
    </xdr:to>
    <xdr:sp macro="" textlink="">
      <xdr:nvSpPr>
        <xdr:cNvPr id="258408" name="Text Box 360" hidden="1">
          <a:extLst>
            <a:ext uri="{FF2B5EF4-FFF2-40B4-BE49-F238E27FC236}">
              <a16:creationId xmlns:a16="http://schemas.microsoft.com/office/drawing/2014/main" id="{5B0AD9B0-BCE6-44B4-B5A9-C7120EC5C0AB}"/>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275691</xdr:rowOff>
    </xdr:to>
    <xdr:sp macro="" textlink="">
      <xdr:nvSpPr>
        <xdr:cNvPr id="258407" name="Text Box 359" hidden="1">
          <a:extLst>
            <a:ext uri="{FF2B5EF4-FFF2-40B4-BE49-F238E27FC236}">
              <a16:creationId xmlns:a16="http://schemas.microsoft.com/office/drawing/2014/main" id="{1D20CCEF-4FE0-4D73-A5E3-E88ABB28CFBD}"/>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70</xdr:row>
      <xdr:rowOff>275691</xdr:rowOff>
    </xdr:to>
    <xdr:sp macro="" textlink="">
      <xdr:nvSpPr>
        <xdr:cNvPr id="258406" name="Text Box 358" hidden="1">
          <a:extLst>
            <a:ext uri="{FF2B5EF4-FFF2-40B4-BE49-F238E27FC236}">
              <a16:creationId xmlns:a16="http://schemas.microsoft.com/office/drawing/2014/main" id="{A4526BC6-3C92-4C7F-B60E-A5E3B408F055}"/>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46925</xdr:rowOff>
    </xdr:from>
    <xdr:to>
      <xdr:col>5</xdr:col>
      <xdr:colOff>105335</xdr:colOff>
      <xdr:row>189</xdr:row>
      <xdr:rowOff>47335</xdr:rowOff>
    </xdr:to>
    <xdr:sp macro="" textlink="">
      <xdr:nvSpPr>
        <xdr:cNvPr id="258405" name="Text Box 357" hidden="1">
          <a:extLst>
            <a:ext uri="{FF2B5EF4-FFF2-40B4-BE49-F238E27FC236}">
              <a16:creationId xmlns:a16="http://schemas.microsoft.com/office/drawing/2014/main" id="{37C024E7-B9F4-4A99-A4F8-F962FE03C6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404" name="Text Box 356" hidden="1">
          <a:extLst>
            <a:ext uri="{FF2B5EF4-FFF2-40B4-BE49-F238E27FC236}">
              <a16:creationId xmlns:a16="http://schemas.microsoft.com/office/drawing/2014/main" id="{D08478FB-257B-45C5-B529-FD10B7B55AA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403" name="Text Box 355" hidden="1">
          <a:extLst>
            <a:ext uri="{FF2B5EF4-FFF2-40B4-BE49-F238E27FC236}">
              <a16:creationId xmlns:a16="http://schemas.microsoft.com/office/drawing/2014/main" id="{FB95E3D8-5F46-4986-A038-ECE1EB727A9F}"/>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402" name="Text Box 354" hidden="1">
          <a:extLst>
            <a:ext uri="{FF2B5EF4-FFF2-40B4-BE49-F238E27FC236}">
              <a16:creationId xmlns:a16="http://schemas.microsoft.com/office/drawing/2014/main" id="{C2E6BEC1-4470-43F3-A942-42506D8B5313}"/>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26</xdr:row>
      <xdr:rowOff>28279</xdr:rowOff>
    </xdr:from>
    <xdr:to>
      <xdr:col>18</xdr:col>
      <xdr:colOff>238221</xdr:colOff>
      <xdr:row>30</xdr:row>
      <xdr:rowOff>105186</xdr:rowOff>
    </xdr:to>
    <xdr:sp macro="" textlink="">
      <xdr:nvSpPr>
        <xdr:cNvPr id="258401" name="Text Box 353" hidden="1">
          <a:extLst>
            <a:ext uri="{FF2B5EF4-FFF2-40B4-BE49-F238E27FC236}">
              <a16:creationId xmlns:a16="http://schemas.microsoft.com/office/drawing/2014/main" id="{CBAF7ACF-C5A4-4BF1-BB8B-F508AE1D9792}"/>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189486</xdr:rowOff>
    </xdr:from>
    <xdr:to>
      <xdr:col>5</xdr:col>
      <xdr:colOff>112955</xdr:colOff>
      <xdr:row>97</xdr:row>
      <xdr:rowOff>30797</xdr:rowOff>
    </xdr:to>
    <xdr:sp macro="" textlink="">
      <xdr:nvSpPr>
        <xdr:cNvPr id="258400" name="Text Box 352" hidden="1">
          <a:extLst>
            <a:ext uri="{FF2B5EF4-FFF2-40B4-BE49-F238E27FC236}">
              <a16:creationId xmlns:a16="http://schemas.microsoft.com/office/drawing/2014/main" id="{53F970BA-3D2E-4340-A142-3A593EB072CE}"/>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133193</xdr:rowOff>
    </xdr:from>
    <xdr:to>
      <xdr:col>5</xdr:col>
      <xdr:colOff>112955</xdr:colOff>
      <xdr:row>98</xdr:row>
      <xdr:rowOff>107035</xdr:rowOff>
    </xdr:to>
    <xdr:sp macro="" textlink="">
      <xdr:nvSpPr>
        <xdr:cNvPr id="258399" name="Text Box 351" hidden="1">
          <a:extLst>
            <a:ext uri="{FF2B5EF4-FFF2-40B4-BE49-F238E27FC236}">
              <a16:creationId xmlns:a16="http://schemas.microsoft.com/office/drawing/2014/main" id="{D94989FB-3E24-4831-86AA-E99F8BDAAFD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123236</xdr:rowOff>
    </xdr:from>
    <xdr:to>
      <xdr:col>5</xdr:col>
      <xdr:colOff>112955</xdr:colOff>
      <xdr:row>101</xdr:row>
      <xdr:rowOff>133747</xdr:rowOff>
    </xdr:to>
    <xdr:sp macro="" textlink="">
      <xdr:nvSpPr>
        <xdr:cNvPr id="258398" name="Text Box 350" hidden="1">
          <a:extLst>
            <a:ext uri="{FF2B5EF4-FFF2-40B4-BE49-F238E27FC236}">
              <a16:creationId xmlns:a16="http://schemas.microsoft.com/office/drawing/2014/main" id="{EDA4EE27-C73D-485E-ABDF-6298D0963D13}"/>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65350</xdr:rowOff>
    </xdr:from>
    <xdr:to>
      <xdr:col>5</xdr:col>
      <xdr:colOff>112955</xdr:colOff>
      <xdr:row>102</xdr:row>
      <xdr:rowOff>124018</xdr:rowOff>
    </xdr:to>
    <xdr:sp macro="" textlink="">
      <xdr:nvSpPr>
        <xdr:cNvPr id="258397" name="Text Box 349" hidden="1">
          <a:extLst>
            <a:ext uri="{FF2B5EF4-FFF2-40B4-BE49-F238E27FC236}">
              <a16:creationId xmlns:a16="http://schemas.microsoft.com/office/drawing/2014/main" id="{E920EB5C-CA60-4E68-AF09-7E75870046D7}"/>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48409</xdr:rowOff>
    </xdr:from>
    <xdr:to>
      <xdr:col>5</xdr:col>
      <xdr:colOff>112955</xdr:colOff>
      <xdr:row>91</xdr:row>
      <xdr:rowOff>106067</xdr:rowOff>
    </xdr:to>
    <xdr:sp macro="" textlink="">
      <xdr:nvSpPr>
        <xdr:cNvPr id="258396" name="Text Box 348" hidden="1">
          <a:extLst>
            <a:ext uri="{FF2B5EF4-FFF2-40B4-BE49-F238E27FC236}">
              <a16:creationId xmlns:a16="http://schemas.microsoft.com/office/drawing/2014/main" id="{D01607F5-43C5-4A6A-B6D5-4D79E320CD7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58103</xdr:rowOff>
    </xdr:from>
    <xdr:to>
      <xdr:col>5</xdr:col>
      <xdr:colOff>112955</xdr:colOff>
      <xdr:row>92</xdr:row>
      <xdr:rowOff>58957</xdr:rowOff>
    </xdr:to>
    <xdr:sp macro="" textlink="">
      <xdr:nvSpPr>
        <xdr:cNvPr id="258395" name="Text Box 347" hidden="1">
          <a:extLst>
            <a:ext uri="{FF2B5EF4-FFF2-40B4-BE49-F238E27FC236}">
              <a16:creationId xmlns:a16="http://schemas.microsoft.com/office/drawing/2014/main" id="{FC15EE06-A1AA-4343-AECB-062BE8BBFD2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65856</xdr:rowOff>
    </xdr:from>
    <xdr:to>
      <xdr:col>5</xdr:col>
      <xdr:colOff>112955</xdr:colOff>
      <xdr:row>93</xdr:row>
      <xdr:rowOff>96391</xdr:rowOff>
    </xdr:to>
    <xdr:sp macro="" textlink="">
      <xdr:nvSpPr>
        <xdr:cNvPr id="258394" name="Text Box 346" hidden="1">
          <a:extLst>
            <a:ext uri="{FF2B5EF4-FFF2-40B4-BE49-F238E27FC236}">
              <a16:creationId xmlns:a16="http://schemas.microsoft.com/office/drawing/2014/main" id="{24A16C94-DB0C-4B9F-B7EC-BE4A7509F14F}"/>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39089</xdr:rowOff>
    </xdr:from>
    <xdr:to>
      <xdr:col>5</xdr:col>
      <xdr:colOff>112955</xdr:colOff>
      <xdr:row>94</xdr:row>
      <xdr:rowOff>76960</xdr:rowOff>
    </xdr:to>
    <xdr:sp macro="" textlink="">
      <xdr:nvSpPr>
        <xdr:cNvPr id="258393" name="Text Box 345" hidden="1">
          <a:extLst>
            <a:ext uri="{FF2B5EF4-FFF2-40B4-BE49-F238E27FC236}">
              <a16:creationId xmlns:a16="http://schemas.microsoft.com/office/drawing/2014/main" id="{FA11B12F-6708-4EC4-AFFA-B570EE4957A9}"/>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20970</xdr:rowOff>
    </xdr:from>
    <xdr:to>
      <xdr:col>5</xdr:col>
      <xdr:colOff>287804</xdr:colOff>
      <xdr:row>191</xdr:row>
      <xdr:rowOff>145763</xdr:rowOff>
    </xdr:to>
    <xdr:sp macro="" textlink="">
      <xdr:nvSpPr>
        <xdr:cNvPr id="258484" name="Text Box 436" hidden="1">
          <a:extLst>
            <a:ext uri="{FF2B5EF4-FFF2-40B4-BE49-F238E27FC236}">
              <a16:creationId xmlns:a16="http://schemas.microsoft.com/office/drawing/2014/main" id="{7DADC03E-4D57-48A6-A418-FEBCFE7B64B7}"/>
            </a:ext>
          </a:extLst>
        </xdr:cNvPr>
        <xdr:cNvSpPr txBox="1">
          <a:spLocks noChangeArrowheads="1"/>
        </xdr:cNvSpPr>
      </xdr:nvSpPr>
      <xdr:spPr bwMode="auto">
        <a:xfrm>
          <a:off x="3933825" y="30165675"/>
          <a:ext cx="1400175"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483" name="Text Box 435" hidden="1">
          <a:extLst>
            <a:ext uri="{FF2B5EF4-FFF2-40B4-BE49-F238E27FC236}">
              <a16:creationId xmlns:a16="http://schemas.microsoft.com/office/drawing/2014/main" id="{40EF7277-AAC8-4F10-8E77-A9FD89A0048B}"/>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482" name="Text Box 434" hidden="1">
          <a:extLst>
            <a:ext uri="{FF2B5EF4-FFF2-40B4-BE49-F238E27FC236}">
              <a16:creationId xmlns:a16="http://schemas.microsoft.com/office/drawing/2014/main" id="{80DF2576-6794-4B6E-8FB5-6D149AF92989}"/>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105335</xdr:colOff>
      <xdr:row>53</xdr:row>
      <xdr:rowOff>246283</xdr:rowOff>
    </xdr:to>
    <xdr:sp macro="" textlink="">
      <xdr:nvSpPr>
        <xdr:cNvPr id="258481" name="Text Box 433" hidden="1">
          <a:extLst>
            <a:ext uri="{FF2B5EF4-FFF2-40B4-BE49-F238E27FC236}">
              <a16:creationId xmlns:a16="http://schemas.microsoft.com/office/drawing/2014/main" id="{1594909E-5A2B-4E82-B813-F3961EB4E99B}"/>
            </a:ext>
          </a:extLst>
        </xdr:cNvPr>
        <xdr:cNvSpPr txBox="1">
          <a:spLocks noChangeArrowheads="1"/>
        </xdr:cNvSpPr>
      </xdr:nvSpPr>
      <xdr:spPr bwMode="auto">
        <a:xfrm>
          <a:off x="3895725" y="10229850"/>
          <a:ext cx="1247775"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105335</xdr:colOff>
      <xdr:row>53</xdr:row>
      <xdr:rowOff>207623</xdr:rowOff>
    </xdr:to>
    <xdr:sp macro="" textlink="">
      <xdr:nvSpPr>
        <xdr:cNvPr id="258480" name="Text Box 432" hidden="1">
          <a:extLst>
            <a:ext uri="{FF2B5EF4-FFF2-40B4-BE49-F238E27FC236}">
              <a16:creationId xmlns:a16="http://schemas.microsoft.com/office/drawing/2014/main" id="{7D85283C-E787-4605-9594-4CEDAC94BE82}"/>
            </a:ext>
          </a:extLst>
        </xdr:cNvPr>
        <xdr:cNvSpPr txBox="1">
          <a:spLocks noChangeArrowheads="1"/>
        </xdr:cNvSpPr>
      </xdr:nvSpPr>
      <xdr:spPr bwMode="auto">
        <a:xfrm>
          <a:off x="3895725" y="10363200"/>
          <a:ext cx="12477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465605</xdr:rowOff>
    </xdr:from>
    <xdr:to>
      <xdr:col>5</xdr:col>
      <xdr:colOff>105335</xdr:colOff>
      <xdr:row>54</xdr:row>
      <xdr:rowOff>341789</xdr:rowOff>
    </xdr:to>
    <xdr:sp macro="" textlink="">
      <xdr:nvSpPr>
        <xdr:cNvPr id="258479" name="Text Box 431" hidden="1">
          <a:extLst>
            <a:ext uri="{FF2B5EF4-FFF2-40B4-BE49-F238E27FC236}">
              <a16:creationId xmlns:a16="http://schemas.microsoft.com/office/drawing/2014/main" id="{A35931C9-D8C4-4C6C-B7C3-8E75F7D6023B}"/>
            </a:ext>
          </a:extLst>
        </xdr:cNvPr>
        <xdr:cNvSpPr txBox="1">
          <a:spLocks noChangeArrowheads="1"/>
        </xdr:cNvSpPr>
      </xdr:nvSpPr>
      <xdr:spPr bwMode="auto">
        <a:xfrm>
          <a:off x="3895725" y="11468100"/>
          <a:ext cx="1247775"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86353</xdr:rowOff>
    </xdr:from>
    <xdr:to>
      <xdr:col>5</xdr:col>
      <xdr:colOff>105335</xdr:colOff>
      <xdr:row>67</xdr:row>
      <xdr:rowOff>144035</xdr:rowOff>
    </xdr:to>
    <xdr:sp macro="" textlink="">
      <xdr:nvSpPr>
        <xdr:cNvPr id="258478" name="Text Box 430" hidden="1">
          <a:extLst>
            <a:ext uri="{FF2B5EF4-FFF2-40B4-BE49-F238E27FC236}">
              <a16:creationId xmlns:a16="http://schemas.microsoft.com/office/drawing/2014/main" id="{EF79F1C4-C74C-4C0D-B0DD-8F1FFBA6004C}"/>
            </a:ext>
          </a:extLst>
        </xdr:cNvPr>
        <xdr:cNvSpPr txBox="1">
          <a:spLocks noChangeArrowheads="1"/>
        </xdr:cNvSpPr>
      </xdr:nvSpPr>
      <xdr:spPr bwMode="auto">
        <a:xfrm>
          <a:off x="3895725" y="14087475"/>
          <a:ext cx="12477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70</xdr:row>
      <xdr:rowOff>87538</xdr:rowOff>
    </xdr:to>
    <xdr:sp macro="" textlink="">
      <xdr:nvSpPr>
        <xdr:cNvPr id="258477" name="Text Box 429" hidden="1">
          <a:extLst>
            <a:ext uri="{FF2B5EF4-FFF2-40B4-BE49-F238E27FC236}">
              <a16:creationId xmlns:a16="http://schemas.microsoft.com/office/drawing/2014/main" id="{79B1048D-7458-48AB-B357-D5430AC644B0}"/>
            </a:ext>
          </a:extLst>
        </xdr:cNvPr>
        <xdr:cNvSpPr txBox="1">
          <a:spLocks noChangeArrowheads="1"/>
        </xdr:cNvSpPr>
      </xdr:nvSpPr>
      <xdr:spPr bwMode="auto">
        <a:xfrm>
          <a:off x="3895725" y="14277975"/>
          <a:ext cx="124777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275691</xdr:rowOff>
    </xdr:to>
    <xdr:sp macro="" textlink="">
      <xdr:nvSpPr>
        <xdr:cNvPr id="258476" name="Text Box 428" hidden="1">
          <a:extLst>
            <a:ext uri="{FF2B5EF4-FFF2-40B4-BE49-F238E27FC236}">
              <a16:creationId xmlns:a16="http://schemas.microsoft.com/office/drawing/2014/main" id="{4810092D-EB9F-4A12-A454-B7CBA57C7656}"/>
            </a:ext>
          </a:extLst>
        </xdr:cNvPr>
        <xdr:cNvSpPr txBox="1">
          <a:spLocks noChangeArrowheads="1"/>
        </xdr:cNvSpPr>
      </xdr:nvSpPr>
      <xdr:spPr bwMode="auto">
        <a:xfrm>
          <a:off x="3895725" y="14468475"/>
          <a:ext cx="1247775"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70</xdr:row>
      <xdr:rowOff>275691</xdr:rowOff>
    </xdr:to>
    <xdr:sp macro="" textlink="">
      <xdr:nvSpPr>
        <xdr:cNvPr id="258475" name="Text Box 427" hidden="1">
          <a:extLst>
            <a:ext uri="{FF2B5EF4-FFF2-40B4-BE49-F238E27FC236}">
              <a16:creationId xmlns:a16="http://schemas.microsoft.com/office/drawing/2014/main" id="{700EEEA7-A1AA-49E0-AB2A-0D9D0C42751B}"/>
            </a:ext>
          </a:extLst>
        </xdr:cNvPr>
        <xdr:cNvSpPr txBox="1">
          <a:spLocks noChangeArrowheads="1"/>
        </xdr:cNvSpPr>
      </xdr:nvSpPr>
      <xdr:spPr bwMode="auto">
        <a:xfrm>
          <a:off x="3895725" y="14658975"/>
          <a:ext cx="1247775"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46925</xdr:rowOff>
    </xdr:from>
    <xdr:to>
      <xdr:col>5</xdr:col>
      <xdr:colOff>105335</xdr:colOff>
      <xdr:row>189</xdr:row>
      <xdr:rowOff>47335</xdr:rowOff>
    </xdr:to>
    <xdr:sp macro="" textlink="">
      <xdr:nvSpPr>
        <xdr:cNvPr id="258474" name="Text Box 426" hidden="1">
          <a:extLst>
            <a:ext uri="{FF2B5EF4-FFF2-40B4-BE49-F238E27FC236}">
              <a16:creationId xmlns:a16="http://schemas.microsoft.com/office/drawing/2014/main" id="{ECA292ED-76DF-40C9-9D1F-78B9466F0F15}"/>
            </a:ext>
          </a:extLst>
        </xdr:cNvPr>
        <xdr:cNvSpPr txBox="1">
          <a:spLocks noChangeArrowheads="1"/>
        </xdr:cNvSpPr>
      </xdr:nvSpPr>
      <xdr:spPr bwMode="auto">
        <a:xfrm>
          <a:off x="3895725" y="31194375"/>
          <a:ext cx="1247775"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473" name="Text Box 425" hidden="1">
          <a:extLst>
            <a:ext uri="{FF2B5EF4-FFF2-40B4-BE49-F238E27FC236}">
              <a16:creationId xmlns:a16="http://schemas.microsoft.com/office/drawing/2014/main" id="{1BBA314B-F1CD-48EC-B66A-1A64AA30B9F0}"/>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105903</xdr:rowOff>
    </xdr:from>
    <xdr:to>
      <xdr:col>5</xdr:col>
      <xdr:colOff>105335</xdr:colOff>
      <xdr:row>216</xdr:row>
      <xdr:rowOff>150118</xdr:rowOff>
    </xdr:to>
    <xdr:sp macro="" textlink="">
      <xdr:nvSpPr>
        <xdr:cNvPr id="258472" name="Text Box 424" hidden="1">
          <a:extLst>
            <a:ext uri="{FF2B5EF4-FFF2-40B4-BE49-F238E27FC236}">
              <a16:creationId xmlns:a16="http://schemas.microsoft.com/office/drawing/2014/main" id="{E8C8D618-6616-40CB-9119-FC1749C6FBBA}"/>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471" name="Text Box 423" hidden="1">
          <a:extLst>
            <a:ext uri="{FF2B5EF4-FFF2-40B4-BE49-F238E27FC236}">
              <a16:creationId xmlns:a16="http://schemas.microsoft.com/office/drawing/2014/main" id="{83F09BB1-FC72-4CE0-9A92-5C74FA96655F}"/>
            </a:ext>
          </a:extLst>
        </xdr:cNvPr>
        <xdr:cNvSpPr txBox="1">
          <a:spLocks noChangeArrowheads="1"/>
        </xdr:cNvSpPr>
      </xdr:nvSpPr>
      <xdr:spPr bwMode="auto">
        <a:xfrm>
          <a:off x="14839950"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26</xdr:row>
      <xdr:rowOff>28279</xdr:rowOff>
    </xdr:from>
    <xdr:to>
      <xdr:col>18</xdr:col>
      <xdr:colOff>238221</xdr:colOff>
      <xdr:row>30</xdr:row>
      <xdr:rowOff>105186</xdr:rowOff>
    </xdr:to>
    <xdr:sp macro="" textlink="">
      <xdr:nvSpPr>
        <xdr:cNvPr id="258470" name="Text Box 422" hidden="1">
          <a:extLst>
            <a:ext uri="{FF2B5EF4-FFF2-40B4-BE49-F238E27FC236}">
              <a16:creationId xmlns:a16="http://schemas.microsoft.com/office/drawing/2014/main" id="{4E700DBF-4BB4-4610-969D-AECB5EE48426}"/>
            </a:ext>
          </a:extLst>
        </xdr:cNvPr>
        <xdr:cNvSpPr txBox="1">
          <a:spLocks noChangeArrowheads="1"/>
        </xdr:cNvSpPr>
      </xdr:nvSpPr>
      <xdr:spPr bwMode="auto">
        <a:xfrm>
          <a:off x="14878050" y="62007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189486</xdr:rowOff>
    </xdr:from>
    <xdr:to>
      <xdr:col>5</xdr:col>
      <xdr:colOff>105335</xdr:colOff>
      <xdr:row>97</xdr:row>
      <xdr:rowOff>30797</xdr:rowOff>
    </xdr:to>
    <xdr:sp macro="" textlink="">
      <xdr:nvSpPr>
        <xdr:cNvPr id="258469" name="Text Box 421" hidden="1">
          <a:extLst>
            <a:ext uri="{FF2B5EF4-FFF2-40B4-BE49-F238E27FC236}">
              <a16:creationId xmlns:a16="http://schemas.microsoft.com/office/drawing/2014/main" id="{A31EAD90-7347-446E-83B7-0E7C77050FB8}"/>
            </a:ext>
          </a:extLst>
        </xdr:cNvPr>
        <xdr:cNvSpPr txBox="1">
          <a:spLocks noChangeArrowheads="1"/>
        </xdr:cNvSpPr>
      </xdr:nvSpPr>
      <xdr:spPr bwMode="auto">
        <a:xfrm>
          <a:off x="3857625" y="21526500"/>
          <a:ext cx="1285875"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133193</xdr:rowOff>
    </xdr:from>
    <xdr:to>
      <xdr:col>5</xdr:col>
      <xdr:colOff>105335</xdr:colOff>
      <xdr:row>98</xdr:row>
      <xdr:rowOff>107035</xdr:rowOff>
    </xdr:to>
    <xdr:sp macro="" textlink="">
      <xdr:nvSpPr>
        <xdr:cNvPr id="258468" name="Text Box 420" hidden="1">
          <a:extLst>
            <a:ext uri="{FF2B5EF4-FFF2-40B4-BE49-F238E27FC236}">
              <a16:creationId xmlns:a16="http://schemas.microsoft.com/office/drawing/2014/main" id="{5EF27DF9-ECAC-4789-A0D2-027FCD4DC4A4}"/>
            </a:ext>
          </a:extLst>
        </xdr:cNvPr>
        <xdr:cNvSpPr txBox="1">
          <a:spLocks noChangeArrowheads="1"/>
        </xdr:cNvSpPr>
      </xdr:nvSpPr>
      <xdr:spPr bwMode="auto">
        <a:xfrm>
          <a:off x="3857625" y="21717000"/>
          <a:ext cx="1285875"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123236</xdr:rowOff>
    </xdr:from>
    <xdr:to>
      <xdr:col>5</xdr:col>
      <xdr:colOff>105335</xdr:colOff>
      <xdr:row>101</xdr:row>
      <xdr:rowOff>133747</xdr:rowOff>
    </xdr:to>
    <xdr:sp macro="" textlink="">
      <xdr:nvSpPr>
        <xdr:cNvPr id="258467" name="Text Box 419" hidden="1">
          <a:extLst>
            <a:ext uri="{FF2B5EF4-FFF2-40B4-BE49-F238E27FC236}">
              <a16:creationId xmlns:a16="http://schemas.microsoft.com/office/drawing/2014/main" id="{98AF7B23-E584-428E-85D1-F9A168F1473C}"/>
            </a:ext>
          </a:extLst>
        </xdr:cNvPr>
        <xdr:cNvSpPr txBox="1">
          <a:spLocks noChangeArrowheads="1"/>
        </xdr:cNvSpPr>
      </xdr:nvSpPr>
      <xdr:spPr bwMode="auto">
        <a:xfrm>
          <a:off x="3857625" y="219075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65350</xdr:rowOff>
    </xdr:from>
    <xdr:to>
      <xdr:col>5</xdr:col>
      <xdr:colOff>105335</xdr:colOff>
      <xdr:row>102</xdr:row>
      <xdr:rowOff>124018</xdr:rowOff>
    </xdr:to>
    <xdr:sp macro="" textlink="">
      <xdr:nvSpPr>
        <xdr:cNvPr id="258466" name="Text Box 418" hidden="1">
          <a:extLst>
            <a:ext uri="{FF2B5EF4-FFF2-40B4-BE49-F238E27FC236}">
              <a16:creationId xmlns:a16="http://schemas.microsoft.com/office/drawing/2014/main" id="{335E5AFE-A6A5-40FC-A7AF-F6CFB9708FDE}"/>
            </a:ext>
          </a:extLst>
        </xdr:cNvPr>
        <xdr:cNvSpPr txBox="1">
          <a:spLocks noChangeArrowheads="1"/>
        </xdr:cNvSpPr>
      </xdr:nvSpPr>
      <xdr:spPr bwMode="auto">
        <a:xfrm>
          <a:off x="3857625" y="220980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48409</xdr:rowOff>
    </xdr:from>
    <xdr:to>
      <xdr:col>5</xdr:col>
      <xdr:colOff>105335</xdr:colOff>
      <xdr:row>91</xdr:row>
      <xdr:rowOff>106067</xdr:rowOff>
    </xdr:to>
    <xdr:sp macro="" textlink="">
      <xdr:nvSpPr>
        <xdr:cNvPr id="258465" name="Text Box 417" hidden="1">
          <a:extLst>
            <a:ext uri="{FF2B5EF4-FFF2-40B4-BE49-F238E27FC236}">
              <a16:creationId xmlns:a16="http://schemas.microsoft.com/office/drawing/2014/main" id="{01306337-ABB7-4B10-99CA-4382B1AE91D9}"/>
            </a:ext>
          </a:extLst>
        </xdr:cNvPr>
        <xdr:cNvSpPr txBox="1">
          <a:spLocks noChangeArrowheads="1"/>
        </xdr:cNvSpPr>
      </xdr:nvSpPr>
      <xdr:spPr bwMode="auto">
        <a:xfrm>
          <a:off x="3857625" y="19707225"/>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58103</xdr:rowOff>
    </xdr:from>
    <xdr:to>
      <xdr:col>5</xdr:col>
      <xdr:colOff>105335</xdr:colOff>
      <xdr:row>92</xdr:row>
      <xdr:rowOff>58957</xdr:rowOff>
    </xdr:to>
    <xdr:sp macro="" textlink="">
      <xdr:nvSpPr>
        <xdr:cNvPr id="258464" name="Text Box 416" hidden="1">
          <a:extLst>
            <a:ext uri="{FF2B5EF4-FFF2-40B4-BE49-F238E27FC236}">
              <a16:creationId xmlns:a16="http://schemas.microsoft.com/office/drawing/2014/main" id="{7E96297A-CE20-4FF5-A81F-544F7826869B}"/>
            </a:ext>
          </a:extLst>
        </xdr:cNvPr>
        <xdr:cNvSpPr txBox="1">
          <a:spLocks noChangeArrowheads="1"/>
        </xdr:cNvSpPr>
      </xdr:nvSpPr>
      <xdr:spPr bwMode="auto">
        <a:xfrm>
          <a:off x="3857625" y="19897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65856</xdr:rowOff>
    </xdr:from>
    <xdr:to>
      <xdr:col>5</xdr:col>
      <xdr:colOff>105335</xdr:colOff>
      <xdr:row>93</xdr:row>
      <xdr:rowOff>96391</xdr:rowOff>
    </xdr:to>
    <xdr:sp macro="" textlink="">
      <xdr:nvSpPr>
        <xdr:cNvPr id="258463" name="Text Box 415" hidden="1">
          <a:extLst>
            <a:ext uri="{FF2B5EF4-FFF2-40B4-BE49-F238E27FC236}">
              <a16:creationId xmlns:a16="http://schemas.microsoft.com/office/drawing/2014/main" id="{6F811E97-C09D-4D02-BF77-8D2196962C29}"/>
            </a:ext>
          </a:extLst>
        </xdr:cNvPr>
        <xdr:cNvSpPr txBox="1">
          <a:spLocks noChangeArrowheads="1"/>
        </xdr:cNvSpPr>
      </xdr:nvSpPr>
      <xdr:spPr bwMode="auto">
        <a:xfrm>
          <a:off x="3857625" y="200882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39089</xdr:rowOff>
    </xdr:from>
    <xdr:to>
      <xdr:col>5</xdr:col>
      <xdr:colOff>105335</xdr:colOff>
      <xdr:row>94</xdr:row>
      <xdr:rowOff>76960</xdr:rowOff>
    </xdr:to>
    <xdr:sp macro="" textlink="">
      <xdr:nvSpPr>
        <xdr:cNvPr id="258462" name="Text Box 414" hidden="1">
          <a:extLst>
            <a:ext uri="{FF2B5EF4-FFF2-40B4-BE49-F238E27FC236}">
              <a16:creationId xmlns:a16="http://schemas.microsoft.com/office/drawing/2014/main" id="{63C0C3B6-0D26-4C12-89F5-999039FF4E59}"/>
            </a:ext>
          </a:extLst>
        </xdr:cNvPr>
        <xdr:cNvSpPr txBox="1">
          <a:spLocks noChangeArrowheads="1"/>
        </xdr:cNvSpPr>
      </xdr:nvSpPr>
      <xdr:spPr bwMode="auto">
        <a:xfrm>
          <a:off x="3857625" y="20278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84</xdr:row>
      <xdr:rowOff>154704</xdr:rowOff>
    </xdr:from>
    <xdr:to>
      <xdr:col>5</xdr:col>
      <xdr:colOff>287804</xdr:colOff>
      <xdr:row>92</xdr:row>
      <xdr:rowOff>79277</xdr:rowOff>
    </xdr:to>
    <xdr:sp macro="" textlink="">
      <xdr:nvSpPr>
        <xdr:cNvPr id="258507" name="Text Box 459" hidden="1">
          <a:extLst>
            <a:ext uri="{FF2B5EF4-FFF2-40B4-BE49-F238E27FC236}">
              <a16:creationId xmlns:a16="http://schemas.microsoft.com/office/drawing/2014/main" id="{2892D455-3DC3-49F6-985B-504998CA3387}"/>
            </a:ext>
          </a:extLst>
        </xdr:cNvPr>
        <xdr:cNvSpPr txBox="1">
          <a:spLocks noChangeArrowheads="1"/>
        </xdr:cNvSpPr>
      </xdr:nvSpPr>
      <xdr:spPr bwMode="auto">
        <a:xfrm>
          <a:off x="4053840" y="18920460"/>
          <a:ext cx="1455420" cy="1402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506" name="Text Box 458" hidden="1">
          <a:extLst>
            <a:ext uri="{FF2B5EF4-FFF2-40B4-BE49-F238E27FC236}">
              <a16:creationId xmlns:a16="http://schemas.microsoft.com/office/drawing/2014/main" id="{4A07415F-9E37-4E3F-ABCE-8473E3C26230}"/>
            </a:ext>
          </a:extLst>
        </xdr:cNvPr>
        <xdr:cNvSpPr txBox="1">
          <a:spLocks noChangeArrowheads="1"/>
        </xdr:cNvSpPr>
      </xdr:nvSpPr>
      <xdr:spPr bwMode="auto">
        <a:xfrm>
          <a:off x="4015740" y="9753600"/>
          <a:ext cx="127254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505" name="Text Box 457" hidden="1">
          <a:extLst>
            <a:ext uri="{FF2B5EF4-FFF2-40B4-BE49-F238E27FC236}">
              <a16:creationId xmlns:a16="http://schemas.microsoft.com/office/drawing/2014/main" id="{82D19818-BA04-48C0-B271-BDC769A1DF4A}"/>
            </a:ext>
          </a:extLst>
        </xdr:cNvPr>
        <xdr:cNvSpPr txBox="1">
          <a:spLocks noChangeArrowheads="1"/>
        </xdr:cNvSpPr>
      </xdr:nvSpPr>
      <xdr:spPr bwMode="auto">
        <a:xfrm>
          <a:off x="4015740" y="9753600"/>
          <a:ext cx="127254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105335</xdr:colOff>
      <xdr:row>53</xdr:row>
      <xdr:rowOff>246283</xdr:rowOff>
    </xdr:to>
    <xdr:sp macro="" textlink="">
      <xdr:nvSpPr>
        <xdr:cNvPr id="258504" name="Text Box 456" hidden="1">
          <a:extLst>
            <a:ext uri="{FF2B5EF4-FFF2-40B4-BE49-F238E27FC236}">
              <a16:creationId xmlns:a16="http://schemas.microsoft.com/office/drawing/2014/main" id="{285586F3-A388-4AF6-A945-7698CD707A38}"/>
            </a:ext>
          </a:extLst>
        </xdr:cNvPr>
        <xdr:cNvSpPr txBox="1">
          <a:spLocks noChangeArrowheads="1"/>
        </xdr:cNvSpPr>
      </xdr:nvSpPr>
      <xdr:spPr bwMode="auto">
        <a:xfrm>
          <a:off x="4015740" y="10142220"/>
          <a:ext cx="127254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105335</xdr:colOff>
      <xdr:row>53</xdr:row>
      <xdr:rowOff>207623</xdr:rowOff>
    </xdr:to>
    <xdr:sp macro="" textlink="">
      <xdr:nvSpPr>
        <xdr:cNvPr id="258503" name="Text Box 455" hidden="1">
          <a:extLst>
            <a:ext uri="{FF2B5EF4-FFF2-40B4-BE49-F238E27FC236}">
              <a16:creationId xmlns:a16="http://schemas.microsoft.com/office/drawing/2014/main" id="{6DD2B414-7E34-4E23-9AE2-C3D4C0DE03B8}"/>
            </a:ext>
          </a:extLst>
        </xdr:cNvPr>
        <xdr:cNvSpPr txBox="1">
          <a:spLocks noChangeArrowheads="1"/>
        </xdr:cNvSpPr>
      </xdr:nvSpPr>
      <xdr:spPr bwMode="auto">
        <a:xfrm>
          <a:off x="4015740" y="10271760"/>
          <a:ext cx="12725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465605</xdr:rowOff>
    </xdr:from>
    <xdr:to>
      <xdr:col>5</xdr:col>
      <xdr:colOff>105335</xdr:colOff>
      <xdr:row>54</xdr:row>
      <xdr:rowOff>341789</xdr:rowOff>
    </xdr:to>
    <xdr:sp macro="" textlink="">
      <xdr:nvSpPr>
        <xdr:cNvPr id="258502" name="Text Box 454" hidden="1">
          <a:extLst>
            <a:ext uri="{FF2B5EF4-FFF2-40B4-BE49-F238E27FC236}">
              <a16:creationId xmlns:a16="http://schemas.microsoft.com/office/drawing/2014/main" id="{5801560E-4D1E-46D2-B16E-FF35D6DBD25D}"/>
            </a:ext>
          </a:extLst>
        </xdr:cNvPr>
        <xdr:cNvSpPr txBox="1">
          <a:spLocks noChangeArrowheads="1"/>
        </xdr:cNvSpPr>
      </xdr:nvSpPr>
      <xdr:spPr bwMode="auto">
        <a:xfrm>
          <a:off x="4015740" y="11353800"/>
          <a:ext cx="127254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86353</xdr:rowOff>
    </xdr:from>
    <xdr:to>
      <xdr:col>5</xdr:col>
      <xdr:colOff>105335</xdr:colOff>
      <xdr:row>67</xdr:row>
      <xdr:rowOff>144035</xdr:rowOff>
    </xdr:to>
    <xdr:sp macro="" textlink="">
      <xdr:nvSpPr>
        <xdr:cNvPr id="258501" name="Text Box 453" hidden="1">
          <a:extLst>
            <a:ext uri="{FF2B5EF4-FFF2-40B4-BE49-F238E27FC236}">
              <a16:creationId xmlns:a16="http://schemas.microsoft.com/office/drawing/2014/main" id="{7BA86442-8570-4440-934D-DE08B1A07F5D}"/>
            </a:ext>
          </a:extLst>
        </xdr:cNvPr>
        <xdr:cNvSpPr txBox="1">
          <a:spLocks noChangeArrowheads="1"/>
        </xdr:cNvSpPr>
      </xdr:nvSpPr>
      <xdr:spPr bwMode="auto">
        <a:xfrm>
          <a:off x="4015740" y="13906500"/>
          <a:ext cx="127254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70</xdr:row>
      <xdr:rowOff>87538</xdr:rowOff>
    </xdr:to>
    <xdr:sp macro="" textlink="">
      <xdr:nvSpPr>
        <xdr:cNvPr id="258500" name="Text Box 452" hidden="1">
          <a:extLst>
            <a:ext uri="{FF2B5EF4-FFF2-40B4-BE49-F238E27FC236}">
              <a16:creationId xmlns:a16="http://schemas.microsoft.com/office/drawing/2014/main" id="{393691B4-2EFF-4AB4-B799-0FE27C6A25F4}"/>
            </a:ext>
          </a:extLst>
        </xdr:cNvPr>
        <xdr:cNvSpPr txBox="1">
          <a:spLocks noChangeArrowheads="1"/>
        </xdr:cNvSpPr>
      </xdr:nvSpPr>
      <xdr:spPr bwMode="auto">
        <a:xfrm>
          <a:off x="4015740" y="14089380"/>
          <a:ext cx="127254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275691</xdr:rowOff>
    </xdr:to>
    <xdr:sp macro="" textlink="">
      <xdr:nvSpPr>
        <xdr:cNvPr id="258499" name="Text Box 451" hidden="1">
          <a:extLst>
            <a:ext uri="{FF2B5EF4-FFF2-40B4-BE49-F238E27FC236}">
              <a16:creationId xmlns:a16="http://schemas.microsoft.com/office/drawing/2014/main" id="{547447E7-1072-4139-A2FF-1DD27171C15F}"/>
            </a:ext>
          </a:extLst>
        </xdr:cNvPr>
        <xdr:cNvSpPr txBox="1">
          <a:spLocks noChangeArrowheads="1"/>
        </xdr:cNvSpPr>
      </xdr:nvSpPr>
      <xdr:spPr bwMode="auto">
        <a:xfrm>
          <a:off x="4015740" y="14272260"/>
          <a:ext cx="127254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70</xdr:row>
      <xdr:rowOff>275691</xdr:rowOff>
    </xdr:to>
    <xdr:sp macro="" textlink="">
      <xdr:nvSpPr>
        <xdr:cNvPr id="258498" name="Text Box 450" hidden="1">
          <a:extLst>
            <a:ext uri="{FF2B5EF4-FFF2-40B4-BE49-F238E27FC236}">
              <a16:creationId xmlns:a16="http://schemas.microsoft.com/office/drawing/2014/main" id="{B4D96819-9E5B-4BF6-9274-D3533E810838}"/>
            </a:ext>
          </a:extLst>
        </xdr:cNvPr>
        <xdr:cNvSpPr txBox="1">
          <a:spLocks noChangeArrowheads="1"/>
        </xdr:cNvSpPr>
      </xdr:nvSpPr>
      <xdr:spPr bwMode="auto">
        <a:xfrm>
          <a:off x="4015740" y="14455140"/>
          <a:ext cx="127254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143973</xdr:rowOff>
    </xdr:from>
    <xdr:to>
      <xdr:col>5</xdr:col>
      <xdr:colOff>105335</xdr:colOff>
      <xdr:row>89</xdr:row>
      <xdr:rowOff>49346</xdr:rowOff>
    </xdr:to>
    <xdr:sp macro="" textlink="">
      <xdr:nvSpPr>
        <xdr:cNvPr id="258497" name="Text Box 449" hidden="1">
          <a:extLst>
            <a:ext uri="{FF2B5EF4-FFF2-40B4-BE49-F238E27FC236}">
              <a16:creationId xmlns:a16="http://schemas.microsoft.com/office/drawing/2014/main" id="{E6BAAF48-7E51-40FF-9318-B2F4DB0090F6}"/>
            </a:ext>
          </a:extLst>
        </xdr:cNvPr>
        <xdr:cNvSpPr txBox="1">
          <a:spLocks noChangeArrowheads="1"/>
        </xdr:cNvSpPr>
      </xdr:nvSpPr>
      <xdr:spPr bwMode="auto">
        <a:xfrm>
          <a:off x="4015740" y="19606260"/>
          <a:ext cx="1272540" cy="45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39089</xdr:rowOff>
    </xdr:from>
    <xdr:to>
      <xdr:col>5</xdr:col>
      <xdr:colOff>105335</xdr:colOff>
      <xdr:row>114</xdr:row>
      <xdr:rowOff>149489</xdr:rowOff>
    </xdr:to>
    <xdr:sp macro="" textlink="">
      <xdr:nvSpPr>
        <xdr:cNvPr id="258496" name="Text Box 448" hidden="1">
          <a:extLst>
            <a:ext uri="{FF2B5EF4-FFF2-40B4-BE49-F238E27FC236}">
              <a16:creationId xmlns:a16="http://schemas.microsoft.com/office/drawing/2014/main" id="{82DDD443-9DF4-4CE0-B5B9-20DD4578F9FD}"/>
            </a:ext>
          </a:extLst>
        </xdr:cNvPr>
        <xdr:cNvSpPr txBox="1">
          <a:spLocks noChangeArrowheads="1"/>
        </xdr:cNvSpPr>
      </xdr:nvSpPr>
      <xdr:spPr bwMode="auto">
        <a:xfrm>
          <a:off x="4015740" y="19895820"/>
          <a:ext cx="1272540" cy="4861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39089</xdr:rowOff>
    </xdr:from>
    <xdr:to>
      <xdr:col>5</xdr:col>
      <xdr:colOff>105335</xdr:colOff>
      <xdr:row>114</xdr:row>
      <xdr:rowOff>149489</xdr:rowOff>
    </xdr:to>
    <xdr:sp macro="" textlink="">
      <xdr:nvSpPr>
        <xdr:cNvPr id="258495" name="Text Box 447" hidden="1">
          <a:extLst>
            <a:ext uri="{FF2B5EF4-FFF2-40B4-BE49-F238E27FC236}">
              <a16:creationId xmlns:a16="http://schemas.microsoft.com/office/drawing/2014/main" id="{4215951F-3FC6-4756-96A9-22FBF66B8C64}"/>
            </a:ext>
          </a:extLst>
        </xdr:cNvPr>
        <xdr:cNvSpPr txBox="1">
          <a:spLocks noChangeArrowheads="1"/>
        </xdr:cNvSpPr>
      </xdr:nvSpPr>
      <xdr:spPr bwMode="auto">
        <a:xfrm>
          <a:off x="4015740" y="19895820"/>
          <a:ext cx="1272540" cy="4861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494" name="Text Box 446" hidden="1">
          <a:extLst>
            <a:ext uri="{FF2B5EF4-FFF2-40B4-BE49-F238E27FC236}">
              <a16:creationId xmlns:a16="http://schemas.microsoft.com/office/drawing/2014/main" id="{850A2FE4-D206-49DB-B5A0-359DFCC5F33E}"/>
            </a:ext>
          </a:extLst>
        </xdr:cNvPr>
        <xdr:cNvSpPr txBox="1">
          <a:spLocks noChangeArrowheads="1"/>
        </xdr:cNvSpPr>
      </xdr:nvSpPr>
      <xdr:spPr bwMode="auto">
        <a:xfrm>
          <a:off x="1536192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84751</xdr:rowOff>
    </xdr:from>
    <xdr:to>
      <xdr:col>5</xdr:col>
      <xdr:colOff>105335</xdr:colOff>
      <xdr:row>191</xdr:row>
      <xdr:rowOff>31029</xdr:rowOff>
    </xdr:to>
    <xdr:sp macro="" textlink="">
      <xdr:nvSpPr>
        <xdr:cNvPr id="258492" name="Text Box 444" hidden="1">
          <a:extLst>
            <a:ext uri="{FF2B5EF4-FFF2-40B4-BE49-F238E27FC236}">
              <a16:creationId xmlns:a16="http://schemas.microsoft.com/office/drawing/2014/main" id="{30D89017-191A-41B6-9B07-9BA2D31BC4A8}"/>
            </a:ext>
          </a:extLst>
        </xdr:cNvPr>
        <xdr:cNvSpPr txBox="1">
          <a:spLocks noChangeArrowheads="1"/>
        </xdr:cNvSpPr>
      </xdr:nvSpPr>
      <xdr:spPr bwMode="auto">
        <a:xfrm>
          <a:off x="3977640" y="30274260"/>
          <a:ext cx="1310640" cy="541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47137</xdr:rowOff>
    </xdr:from>
    <xdr:to>
      <xdr:col>5</xdr:col>
      <xdr:colOff>105335</xdr:colOff>
      <xdr:row>191</xdr:row>
      <xdr:rowOff>85227</xdr:rowOff>
    </xdr:to>
    <xdr:sp macro="" textlink="">
      <xdr:nvSpPr>
        <xdr:cNvPr id="258491" name="Text Box 443" hidden="1">
          <a:extLst>
            <a:ext uri="{FF2B5EF4-FFF2-40B4-BE49-F238E27FC236}">
              <a16:creationId xmlns:a16="http://schemas.microsoft.com/office/drawing/2014/main" id="{7E078649-E03D-47B3-8A35-F856B0258998}"/>
            </a:ext>
          </a:extLst>
        </xdr:cNvPr>
        <xdr:cNvSpPr txBox="1">
          <a:spLocks noChangeArrowheads="1"/>
        </xdr:cNvSpPr>
      </xdr:nvSpPr>
      <xdr:spPr bwMode="auto">
        <a:xfrm>
          <a:off x="3977640" y="30457140"/>
          <a:ext cx="1310640" cy="441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30879</xdr:rowOff>
    </xdr:from>
    <xdr:to>
      <xdr:col>5</xdr:col>
      <xdr:colOff>105335</xdr:colOff>
      <xdr:row>194</xdr:row>
      <xdr:rowOff>145946</xdr:rowOff>
    </xdr:to>
    <xdr:sp macro="" textlink="">
      <xdr:nvSpPr>
        <xdr:cNvPr id="258490" name="Text Box 442" hidden="1">
          <a:extLst>
            <a:ext uri="{FF2B5EF4-FFF2-40B4-BE49-F238E27FC236}">
              <a16:creationId xmlns:a16="http://schemas.microsoft.com/office/drawing/2014/main" id="{FC0E5109-7EFE-419F-8D9D-B89DEE41CDA4}"/>
            </a:ext>
          </a:extLst>
        </xdr:cNvPr>
        <xdr:cNvSpPr txBox="1">
          <a:spLocks noChangeArrowheads="1"/>
        </xdr:cNvSpPr>
      </xdr:nvSpPr>
      <xdr:spPr bwMode="auto">
        <a:xfrm>
          <a:off x="3977640" y="30640020"/>
          <a:ext cx="131064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30394</xdr:rowOff>
    </xdr:from>
    <xdr:to>
      <xdr:col>5</xdr:col>
      <xdr:colOff>105335</xdr:colOff>
      <xdr:row>195</xdr:row>
      <xdr:rowOff>144042</xdr:rowOff>
    </xdr:to>
    <xdr:sp macro="" textlink="">
      <xdr:nvSpPr>
        <xdr:cNvPr id="258489" name="Text Box 441" hidden="1">
          <a:extLst>
            <a:ext uri="{FF2B5EF4-FFF2-40B4-BE49-F238E27FC236}">
              <a16:creationId xmlns:a16="http://schemas.microsoft.com/office/drawing/2014/main" id="{7035436E-A5C8-4AA6-AA5B-57CBC0526768}"/>
            </a:ext>
          </a:extLst>
        </xdr:cNvPr>
        <xdr:cNvSpPr txBox="1">
          <a:spLocks noChangeArrowheads="1"/>
        </xdr:cNvSpPr>
      </xdr:nvSpPr>
      <xdr:spPr bwMode="auto">
        <a:xfrm>
          <a:off x="3977640" y="30830520"/>
          <a:ext cx="131064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131</xdr:row>
      <xdr:rowOff>144495</xdr:rowOff>
    </xdr:from>
    <xdr:to>
      <xdr:col>5</xdr:col>
      <xdr:colOff>105335</xdr:colOff>
      <xdr:row>137</xdr:row>
      <xdr:rowOff>77234</xdr:rowOff>
    </xdr:to>
    <xdr:sp macro="" textlink="">
      <xdr:nvSpPr>
        <xdr:cNvPr id="258488" name="Text Box 440" hidden="1">
          <a:extLst>
            <a:ext uri="{FF2B5EF4-FFF2-40B4-BE49-F238E27FC236}">
              <a16:creationId xmlns:a16="http://schemas.microsoft.com/office/drawing/2014/main" id="{A1E4BA26-6BFC-469F-81A4-BADEE73481C5}"/>
            </a:ext>
          </a:extLst>
        </xdr:cNvPr>
        <xdr:cNvSpPr txBox="1">
          <a:spLocks noChangeArrowheads="1"/>
        </xdr:cNvSpPr>
      </xdr:nvSpPr>
      <xdr:spPr bwMode="auto">
        <a:xfrm>
          <a:off x="3977640" y="27904440"/>
          <a:ext cx="1310640" cy="1074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132</xdr:row>
      <xdr:rowOff>145857</xdr:rowOff>
    </xdr:from>
    <xdr:to>
      <xdr:col>5</xdr:col>
      <xdr:colOff>105335</xdr:colOff>
      <xdr:row>182</xdr:row>
      <xdr:rowOff>68465</xdr:rowOff>
    </xdr:to>
    <xdr:sp macro="" textlink="">
      <xdr:nvSpPr>
        <xdr:cNvPr id="258487" name="Text Box 439" hidden="1">
          <a:extLst>
            <a:ext uri="{FF2B5EF4-FFF2-40B4-BE49-F238E27FC236}">
              <a16:creationId xmlns:a16="http://schemas.microsoft.com/office/drawing/2014/main" id="{DE2D9B23-8BE1-43E0-A412-834BC4BD9744}"/>
            </a:ext>
          </a:extLst>
        </xdr:cNvPr>
        <xdr:cNvSpPr txBox="1">
          <a:spLocks noChangeArrowheads="1"/>
        </xdr:cNvSpPr>
      </xdr:nvSpPr>
      <xdr:spPr bwMode="auto">
        <a:xfrm>
          <a:off x="3977640" y="28102560"/>
          <a:ext cx="1310640" cy="967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133</xdr:row>
      <xdr:rowOff>145130</xdr:rowOff>
    </xdr:from>
    <xdr:to>
      <xdr:col>5</xdr:col>
      <xdr:colOff>105335</xdr:colOff>
      <xdr:row>182</xdr:row>
      <xdr:rowOff>136411</xdr:rowOff>
    </xdr:to>
    <xdr:sp macro="" textlink="">
      <xdr:nvSpPr>
        <xdr:cNvPr id="258486" name="Text Box 438" hidden="1">
          <a:extLst>
            <a:ext uri="{FF2B5EF4-FFF2-40B4-BE49-F238E27FC236}">
              <a16:creationId xmlns:a16="http://schemas.microsoft.com/office/drawing/2014/main" id="{0A8650ED-36B3-45DC-8488-F8708EA8F616}"/>
            </a:ext>
          </a:extLst>
        </xdr:cNvPr>
        <xdr:cNvSpPr txBox="1">
          <a:spLocks noChangeArrowheads="1"/>
        </xdr:cNvSpPr>
      </xdr:nvSpPr>
      <xdr:spPr bwMode="auto">
        <a:xfrm>
          <a:off x="3977640" y="28293060"/>
          <a:ext cx="131064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134</xdr:row>
      <xdr:rowOff>145129</xdr:rowOff>
    </xdr:from>
    <xdr:to>
      <xdr:col>5</xdr:col>
      <xdr:colOff>105335</xdr:colOff>
      <xdr:row>184</xdr:row>
      <xdr:rowOff>1800</xdr:rowOff>
    </xdr:to>
    <xdr:sp macro="" textlink="">
      <xdr:nvSpPr>
        <xdr:cNvPr id="258485" name="Text Box 437" hidden="1">
          <a:extLst>
            <a:ext uri="{FF2B5EF4-FFF2-40B4-BE49-F238E27FC236}">
              <a16:creationId xmlns:a16="http://schemas.microsoft.com/office/drawing/2014/main" id="{00DC5498-902F-4696-A8BE-E2087890766C}"/>
            </a:ext>
          </a:extLst>
        </xdr:cNvPr>
        <xdr:cNvSpPr txBox="1">
          <a:spLocks noChangeArrowheads="1"/>
        </xdr:cNvSpPr>
      </xdr:nvSpPr>
      <xdr:spPr bwMode="auto">
        <a:xfrm>
          <a:off x="3977640" y="28475940"/>
          <a:ext cx="1310640" cy="8686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84</xdr:row>
      <xdr:rowOff>69761</xdr:rowOff>
    </xdr:from>
    <xdr:to>
      <xdr:col>5</xdr:col>
      <xdr:colOff>287804</xdr:colOff>
      <xdr:row>92</xdr:row>
      <xdr:rowOff>39907</xdr:rowOff>
    </xdr:to>
    <xdr:sp macro="" textlink="">
      <xdr:nvSpPr>
        <xdr:cNvPr id="258529" name="Text Box 481" hidden="1">
          <a:extLst>
            <a:ext uri="{FF2B5EF4-FFF2-40B4-BE49-F238E27FC236}">
              <a16:creationId xmlns:a16="http://schemas.microsoft.com/office/drawing/2014/main" id="{4E8A642C-6A60-424C-AA69-D4B5157F783A}"/>
            </a:ext>
          </a:extLst>
        </xdr:cNvPr>
        <xdr:cNvSpPr txBox="1">
          <a:spLocks noChangeArrowheads="1"/>
        </xdr:cNvSpPr>
      </xdr:nvSpPr>
      <xdr:spPr bwMode="auto">
        <a:xfrm>
          <a:off x="3933825" y="19259550"/>
          <a:ext cx="140017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528" name="Text Box 480" hidden="1">
          <a:extLst>
            <a:ext uri="{FF2B5EF4-FFF2-40B4-BE49-F238E27FC236}">
              <a16:creationId xmlns:a16="http://schemas.microsoft.com/office/drawing/2014/main" id="{D1B836D9-E48B-4B83-9CCC-7A2E4A915727}"/>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126277</xdr:rowOff>
    </xdr:from>
    <xdr:to>
      <xdr:col>5</xdr:col>
      <xdr:colOff>105335</xdr:colOff>
      <xdr:row>56</xdr:row>
      <xdr:rowOff>368848</xdr:rowOff>
    </xdr:to>
    <xdr:sp macro="" textlink="">
      <xdr:nvSpPr>
        <xdr:cNvPr id="258527" name="Text Box 479" hidden="1">
          <a:extLst>
            <a:ext uri="{FF2B5EF4-FFF2-40B4-BE49-F238E27FC236}">
              <a16:creationId xmlns:a16="http://schemas.microsoft.com/office/drawing/2014/main" id="{7C5546F8-ADEF-4D8B-81FA-881310669059}"/>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105335</xdr:colOff>
      <xdr:row>53</xdr:row>
      <xdr:rowOff>246283</xdr:rowOff>
    </xdr:to>
    <xdr:sp macro="" textlink="">
      <xdr:nvSpPr>
        <xdr:cNvPr id="258526" name="Text Box 478" hidden="1">
          <a:extLst>
            <a:ext uri="{FF2B5EF4-FFF2-40B4-BE49-F238E27FC236}">
              <a16:creationId xmlns:a16="http://schemas.microsoft.com/office/drawing/2014/main" id="{ED37C772-BF93-4E4C-9030-D70913210AC8}"/>
            </a:ext>
          </a:extLst>
        </xdr:cNvPr>
        <xdr:cNvSpPr txBox="1">
          <a:spLocks noChangeArrowheads="1"/>
        </xdr:cNvSpPr>
      </xdr:nvSpPr>
      <xdr:spPr bwMode="auto">
        <a:xfrm>
          <a:off x="3895725" y="10229850"/>
          <a:ext cx="1247775"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105335</xdr:colOff>
      <xdr:row>53</xdr:row>
      <xdr:rowOff>207623</xdr:rowOff>
    </xdr:to>
    <xdr:sp macro="" textlink="">
      <xdr:nvSpPr>
        <xdr:cNvPr id="258525" name="Text Box 477" hidden="1">
          <a:extLst>
            <a:ext uri="{FF2B5EF4-FFF2-40B4-BE49-F238E27FC236}">
              <a16:creationId xmlns:a16="http://schemas.microsoft.com/office/drawing/2014/main" id="{825590C9-6BA2-4280-96D5-5BD1E47B9378}"/>
            </a:ext>
          </a:extLst>
        </xdr:cNvPr>
        <xdr:cNvSpPr txBox="1">
          <a:spLocks noChangeArrowheads="1"/>
        </xdr:cNvSpPr>
      </xdr:nvSpPr>
      <xdr:spPr bwMode="auto">
        <a:xfrm>
          <a:off x="3895725" y="10363200"/>
          <a:ext cx="12477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465605</xdr:rowOff>
    </xdr:from>
    <xdr:to>
      <xdr:col>5</xdr:col>
      <xdr:colOff>105335</xdr:colOff>
      <xdr:row>54</xdr:row>
      <xdr:rowOff>341789</xdr:rowOff>
    </xdr:to>
    <xdr:sp macro="" textlink="">
      <xdr:nvSpPr>
        <xdr:cNvPr id="258524" name="Text Box 476" hidden="1">
          <a:extLst>
            <a:ext uri="{FF2B5EF4-FFF2-40B4-BE49-F238E27FC236}">
              <a16:creationId xmlns:a16="http://schemas.microsoft.com/office/drawing/2014/main" id="{B861ABAC-03D4-4C89-AD89-E3CDAADC183B}"/>
            </a:ext>
          </a:extLst>
        </xdr:cNvPr>
        <xdr:cNvSpPr txBox="1">
          <a:spLocks noChangeArrowheads="1"/>
        </xdr:cNvSpPr>
      </xdr:nvSpPr>
      <xdr:spPr bwMode="auto">
        <a:xfrm>
          <a:off x="3895725" y="11468100"/>
          <a:ext cx="1247775"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86353</xdr:rowOff>
    </xdr:from>
    <xdr:to>
      <xdr:col>5</xdr:col>
      <xdr:colOff>105335</xdr:colOff>
      <xdr:row>67</xdr:row>
      <xdr:rowOff>144035</xdr:rowOff>
    </xdr:to>
    <xdr:sp macro="" textlink="">
      <xdr:nvSpPr>
        <xdr:cNvPr id="258523" name="Text Box 475" hidden="1">
          <a:extLst>
            <a:ext uri="{FF2B5EF4-FFF2-40B4-BE49-F238E27FC236}">
              <a16:creationId xmlns:a16="http://schemas.microsoft.com/office/drawing/2014/main" id="{9ED1FD8F-7C05-422C-8CDF-81A7E291D638}"/>
            </a:ext>
          </a:extLst>
        </xdr:cNvPr>
        <xdr:cNvSpPr txBox="1">
          <a:spLocks noChangeArrowheads="1"/>
        </xdr:cNvSpPr>
      </xdr:nvSpPr>
      <xdr:spPr bwMode="auto">
        <a:xfrm>
          <a:off x="3895725" y="14087475"/>
          <a:ext cx="12477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70</xdr:row>
      <xdr:rowOff>87538</xdr:rowOff>
    </xdr:to>
    <xdr:sp macro="" textlink="">
      <xdr:nvSpPr>
        <xdr:cNvPr id="258522" name="Text Box 474" hidden="1">
          <a:extLst>
            <a:ext uri="{FF2B5EF4-FFF2-40B4-BE49-F238E27FC236}">
              <a16:creationId xmlns:a16="http://schemas.microsoft.com/office/drawing/2014/main" id="{5B5BFFF4-CE8B-4CB9-AC97-E31775E51A1C}"/>
            </a:ext>
          </a:extLst>
        </xdr:cNvPr>
        <xdr:cNvSpPr txBox="1">
          <a:spLocks noChangeArrowheads="1"/>
        </xdr:cNvSpPr>
      </xdr:nvSpPr>
      <xdr:spPr bwMode="auto">
        <a:xfrm>
          <a:off x="3895725" y="14277975"/>
          <a:ext cx="124777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275691</xdr:rowOff>
    </xdr:to>
    <xdr:sp macro="" textlink="">
      <xdr:nvSpPr>
        <xdr:cNvPr id="258521" name="Text Box 473" hidden="1">
          <a:extLst>
            <a:ext uri="{FF2B5EF4-FFF2-40B4-BE49-F238E27FC236}">
              <a16:creationId xmlns:a16="http://schemas.microsoft.com/office/drawing/2014/main" id="{09BF6729-5F29-45B0-A070-7B0A94DA63CB}"/>
            </a:ext>
          </a:extLst>
        </xdr:cNvPr>
        <xdr:cNvSpPr txBox="1">
          <a:spLocks noChangeArrowheads="1"/>
        </xdr:cNvSpPr>
      </xdr:nvSpPr>
      <xdr:spPr bwMode="auto">
        <a:xfrm>
          <a:off x="3895725" y="14468475"/>
          <a:ext cx="1247775"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70</xdr:row>
      <xdr:rowOff>275691</xdr:rowOff>
    </xdr:to>
    <xdr:sp macro="" textlink="">
      <xdr:nvSpPr>
        <xdr:cNvPr id="258520" name="Text Box 472" hidden="1">
          <a:extLst>
            <a:ext uri="{FF2B5EF4-FFF2-40B4-BE49-F238E27FC236}">
              <a16:creationId xmlns:a16="http://schemas.microsoft.com/office/drawing/2014/main" id="{67E2418F-D8CF-4D6D-A97A-0856A987220B}"/>
            </a:ext>
          </a:extLst>
        </xdr:cNvPr>
        <xdr:cNvSpPr txBox="1">
          <a:spLocks noChangeArrowheads="1"/>
        </xdr:cNvSpPr>
      </xdr:nvSpPr>
      <xdr:spPr bwMode="auto">
        <a:xfrm>
          <a:off x="3895725" y="14658975"/>
          <a:ext cx="1247775"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126828</xdr:rowOff>
    </xdr:from>
    <xdr:to>
      <xdr:col>5</xdr:col>
      <xdr:colOff>105335</xdr:colOff>
      <xdr:row>89</xdr:row>
      <xdr:rowOff>11733</xdr:rowOff>
    </xdr:to>
    <xdr:sp macro="" textlink="">
      <xdr:nvSpPr>
        <xdr:cNvPr id="258519" name="Text Box 471" hidden="1">
          <a:extLst>
            <a:ext uri="{FF2B5EF4-FFF2-40B4-BE49-F238E27FC236}">
              <a16:creationId xmlns:a16="http://schemas.microsoft.com/office/drawing/2014/main" id="{1B4D7A31-A44D-47F3-86A7-742E783E0EC2}"/>
            </a:ext>
          </a:extLst>
        </xdr:cNvPr>
        <xdr:cNvSpPr txBox="1">
          <a:spLocks noChangeArrowheads="1"/>
        </xdr:cNvSpPr>
      </xdr:nvSpPr>
      <xdr:spPr bwMode="auto">
        <a:xfrm>
          <a:off x="3895725" y="19973925"/>
          <a:ext cx="1247775" cy="47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39089</xdr:rowOff>
    </xdr:from>
    <xdr:to>
      <xdr:col>5</xdr:col>
      <xdr:colOff>105335</xdr:colOff>
      <xdr:row>114</xdr:row>
      <xdr:rowOff>150124</xdr:rowOff>
    </xdr:to>
    <xdr:sp macro="" textlink="">
      <xdr:nvSpPr>
        <xdr:cNvPr id="258518" name="Text Box 470" hidden="1">
          <a:extLst>
            <a:ext uri="{FF2B5EF4-FFF2-40B4-BE49-F238E27FC236}">
              <a16:creationId xmlns:a16="http://schemas.microsoft.com/office/drawing/2014/main" id="{47594F43-EC74-4448-A295-D4ABE8E666B9}"/>
            </a:ext>
          </a:extLst>
        </xdr:cNvPr>
        <xdr:cNvSpPr txBox="1">
          <a:spLocks noChangeArrowheads="1"/>
        </xdr:cNvSpPr>
      </xdr:nvSpPr>
      <xdr:spPr bwMode="auto">
        <a:xfrm>
          <a:off x="3895725" y="20278725"/>
          <a:ext cx="1247775" cy="5038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39089</xdr:rowOff>
    </xdr:from>
    <xdr:to>
      <xdr:col>5</xdr:col>
      <xdr:colOff>105335</xdr:colOff>
      <xdr:row>114</xdr:row>
      <xdr:rowOff>150124</xdr:rowOff>
    </xdr:to>
    <xdr:sp macro="" textlink="">
      <xdr:nvSpPr>
        <xdr:cNvPr id="258517" name="Text Box 469" hidden="1">
          <a:extLst>
            <a:ext uri="{FF2B5EF4-FFF2-40B4-BE49-F238E27FC236}">
              <a16:creationId xmlns:a16="http://schemas.microsoft.com/office/drawing/2014/main" id="{7E28E15E-C3C4-41DF-9725-7547090CB5ED}"/>
            </a:ext>
          </a:extLst>
        </xdr:cNvPr>
        <xdr:cNvSpPr txBox="1">
          <a:spLocks noChangeArrowheads="1"/>
        </xdr:cNvSpPr>
      </xdr:nvSpPr>
      <xdr:spPr bwMode="auto">
        <a:xfrm>
          <a:off x="3895725" y="20278725"/>
          <a:ext cx="1247775" cy="5038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516" name="Text Box 468" hidden="1">
          <a:extLst>
            <a:ext uri="{FF2B5EF4-FFF2-40B4-BE49-F238E27FC236}">
              <a16:creationId xmlns:a16="http://schemas.microsoft.com/office/drawing/2014/main" id="{16C2CB3B-C60B-42B2-B219-3A1DB295A3D8}"/>
            </a:ext>
          </a:extLst>
        </xdr:cNvPr>
        <xdr:cNvSpPr txBox="1">
          <a:spLocks noChangeArrowheads="1"/>
        </xdr:cNvSpPr>
      </xdr:nvSpPr>
      <xdr:spPr bwMode="auto">
        <a:xfrm>
          <a:off x="14839950"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64600</xdr:rowOff>
    </xdr:from>
    <xdr:to>
      <xdr:col>5</xdr:col>
      <xdr:colOff>105335</xdr:colOff>
      <xdr:row>191</xdr:row>
      <xdr:rowOff>31029</xdr:rowOff>
    </xdr:to>
    <xdr:sp macro="" textlink="">
      <xdr:nvSpPr>
        <xdr:cNvPr id="258515" name="Text Box 467" hidden="1">
          <a:extLst>
            <a:ext uri="{FF2B5EF4-FFF2-40B4-BE49-F238E27FC236}">
              <a16:creationId xmlns:a16="http://schemas.microsoft.com/office/drawing/2014/main" id="{67E9C98A-2BC1-4640-BCCA-3EF6D87FD73A}"/>
            </a:ext>
          </a:extLst>
        </xdr:cNvPr>
        <xdr:cNvSpPr txBox="1">
          <a:spLocks noChangeArrowheads="1"/>
        </xdr:cNvSpPr>
      </xdr:nvSpPr>
      <xdr:spPr bwMode="auto">
        <a:xfrm>
          <a:off x="3857625" y="31013400"/>
          <a:ext cx="12858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46492</xdr:rowOff>
    </xdr:from>
    <xdr:to>
      <xdr:col>5</xdr:col>
      <xdr:colOff>105335</xdr:colOff>
      <xdr:row>191</xdr:row>
      <xdr:rowOff>87253</xdr:rowOff>
    </xdr:to>
    <xdr:sp macro="" textlink="">
      <xdr:nvSpPr>
        <xdr:cNvPr id="258514" name="Text Box 466" hidden="1">
          <a:extLst>
            <a:ext uri="{FF2B5EF4-FFF2-40B4-BE49-F238E27FC236}">
              <a16:creationId xmlns:a16="http://schemas.microsoft.com/office/drawing/2014/main" id="{579C0D01-5A20-4F29-A743-86865AA4D7DC}"/>
            </a:ext>
          </a:extLst>
        </xdr:cNvPr>
        <xdr:cNvSpPr txBox="1">
          <a:spLocks noChangeArrowheads="1"/>
        </xdr:cNvSpPr>
      </xdr:nvSpPr>
      <xdr:spPr bwMode="auto">
        <a:xfrm>
          <a:off x="3857625" y="31203900"/>
          <a:ext cx="1285875"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46491</xdr:rowOff>
    </xdr:from>
    <xdr:to>
      <xdr:col>5</xdr:col>
      <xdr:colOff>105335</xdr:colOff>
      <xdr:row>194</xdr:row>
      <xdr:rowOff>122504</xdr:rowOff>
    </xdr:to>
    <xdr:sp macro="" textlink="">
      <xdr:nvSpPr>
        <xdr:cNvPr id="258513" name="Text Box 465" hidden="1">
          <a:extLst>
            <a:ext uri="{FF2B5EF4-FFF2-40B4-BE49-F238E27FC236}">
              <a16:creationId xmlns:a16="http://schemas.microsoft.com/office/drawing/2014/main" id="{C19B78D4-40E4-4F16-9CFA-7214927E41FD}"/>
            </a:ext>
          </a:extLst>
        </xdr:cNvPr>
        <xdr:cNvSpPr txBox="1">
          <a:spLocks noChangeArrowheads="1"/>
        </xdr:cNvSpPr>
      </xdr:nvSpPr>
      <xdr:spPr bwMode="auto">
        <a:xfrm>
          <a:off x="3857625" y="31394400"/>
          <a:ext cx="1285875" cy="895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2624</xdr:rowOff>
    </xdr:from>
    <xdr:to>
      <xdr:col>5</xdr:col>
      <xdr:colOff>105335</xdr:colOff>
      <xdr:row>195</xdr:row>
      <xdr:rowOff>143407</xdr:rowOff>
    </xdr:to>
    <xdr:sp macro="" textlink="">
      <xdr:nvSpPr>
        <xdr:cNvPr id="258512" name="Text Box 464" hidden="1">
          <a:extLst>
            <a:ext uri="{FF2B5EF4-FFF2-40B4-BE49-F238E27FC236}">
              <a16:creationId xmlns:a16="http://schemas.microsoft.com/office/drawing/2014/main" id="{97AFD59C-43FF-4CCC-8649-E9515E52E40A}"/>
            </a:ext>
          </a:extLst>
        </xdr:cNvPr>
        <xdr:cNvSpPr txBox="1">
          <a:spLocks noChangeArrowheads="1"/>
        </xdr:cNvSpPr>
      </xdr:nvSpPr>
      <xdr:spPr bwMode="auto">
        <a:xfrm>
          <a:off x="3857625" y="31594425"/>
          <a:ext cx="1285875" cy="895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131</xdr:row>
      <xdr:rowOff>145184</xdr:rowOff>
    </xdr:from>
    <xdr:to>
      <xdr:col>5</xdr:col>
      <xdr:colOff>105335</xdr:colOff>
      <xdr:row>137</xdr:row>
      <xdr:rowOff>77234</xdr:rowOff>
    </xdr:to>
    <xdr:sp macro="" textlink="">
      <xdr:nvSpPr>
        <xdr:cNvPr id="258511" name="Text Box 463" hidden="1">
          <a:extLst>
            <a:ext uri="{FF2B5EF4-FFF2-40B4-BE49-F238E27FC236}">
              <a16:creationId xmlns:a16="http://schemas.microsoft.com/office/drawing/2014/main" id="{A62E895C-1FD1-461A-8975-5CA19B5A1930}"/>
            </a:ext>
          </a:extLst>
        </xdr:cNvPr>
        <xdr:cNvSpPr txBox="1">
          <a:spLocks noChangeArrowheads="1"/>
        </xdr:cNvSpPr>
      </xdr:nvSpPr>
      <xdr:spPr bwMode="auto">
        <a:xfrm>
          <a:off x="3857625" y="28603575"/>
          <a:ext cx="1285875"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132</xdr:row>
      <xdr:rowOff>145857</xdr:rowOff>
    </xdr:from>
    <xdr:to>
      <xdr:col>5</xdr:col>
      <xdr:colOff>105335</xdr:colOff>
      <xdr:row>182</xdr:row>
      <xdr:rowOff>69100</xdr:rowOff>
    </xdr:to>
    <xdr:sp macro="" textlink="">
      <xdr:nvSpPr>
        <xdr:cNvPr id="258510" name="Text Box 462" hidden="1">
          <a:extLst>
            <a:ext uri="{FF2B5EF4-FFF2-40B4-BE49-F238E27FC236}">
              <a16:creationId xmlns:a16="http://schemas.microsoft.com/office/drawing/2014/main" id="{A91DBB56-0606-472A-8E2E-93B70A0E962D}"/>
            </a:ext>
          </a:extLst>
        </xdr:cNvPr>
        <xdr:cNvSpPr txBox="1">
          <a:spLocks noChangeArrowheads="1"/>
        </xdr:cNvSpPr>
      </xdr:nvSpPr>
      <xdr:spPr bwMode="auto">
        <a:xfrm>
          <a:off x="3857625" y="28813125"/>
          <a:ext cx="1285875"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133</xdr:row>
      <xdr:rowOff>145857</xdr:rowOff>
    </xdr:from>
    <xdr:to>
      <xdr:col>5</xdr:col>
      <xdr:colOff>105335</xdr:colOff>
      <xdr:row>182</xdr:row>
      <xdr:rowOff>126250</xdr:rowOff>
    </xdr:to>
    <xdr:sp macro="" textlink="">
      <xdr:nvSpPr>
        <xdr:cNvPr id="258509" name="Text Box 461" hidden="1">
          <a:extLst>
            <a:ext uri="{FF2B5EF4-FFF2-40B4-BE49-F238E27FC236}">
              <a16:creationId xmlns:a16="http://schemas.microsoft.com/office/drawing/2014/main" id="{E1754C31-E391-4C0A-A9AD-DB7A21CC5203}"/>
            </a:ext>
          </a:extLst>
        </xdr:cNvPr>
        <xdr:cNvSpPr txBox="1">
          <a:spLocks noChangeArrowheads="1"/>
        </xdr:cNvSpPr>
      </xdr:nvSpPr>
      <xdr:spPr bwMode="auto">
        <a:xfrm>
          <a:off x="3857625" y="29003625"/>
          <a:ext cx="128587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134</xdr:row>
      <xdr:rowOff>145857</xdr:rowOff>
    </xdr:from>
    <xdr:to>
      <xdr:col>5</xdr:col>
      <xdr:colOff>105335</xdr:colOff>
      <xdr:row>184</xdr:row>
      <xdr:rowOff>1800</xdr:rowOff>
    </xdr:to>
    <xdr:sp macro="" textlink="">
      <xdr:nvSpPr>
        <xdr:cNvPr id="258508" name="Text Box 460" hidden="1">
          <a:extLst>
            <a:ext uri="{FF2B5EF4-FFF2-40B4-BE49-F238E27FC236}">
              <a16:creationId xmlns:a16="http://schemas.microsoft.com/office/drawing/2014/main" id="{0BD62913-32CC-44C5-822B-6B2571D91F8F}"/>
            </a:ext>
          </a:extLst>
        </xdr:cNvPr>
        <xdr:cNvSpPr txBox="1">
          <a:spLocks noChangeArrowheads="1"/>
        </xdr:cNvSpPr>
      </xdr:nvSpPr>
      <xdr:spPr bwMode="auto">
        <a:xfrm>
          <a:off x="3857625" y="29194125"/>
          <a:ext cx="1285875" cy="904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85</xdr:row>
      <xdr:rowOff>144129</xdr:rowOff>
    </xdr:from>
    <xdr:to>
      <xdr:col>5</xdr:col>
      <xdr:colOff>287804</xdr:colOff>
      <xdr:row>93</xdr:row>
      <xdr:rowOff>77341</xdr:rowOff>
    </xdr:to>
    <xdr:sp macro="" textlink="">
      <xdr:nvSpPr>
        <xdr:cNvPr id="258551" name="Text Box 503" hidden="1">
          <a:extLst>
            <a:ext uri="{FF2B5EF4-FFF2-40B4-BE49-F238E27FC236}">
              <a16:creationId xmlns:a16="http://schemas.microsoft.com/office/drawing/2014/main" id="{D818A35C-0ED7-468D-9FAC-429F8A000C1D}"/>
            </a:ext>
          </a:extLst>
        </xdr:cNvPr>
        <xdr:cNvSpPr txBox="1">
          <a:spLocks noChangeArrowheads="1"/>
        </xdr:cNvSpPr>
      </xdr:nvSpPr>
      <xdr:spPr bwMode="auto">
        <a:xfrm>
          <a:off x="4070350" y="19202400"/>
          <a:ext cx="142875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133617</xdr:rowOff>
    </xdr:from>
    <xdr:to>
      <xdr:col>5</xdr:col>
      <xdr:colOff>105335</xdr:colOff>
      <xdr:row>58</xdr:row>
      <xdr:rowOff>125297</xdr:rowOff>
    </xdr:to>
    <xdr:sp macro="" textlink="">
      <xdr:nvSpPr>
        <xdr:cNvPr id="258550" name="Text Box 502" hidden="1">
          <a:extLst>
            <a:ext uri="{FF2B5EF4-FFF2-40B4-BE49-F238E27FC236}">
              <a16:creationId xmlns:a16="http://schemas.microsoft.com/office/drawing/2014/main" id="{EF5A2B86-3839-493B-BDEA-C626F47734FE}"/>
            </a:ext>
          </a:extLst>
        </xdr:cNvPr>
        <xdr:cNvSpPr txBox="1">
          <a:spLocks noChangeArrowheads="1"/>
        </xdr:cNvSpPr>
      </xdr:nvSpPr>
      <xdr:spPr bwMode="auto">
        <a:xfrm>
          <a:off x="4032250" y="10179050"/>
          <a:ext cx="1276350" cy="322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133617</xdr:rowOff>
    </xdr:from>
    <xdr:to>
      <xdr:col>5</xdr:col>
      <xdr:colOff>105335</xdr:colOff>
      <xdr:row>58</xdr:row>
      <xdr:rowOff>125297</xdr:rowOff>
    </xdr:to>
    <xdr:sp macro="" textlink="">
      <xdr:nvSpPr>
        <xdr:cNvPr id="258549" name="Text Box 501" hidden="1">
          <a:extLst>
            <a:ext uri="{FF2B5EF4-FFF2-40B4-BE49-F238E27FC236}">
              <a16:creationId xmlns:a16="http://schemas.microsoft.com/office/drawing/2014/main" id="{9B8BC924-E2F3-4E3D-81FC-93D6D31B500F}"/>
            </a:ext>
          </a:extLst>
        </xdr:cNvPr>
        <xdr:cNvSpPr txBox="1">
          <a:spLocks noChangeArrowheads="1"/>
        </xdr:cNvSpPr>
      </xdr:nvSpPr>
      <xdr:spPr bwMode="auto">
        <a:xfrm>
          <a:off x="4032250" y="10179050"/>
          <a:ext cx="1276350" cy="322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141074</xdr:rowOff>
    </xdr:from>
    <xdr:to>
      <xdr:col>5</xdr:col>
      <xdr:colOff>105335</xdr:colOff>
      <xdr:row>53</xdr:row>
      <xdr:rowOff>467448</xdr:rowOff>
    </xdr:to>
    <xdr:sp macro="" textlink="">
      <xdr:nvSpPr>
        <xdr:cNvPr id="258548" name="Text Box 500" hidden="1">
          <a:extLst>
            <a:ext uri="{FF2B5EF4-FFF2-40B4-BE49-F238E27FC236}">
              <a16:creationId xmlns:a16="http://schemas.microsoft.com/office/drawing/2014/main" id="{8A369398-B7E9-4872-B50B-90E135892ECD}"/>
            </a:ext>
          </a:extLst>
        </xdr:cNvPr>
        <xdr:cNvSpPr txBox="1">
          <a:spLocks noChangeArrowheads="1"/>
        </xdr:cNvSpPr>
      </xdr:nvSpPr>
      <xdr:spPr bwMode="auto">
        <a:xfrm>
          <a:off x="4032250" y="10375900"/>
          <a:ext cx="127635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88418</xdr:rowOff>
    </xdr:from>
    <xdr:to>
      <xdr:col>5</xdr:col>
      <xdr:colOff>105335</xdr:colOff>
      <xdr:row>53</xdr:row>
      <xdr:rowOff>372067</xdr:rowOff>
    </xdr:to>
    <xdr:sp macro="" textlink="">
      <xdr:nvSpPr>
        <xdr:cNvPr id="258547" name="Text Box 499" hidden="1">
          <a:extLst>
            <a:ext uri="{FF2B5EF4-FFF2-40B4-BE49-F238E27FC236}">
              <a16:creationId xmlns:a16="http://schemas.microsoft.com/office/drawing/2014/main" id="{E5191C5E-D189-480B-A32E-9398F57CDDA4}"/>
            </a:ext>
          </a:extLst>
        </xdr:cNvPr>
        <xdr:cNvSpPr txBox="1">
          <a:spLocks noChangeArrowheads="1"/>
        </xdr:cNvSpPr>
      </xdr:nvSpPr>
      <xdr:spPr bwMode="auto">
        <a:xfrm>
          <a:off x="4032250" y="10509250"/>
          <a:ext cx="12763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467448</xdr:rowOff>
    </xdr:from>
    <xdr:to>
      <xdr:col>5</xdr:col>
      <xdr:colOff>105335</xdr:colOff>
      <xdr:row>55</xdr:row>
      <xdr:rowOff>122600</xdr:rowOff>
    </xdr:to>
    <xdr:sp macro="" textlink="">
      <xdr:nvSpPr>
        <xdr:cNvPr id="258546" name="Text Box 498" hidden="1">
          <a:extLst>
            <a:ext uri="{FF2B5EF4-FFF2-40B4-BE49-F238E27FC236}">
              <a16:creationId xmlns:a16="http://schemas.microsoft.com/office/drawing/2014/main" id="{109C0D23-0B4A-4421-BCC0-61F99F5E2CB4}"/>
            </a:ext>
          </a:extLst>
        </xdr:cNvPr>
        <xdr:cNvSpPr txBox="1">
          <a:spLocks noChangeArrowheads="1"/>
        </xdr:cNvSpPr>
      </xdr:nvSpPr>
      <xdr:spPr bwMode="auto">
        <a:xfrm>
          <a:off x="4032250" y="11607800"/>
          <a:ext cx="12763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68</xdr:row>
      <xdr:rowOff>126028</xdr:rowOff>
    </xdr:to>
    <xdr:sp macro="" textlink="">
      <xdr:nvSpPr>
        <xdr:cNvPr id="258545" name="Text Box 497" hidden="1">
          <a:extLst>
            <a:ext uri="{FF2B5EF4-FFF2-40B4-BE49-F238E27FC236}">
              <a16:creationId xmlns:a16="http://schemas.microsoft.com/office/drawing/2014/main" id="{2CAAABB4-F4CC-44D0-A0E3-6CD25871F565}"/>
            </a:ext>
          </a:extLst>
        </xdr:cNvPr>
        <xdr:cNvSpPr txBox="1">
          <a:spLocks noChangeArrowheads="1"/>
        </xdr:cNvSpPr>
      </xdr:nvSpPr>
      <xdr:spPr bwMode="auto">
        <a:xfrm>
          <a:off x="4032250" y="14179550"/>
          <a:ext cx="12763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219070</xdr:rowOff>
    </xdr:to>
    <xdr:sp macro="" textlink="">
      <xdr:nvSpPr>
        <xdr:cNvPr id="258544" name="Text Box 496" hidden="1">
          <a:extLst>
            <a:ext uri="{FF2B5EF4-FFF2-40B4-BE49-F238E27FC236}">
              <a16:creationId xmlns:a16="http://schemas.microsoft.com/office/drawing/2014/main" id="{73BD3F39-0679-43CC-B68C-0967003B76C5}"/>
            </a:ext>
          </a:extLst>
        </xdr:cNvPr>
        <xdr:cNvSpPr txBox="1">
          <a:spLocks noChangeArrowheads="1"/>
        </xdr:cNvSpPr>
      </xdr:nvSpPr>
      <xdr:spPr bwMode="auto">
        <a:xfrm>
          <a:off x="4032250" y="14363700"/>
          <a:ext cx="12763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71</xdr:row>
      <xdr:rowOff>46373</xdr:rowOff>
    </xdr:to>
    <xdr:sp macro="" textlink="">
      <xdr:nvSpPr>
        <xdr:cNvPr id="258543" name="Text Box 495" hidden="1">
          <a:extLst>
            <a:ext uri="{FF2B5EF4-FFF2-40B4-BE49-F238E27FC236}">
              <a16:creationId xmlns:a16="http://schemas.microsoft.com/office/drawing/2014/main" id="{04B6B02E-8350-4191-937C-38546E79C1FB}"/>
            </a:ext>
          </a:extLst>
        </xdr:cNvPr>
        <xdr:cNvSpPr txBox="1">
          <a:spLocks noChangeArrowheads="1"/>
        </xdr:cNvSpPr>
      </xdr:nvSpPr>
      <xdr:spPr bwMode="auto">
        <a:xfrm>
          <a:off x="4032250" y="1454785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10753</xdr:rowOff>
    </xdr:from>
    <xdr:to>
      <xdr:col>5</xdr:col>
      <xdr:colOff>105335</xdr:colOff>
      <xdr:row>71</xdr:row>
      <xdr:rowOff>46373</xdr:rowOff>
    </xdr:to>
    <xdr:sp macro="" textlink="">
      <xdr:nvSpPr>
        <xdr:cNvPr id="258542" name="Text Box 494" hidden="1">
          <a:extLst>
            <a:ext uri="{FF2B5EF4-FFF2-40B4-BE49-F238E27FC236}">
              <a16:creationId xmlns:a16="http://schemas.microsoft.com/office/drawing/2014/main" id="{164A9E25-CB04-4D6F-BCC4-C5B55C865B04}"/>
            </a:ext>
          </a:extLst>
        </xdr:cNvPr>
        <xdr:cNvSpPr txBox="1">
          <a:spLocks noChangeArrowheads="1"/>
        </xdr:cNvSpPr>
      </xdr:nvSpPr>
      <xdr:spPr bwMode="auto">
        <a:xfrm>
          <a:off x="4032250" y="14732000"/>
          <a:ext cx="12763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115932</xdr:rowOff>
    </xdr:from>
    <xdr:to>
      <xdr:col>5</xdr:col>
      <xdr:colOff>105335</xdr:colOff>
      <xdr:row>89</xdr:row>
      <xdr:rowOff>134982</xdr:rowOff>
    </xdr:to>
    <xdr:sp macro="" textlink="">
      <xdr:nvSpPr>
        <xdr:cNvPr id="258541" name="Text Box 493" hidden="1">
          <a:extLst>
            <a:ext uri="{FF2B5EF4-FFF2-40B4-BE49-F238E27FC236}">
              <a16:creationId xmlns:a16="http://schemas.microsoft.com/office/drawing/2014/main" id="{E9A63A28-C344-4B05-9521-7EE5A4D5EE1B}"/>
            </a:ext>
          </a:extLst>
        </xdr:cNvPr>
        <xdr:cNvSpPr txBox="1">
          <a:spLocks noChangeArrowheads="1"/>
        </xdr:cNvSpPr>
      </xdr:nvSpPr>
      <xdr:spPr bwMode="auto">
        <a:xfrm>
          <a:off x="4032250" y="1990090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66115</xdr:rowOff>
    </xdr:from>
    <xdr:to>
      <xdr:col>5</xdr:col>
      <xdr:colOff>105335</xdr:colOff>
      <xdr:row>115</xdr:row>
      <xdr:rowOff>106870</xdr:rowOff>
    </xdr:to>
    <xdr:sp macro="" textlink="">
      <xdr:nvSpPr>
        <xdr:cNvPr id="258540" name="Text Box 492" hidden="1">
          <a:extLst>
            <a:ext uri="{FF2B5EF4-FFF2-40B4-BE49-F238E27FC236}">
              <a16:creationId xmlns:a16="http://schemas.microsoft.com/office/drawing/2014/main" id="{DD276C6B-E3F5-40FC-8C3E-5C8D317EC4C0}"/>
            </a:ext>
          </a:extLst>
        </xdr:cNvPr>
        <xdr:cNvSpPr txBox="1">
          <a:spLocks noChangeArrowheads="1"/>
        </xdr:cNvSpPr>
      </xdr:nvSpPr>
      <xdr:spPr bwMode="auto">
        <a:xfrm>
          <a:off x="4032250" y="20237450"/>
          <a:ext cx="127635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66115</xdr:rowOff>
    </xdr:from>
    <xdr:to>
      <xdr:col>5</xdr:col>
      <xdr:colOff>105335</xdr:colOff>
      <xdr:row>115</xdr:row>
      <xdr:rowOff>106870</xdr:rowOff>
    </xdr:to>
    <xdr:sp macro="" textlink="">
      <xdr:nvSpPr>
        <xdr:cNvPr id="258539" name="Text Box 491" hidden="1">
          <a:extLst>
            <a:ext uri="{FF2B5EF4-FFF2-40B4-BE49-F238E27FC236}">
              <a16:creationId xmlns:a16="http://schemas.microsoft.com/office/drawing/2014/main" id="{0BA0581A-332D-4D68-93A8-349C63855762}"/>
            </a:ext>
          </a:extLst>
        </xdr:cNvPr>
        <xdr:cNvSpPr txBox="1">
          <a:spLocks noChangeArrowheads="1"/>
        </xdr:cNvSpPr>
      </xdr:nvSpPr>
      <xdr:spPr bwMode="auto">
        <a:xfrm>
          <a:off x="4032250" y="20237450"/>
          <a:ext cx="127635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538" name="Text Box 490" hidden="1">
          <a:extLst>
            <a:ext uri="{FF2B5EF4-FFF2-40B4-BE49-F238E27FC236}">
              <a16:creationId xmlns:a16="http://schemas.microsoft.com/office/drawing/2014/main" id="{44C5F628-6226-4F49-B693-9A1D32272055}"/>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46492</xdr:rowOff>
    </xdr:from>
    <xdr:to>
      <xdr:col>5</xdr:col>
      <xdr:colOff>105335</xdr:colOff>
      <xdr:row>192</xdr:row>
      <xdr:rowOff>145762</xdr:rowOff>
    </xdr:to>
    <xdr:sp macro="" textlink="">
      <xdr:nvSpPr>
        <xdr:cNvPr id="258537" name="Text Box 489" hidden="1">
          <a:extLst>
            <a:ext uri="{FF2B5EF4-FFF2-40B4-BE49-F238E27FC236}">
              <a16:creationId xmlns:a16="http://schemas.microsoft.com/office/drawing/2014/main" id="{C176F1C1-713C-411F-B4A5-C06FC7E081A3}"/>
            </a:ext>
          </a:extLst>
        </xdr:cNvPr>
        <xdr:cNvSpPr txBox="1">
          <a:spLocks noChangeArrowheads="1"/>
        </xdr:cNvSpPr>
      </xdr:nvSpPr>
      <xdr:spPr bwMode="auto">
        <a:xfrm>
          <a:off x="3994150" y="30632400"/>
          <a:ext cx="131445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46491</xdr:rowOff>
    </xdr:from>
    <xdr:to>
      <xdr:col>5</xdr:col>
      <xdr:colOff>105335</xdr:colOff>
      <xdr:row>192</xdr:row>
      <xdr:rowOff>106272</xdr:rowOff>
    </xdr:to>
    <xdr:sp macro="" textlink="">
      <xdr:nvSpPr>
        <xdr:cNvPr id="258536" name="Text Box 488" hidden="1">
          <a:extLst>
            <a:ext uri="{FF2B5EF4-FFF2-40B4-BE49-F238E27FC236}">
              <a16:creationId xmlns:a16="http://schemas.microsoft.com/office/drawing/2014/main" id="{0F1E617B-A4AB-4BF9-88F1-96D52D211DF0}"/>
            </a:ext>
          </a:extLst>
        </xdr:cNvPr>
        <xdr:cNvSpPr txBox="1">
          <a:spLocks noChangeArrowheads="1"/>
        </xdr:cNvSpPr>
      </xdr:nvSpPr>
      <xdr:spPr bwMode="auto">
        <a:xfrm>
          <a:off x="3994150" y="30816550"/>
          <a:ext cx="1314450" cy="44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31029</xdr:rowOff>
    </xdr:from>
    <xdr:to>
      <xdr:col>5</xdr:col>
      <xdr:colOff>105335</xdr:colOff>
      <xdr:row>195</xdr:row>
      <xdr:rowOff>122505</xdr:rowOff>
    </xdr:to>
    <xdr:sp macro="" textlink="">
      <xdr:nvSpPr>
        <xdr:cNvPr id="258535" name="Text Box 487" hidden="1">
          <a:extLst>
            <a:ext uri="{FF2B5EF4-FFF2-40B4-BE49-F238E27FC236}">
              <a16:creationId xmlns:a16="http://schemas.microsoft.com/office/drawing/2014/main" id="{C59AC5E2-6A66-4BAC-8598-30E20AF8651A}"/>
            </a:ext>
          </a:extLst>
        </xdr:cNvPr>
        <xdr:cNvSpPr txBox="1">
          <a:spLocks noChangeArrowheads="1"/>
        </xdr:cNvSpPr>
      </xdr:nvSpPr>
      <xdr:spPr bwMode="auto">
        <a:xfrm>
          <a:off x="3994150" y="310007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150233</xdr:rowOff>
    </xdr:from>
    <xdr:to>
      <xdr:col>5</xdr:col>
      <xdr:colOff>105335</xdr:colOff>
      <xdr:row>196</xdr:row>
      <xdr:rowOff>122505</xdr:rowOff>
    </xdr:to>
    <xdr:sp macro="" textlink="">
      <xdr:nvSpPr>
        <xdr:cNvPr id="258534" name="Text Box 486" hidden="1">
          <a:extLst>
            <a:ext uri="{FF2B5EF4-FFF2-40B4-BE49-F238E27FC236}">
              <a16:creationId xmlns:a16="http://schemas.microsoft.com/office/drawing/2014/main" id="{BEA9AE7F-BE64-43AB-A56E-72545EB06630}"/>
            </a:ext>
          </a:extLst>
        </xdr:cNvPr>
        <xdr:cNvSpPr txBox="1">
          <a:spLocks noChangeArrowheads="1"/>
        </xdr:cNvSpPr>
      </xdr:nvSpPr>
      <xdr:spPr bwMode="auto">
        <a:xfrm>
          <a:off x="3994150" y="3118485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132</xdr:row>
      <xdr:rowOff>116775</xdr:rowOff>
    </xdr:from>
    <xdr:to>
      <xdr:col>5</xdr:col>
      <xdr:colOff>105335</xdr:colOff>
      <xdr:row>183</xdr:row>
      <xdr:rowOff>7062</xdr:rowOff>
    </xdr:to>
    <xdr:sp macro="" textlink="">
      <xdr:nvSpPr>
        <xdr:cNvPr id="258533" name="Text Box 485" hidden="1">
          <a:extLst>
            <a:ext uri="{FF2B5EF4-FFF2-40B4-BE49-F238E27FC236}">
              <a16:creationId xmlns:a16="http://schemas.microsoft.com/office/drawing/2014/main" id="{18F485B8-B266-4BAD-A016-A76B02296F11}"/>
            </a:ext>
          </a:extLst>
        </xdr:cNvPr>
        <xdr:cNvSpPr txBox="1">
          <a:spLocks noChangeArrowheads="1"/>
        </xdr:cNvSpPr>
      </xdr:nvSpPr>
      <xdr:spPr bwMode="auto">
        <a:xfrm>
          <a:off x="3994150" y="2823845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133</xdr:row>
      <xdr:rowOff>145857</xdr:rowOff>
    </xdr:from>
    <xdr:to>
      <xdr:col>5</xdr:col>
      <xdr:colOff>105335</xdr:colOff>
      <xdr:row>183</xdr:row>
      <xdr:rowOff>47670</xdr:rowOff>
    </xdr:to>
    <xdr:sp macro="" textlink="">
      <xdr:nvSpPr>
        <xdr:cNvPr id="258532" name="Text Box 484" hidden="1">
          <a:extLst>
            <a:ext uri="{FF2B5EF4-FFF2-40B4-BE49-F238E27FC236}">
              <a16:creationId xmlns:a16="http://schemas.microsoft.com/office/drawing/2014/main" id="{97B3FDEE-34F2-481E-86FC-150DFF254B3A}"/>
            </a:ext>
          </a:extLst>
        </xdr:cNvPr>
        <xdr:cNvSpPr txBox="1">
          <a:spLocks noChangeArrowheads="1"/>
        </xdr:cNvSpPr>
      </xdr:nvSpPr>
      <xdr:spPr bwMode="auto">
        <a:xfrm>
          <a:off x="3994150" y="2846070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134</xdr:row>
      <xdr:rowOff>145857</xdr:rowOff>
    </xdr:from>
    <xdr:to>
      <xdr:col>5</xdr:col>
      <xdr:colOff>105335</xdr:colOff>
      <xdr:row>183</xdr:row>
      <xdr:rowOff>101645</xdr:rowOff>
    </xdr:to>
    <xdr:sp macro="" textlink="">
      <xdr:nvSpPr>
        <xdr:cNvPr id="258531" name="Text Box 483" hidden="1">
          <a:extLst>
            <a:ext uri="{FF2B5EF4-FFF2-40B4-BE49-F238E27FC236}">
              <a16:creationId xmlns:a16="http://schemas.microsoft.com/office/drawing/2014/main" id="{3D96016B-1643-4017-A2F6-AB5E0C91F75C}"/>
            </a:ext>
          </a:extLst>
        </xdr:cNvPr>
        <xdr:cNvSpPr txBox="1">
          <a:spLocks noChangeArrowheads="1"/>
        </xdr:cNvSpPr>
      </xdr:nvSpPr>
      <xdr:spPr bwMode="auto">
        <a:xfrm>
          <a:off x="3994150" y="286448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123897</xdr:rowOff>
    </xdr:from>
    <xdr:to>
      <xdr:col>5</xdr:col>
      <xdr:colOff>105335</xdr:colOff>
      <xdr:row>184</xdr:row>
      <xdr:rowOff>162522</xdr:rowOff>
    </xdr:to>
    <xdr:sp macro="" textlink="">
      <xdr:nvSpPr>
        <xdr:cNvPr id="258530" name="Text Box 482" hidden="1">
          <a:extLst>
            <a:ext uri="{FF2B5EF4-FFF2-40B4-BE49-F238E27FC236}">
              <a16:creationId xmlns:a16="http://schemas.microsoft.com/office/drawing/2014/main" id="{A2867930-67DB-4580-A683-4C21205368D6}"/>
            </a:ext>
          </a:extLst>
        </xdr:cNvPr>
        <xdr:cNvSpPr txBox="1">
          <a:spLocks noChangeArrowheads="1"/>
        </xdr:cNvSpPr>
      </xdr:nvSpPr>
      <xdr:spPr bwMode="auto">
        <a:xfrm>
          <a:off x="3994150" y="288290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85</xdr:row>
      <xdr:rowOff>144129</xdr:rowOff>
    </xdr:from>
    <xdr:to>
      <xdr:col>5</xdr:col>
      <xdr:colOff>287804</xdr:colOff>
      <xdr:row>93</xdr:row>
      <xdr:rowOff>77341</xdr:rowOff>
    </xdr:to>
    <xdr:sp macro="" textlink="">
      <xdr:nvSpPr>
        <xdr:cNvPr id="258573" name="Text Box 525" hidden="1">
          <a:extLst>
            <a:ext uri="{FF2B5EF4-FFF2-40B4-BE49-F238E27FC236}">
              <a16:creationId xmlns:a16="http://schemas.microsoft.com/office/drawing/2014/main" id="{F23EC605-AD4A-4E4B-975A-D90EF71CA4C2}"/>
            </a:ext>
          </a:extLst>
        </xdr:cNvPr>
        <xdr:cNvSpPr txBox="1">
          <a:spLocks noChangeArrowheads="1"/>
        </xdr:cNvSpPr>
      </xdr:nvSpPr>
      <xdr:spPr bwMode="auto">
        <a:xfrm>
          <a:off x="3924300" y="19440525"/>
          <a:ext cx="139065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133617</xdr:rowOff>
    </xdr:from>
    <xdr:to>
      <xdr:col>5</xdr:col>
      <xdr:colOff>105335</xdr:colOff>
      <xdr:row>58</xdr:row>
      <xdr:rowOff>125297</xdr:rowOff>
    </xdr:to>
    <xdr:sp macro="" textlink="">
      <xdr:nvSpPr>
        <xdr:cNvPr id="258572" name="Text Box 524" hidden="1">
          <a:extLst>
            <a:ext uri="{FF2B5EF4-FFF2-40B4-BE49-F238E27FC236}">
              <a16:creationId xmlns:a16="http://schemas.microsoft.com/office/drawing/2014/main" id="{7FBFE392-3485-4F7E-81FF-56BB4D648EFE}"/>
            </a:ext>
          </a:extLst>
        </xdr:cNvPr>
        <xdr:cNvSpPr txBox="1">
          <a:spLocks noChangeArrowheads="1"/>
        </xdr:cNvSpPr>
      </xdr:nvSpPr>
      <xdr:spPr bwMode="auto">
        <a:xfrm>
          <a:off x="3886200" y="10220325"/>
          <a:ext cx="1238250" cy="325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133617</xdr:rowOff>
    </xdr:from>
    <xdr:to>
      <xdr:col>5</xdr:col>
      <xdr:colOff>105335</xdr:colOff>
      <xdr:row>58</xdr:row>
      <xdr:rowOff>125297</xdr:rowOff>
    </xdr:to>
    <xdr:sp macro="" textlink="">
      <xdr:nvSpPr>
        <xdr:cNvPr id="258571" name="Text Box 523" hidden="1">
          <a:extLst>
            <a:ext uri="{FF2B5EF4-FFF2-40B4-BE49-F238E27FC236}">
              <a16:creationId xmlns:a16="http://schemas.microsoft.com/office/drawing/2014/main" id="{DB82EB6D-C7C2-4A32-AD26-DBB39B8DEBD0}"/>
            </a:ext>
          </a:extLst>
        </xdr:cNvPr>
        <xdr:cNvSpPr txBox="1">
          <a:spLocks noChangeArrowheads="1"/>
        </xdr:cNvSpPr>
      </xdr:nvSpPr>
      <xdr:spPr bwMode="auto">
        <a:xfrm>
          <a:off x="3886200" y="10220325"/>
          <a:ext cx="1238250" cy="325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141074</xdr:rowOff>
    </xdr:from>
    <xdr:to>
      <xdr:col>5</xdr:col>
      <xdr:colOff>105335</xdr:colOff>
      <xdr:row>53</xdr:row>
      <xdr:rowOff>467448</xdr:rowOff>
    </xdr:to>
    <xdr:sp macro="" textlink="">
      <xdr:nvSpPr>
        <xdr:cNvPr id="258570" name="Text Box 522" hidden="1">
          <a:extLst>
            <a:ext uri="{FF2B5EF4-FFF2-40B4-BE49-F238E27FC236}">
              <a16:creationId xmlns:a16="http://schemas.microsoft.com/office/drawing/2014/main" id="{4D81ABA4-81F8-4603-B14E-FC6155890034}"/>
            </a:ext>
          </a:extLst>
        </xdr:cNvPr>
        <xdr:cNvSpPr txBox="1">
          <a:spLocks noChangeArrowheads="1"/>
        </xdr:cNvSpPr>
      </xdr:nvSpPr>
      <xdr:spPr bwMode="auto">
        <a:xfrm>
          <a:off x="3886200" y="10420350"/>
          <a:ext cx="12382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88418</xdr:rowOff>
    </xdr:from>
    <xdr:to>
      <xdr:col>5</xdr:col>
      <xdr:colOff>105335</xdr:colOff>
      <xdr:row>53</xdr:row>
      <xdr:rowOff>372067</xdr:rowOff>
    </xdr:to>
    <xdr:sp macro="" textlink="">
      <xdr:nvSpPr>
        <xdr:cNvPr id="258569" name="Text Box 521" hidden="1">
          <a:extLst>
            <a:ext uri="{FF2B5EF4-FFF2-40B4-BE49-F238E27FC236}">
              <a16:creationId xmlns:a16="http://schemas.microsoft.com/office/drawing/2014/main" id="{19A57FAD-1860-4A7E-A041-BFA0E8006205}"/>
            </a:ext>
          </a:extLst>
        </xdr:cNvPr>
        <xdr:cNvSpPr txBox="1">
          <a:spLocks noChangeArrowheads="1"/>
        </xdr:cNvSpPr>
      </xdr:nvSpPr>
      <xdr:spPr bwMode="auto">
        <a:xfrm>
          <a:off x="3886200" y="10553700"/>
          <a:ext cx="12382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467448</xdr:rowOff>
    </xdr:from>
    <xdr:to>
      <xdr:col>5</xdr:col>
      <xdr:colOff>105335</xdr:colOff>
      <xdr:row>55</xdr:row>
      <xdr:rowOff>122600</xdr:rowOff>
    </xdr:to>
    <xdr:sp macro="" textlink="">
      <xdr:nvSpPr>
        <xdr:cNvPr id="258568" name="Text Box 520" hidden="1">
          <a:extLst>
            <a:ext uri="{FF2B5EF4-FFF2-40B4-BE49-F238E27FC236}">
              <a16:creationId xmlns:a16="http://schemas.microsoft.com/office/drawing/2014/main" id="{595A592B-7BB6-4629-B9E1-46E530124FB8}"/>
            </a:ext>
          </a:extLst>
        </xdr:cNvPr>
        <xdr:cNvSpPr txBox="1">
          <a:spLocks noChangeArrowheads="1"/>
        </xdr:cNvSpPr>
      </xdr:nvSpPr>
      <xdr:spPr bwMode="auto">
        <a:xfrm>
          <a:off x="3886200" y="11658600"/>
          <a:ext cx="123825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105335</xdr:colOff>
      <xdr:row>68</xdr:row>
      <xdr:rowOff>126028</xdr:rowOff>
    </xdr:to>
    <xdr:sp macro="" textlink="">
      <xdr:nvSpPr>
        <xdr:cNvPr id="258567" name="Text Box 519" hidden="1">
          <a:extLst>
            <a:ext uri="{FF2B5EF4-FFF2-40B4-BE49-F238E27FC236}">
              <a16:creationId xmlns:a16="http://schemas.microsoft.com/office/drawing/2014/main" id="{425AC54E-E4A9-498A-B4F0-67E746DB302F}"/>
            </a:ext>
          </a:extLst>
        </xdr:cNvPr>
        <xdr:cNvSpPr txBox="1">
          <a:spLocks noChangeArrowheads="1"/>
        </xdr:cNvSpPr>
      </xdr:nvSpPr>
      <xdr:spPr bwMode="auto">
        <a:xfrm>
          <a:off x="3886200" y="14277975"/>
          <a:ext cx="1238250"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25406</xdr:rowOff>
    </xdr:from>
    <xdr:to>
      <xdr:col>5</xdr:col>
      <xdr:colOff>105335</xdr:colOff>
      <xdr:row>70</xdr:row>
      <xdr:rowOff>219070</xdr:rowOff>
    </xdr:to>
    <xdr:sp macro="" textlink="">
      <xdr:nvSpPr>
        <xdr:cNvPr id="258566" name="Text Box 518" hidden="1">
          <a:extLst>
            <a:ext uri="{FF2B5EF4-FFF2-40B4-BE49-F238E27FC236}">
              <a16:creationId xmlns:a16="http://schemas.microsoft.com/office/drawing/2014/main" id="{4732041D-2763-461F-8838-7D8DDF8E0BB6}"/>
            </a:ext>
          </a:extLst>
        </xdr:cNvPr>
        <xdr:cNvSpPr txBox="1">
          <a:spLocks noChangeArrowheads="1"/>
        </xdr:cNvSpPr>
      </xdr:nvSpPr>
      <xdr:spPr bwMode="auto">
        <a:xfrm>
          <a:off x="3886200" y="14468475"/>
          <a:ext cx="12382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47094</xdr:rowOff>
    </xdr:from>
    <xdr:to>
      <xdr:col>5</xdr:col>
      <xdr:colOff>105335</xdr:colOff>
      <xdr:row>71</xdr:row>
      <xdr:rowOff>46373</xdr:rowOff>
    </xdr:to>
    <xdr:sp macro="" textlink="">
      <xdr:nvSpPr>
        <xdr:cNvPr id="258565" name="Text Box 517" hidden="1">
          <a:extLst>
            <a:ext uri="{FF2B5EF4-FFF2-40B4-BE49-F238E27FC236}">
              <a16:creationId xmlns:a16="http://schemas.microsoft.com/office/drawing/2014/main" id="{3524253E-1E00-4151-B417-7B4490770C2A}"/>
            </a:ext>
          </a:extLst>
        </xdr:cNvPr>
        <xdr:cNvSpPr txBox="1">
          <a:spLocks noChangeArrowheads="1"/>
        </xdr:cNvSpPr>
      </xdr:nvSpPr>
      <xdr:spPr bwMode="auto">
        <a:xfrm>
          <a:off x="3886200" y="14658975"/>
          <a:ext cx="1238250"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10753</xdr:rowOff>
    </xdr:from>
    <xdr:to>
      <xdr:col>5</xdr:col>
      <xdr:colOff>105335</xdr:colOff>
      <xdr:row>71</xdr:row>
      <xdr:rowOff>46373</xdr:rowOff>
    </xdr:to>
    <xdr:sp macro="" textlink="">
      <xdr:nvSpPr>
        <xdr:cNvPr id="258564" name="Text Box 516" hidden="1">
          <a:extLst>
            <a:ext uri="{FF2B5EF4-FFF2-40B4-BE49-F238E27FC236}">
              <a16:creationId xmlns:a16="http://schemas.microsoft.com/office/drawing/2014/main" id="{75B019BF-B3C0-44A4-BA8A-13B785BACE19}"/>
            </a:ext>
          </a:extLst>
        </xdr:cNvPr>
        <xdr:cNvSpPr txBox="1">
          <a:spLocks noChangeArrowheads="1"/>
        </xdr:cNvSpPr>
      </xdr:nvSpPr>
      <xdr:spPr bwMode="auto">
        <a:xfrm>
          <a:off x="3886200" y="14849475"/>
          <a:ext cx="1238250"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115932</xdr:rowOff>
    </xdr:from>
    <xdr:to>
      <xdr:col>5</xdr:col>
      <xdr:colOff>105335</xdr:colOff>
      <xdr:row>89</xdr:row>
      <xdr:rowOff>134982</xdr:rowOff>
    </xdr:to>
    <xdr:sp macro="" textlink="">
      <xdr:nvSpPr>
        <xdr:cNvPr id="258563" name="Text Box 515" hidden="1">
          <a:extLst>
            <a:ext uri="{FF2B5EF4-FFF2-40B4-BE49-F238E27FC236}">
              <a16:creationId xmlns:a16="http://schemas.microsoft.com/office/drawing/2014/main" id="{E35326B6-7C6F-4502-9830-19476DA7EECC}"/>
            </a:ext>
          </a:extLst>
        </xdr:cNvPr>
        <xdr:cNvSpPr txBox="1">
          <a:spLocks noChangeArrowheads="1"/>
        </xdr:cNvSpPr>
      </xdr:nvSpPr>
      <xdr:spPr bwMode="auto">
        <a:xfrm>
          <a:off x="3886200" y="20164425"/>
          <a:ext cx="12382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66115</xdr:rowOff>
    </xdr:from>
    <xdr:to>
      <xdr:col>5</xdr:col>
      <xdr:colOff>105335</xdr:colOff>
      <xdr:row>115</xdr:row>
      <xdr:rowOff>106870</xdr:rowOff>
    </xdr:to>
    <xdr:sp macro="" textlink="">
      <xdr:nvSpPr>
        <xdr:cNvPr id="258562" name="Text Box 514" hidden="1">
          <a:extLst>
            <a:ext uri="{FF2B5EF4-FFF2-40B4-BE49-F238E27FC236}">
              <a16:creationId xmlns:a16="http://schemas.microsoft.com/office/drawing/2014/main" id="{82A0BD41-B9AE-47DE-8573-05A7D63E2D8C}"/>
            </a:ext>
          </a:extLst>
        </xdr:cNvPr>
        <xdr:cNvSpPr txBox="1">
          <a:spLocks noChangeArrowheads="1"/>
        </xdr:cNvSpPr>
      </xdr:nvSpPr>
      <xdr:spPr bwMode="auto">
        <a:xfrm>
          <a:off x="3886200" y="20507325"/>
          <a:ext cx="1238250" cy="499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66115</xdr:rowOff>
    </xdr:from>
    <xdr:to>
      <xdr:col>5</xdr:col>
      <xdr:colOff>105335</xdr:colOff>
      <xdr:row>115</xdr:row>
      <xdr:rowOff>106870</xdr:rowOff>
    </xdr:to>
    <xdr:sp macro="" textlink="">
      <xdr:nvSpPr>
        <xdr:cNvPr id="258561" name="Text Box 513" hidden="1">
          <a:extLst>
            <a:ext uri="{FF2B5EF4-FFF2-40B4-BE49-F238E27FC236}">
              <a16:creationId xmlns:a16="http://schemas.microsoft.com/office/drawing/2014/main" id="{77AC0FAD-68E0-4AC6-9138-0981A45E0D38}"/>
            </a:ext>
          </a:extLst>
        </xdr:cNvPr>
        <xdr:cNvSpPr txBox="1">
          <a:spLocks noChangeArrowheads="1"/>
        </xdr:cNvSpPr>
      </xdr:nvSpPr>
      <xdr:spPr bwMode="auto">
        <a:xfrm>
          <a:off x="3886200" y="20507325"/>
          <a:ext cx="1238250" cy="499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560" name="Text Box 512" hidden="1">
          <a:extLst>
            <a:ext uri="{FF2B5EF4-FFF2-40B4-BE49-F238E27FC236}">
              <a16:creationId xmlns:a16="http://schemas.microsoft.com/office/drawing/2014/main" id="{0EF80BFF-1E0A-466B-B174-4B13D5C501EA}"/>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46492</xdr:rowOff>
    </xdr:from>
    <xdr:to>
      <xdr:col>5</xdr:col>
      <xdr:colOff>105335</xdr:colOff>
      <xdr:row>192</xdr:row>
      <xdr:rowOff>145762</xdr:rowOff>
    </xdr:to>
    <xdr:sp macro="" textlink="">
      <xdr:nvSpPr>
        <xdr:cNvPr id="258559" name="Text Box 511" hidden="1">
          <a:extLst>
            <a:ext uri="{FF2B5EF4-FFF2-40B4-BE49-F238E27FC236}">
              <a16:creationId xmlns:a16="http://schemas.microsoft.com/office/drawing/2014/main" id="{6AEC1617-A76F-4CEB-B369-5DC238FAD522}"/>
            </a:ext>
          </a:extLst>
        </xdr:cNvPr>
        <xdr:cNvSpPr txBox="1">
          <a:spLocks noChangeArrowheads="1"/>
        </xdr:cNvSpPr>
      </xdr:nvSpPr>
      <xdr:spPr bwMode="auto">
        <a:xfrm>
          <a:off x="3848100" y="31203900"/>
          <a:ext cx="12763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46491</xdr:rowOff>
    </xdr:from>
    <xdr:to>
      <xdr:col>5</xdr:col>
      <xdr:colOff>105335</xdr:colOff>
      <xdr:row>192</xdr:row>
      <xdr:rowOff>106272</xdr:rowOff>
    </xdr:to>
    <xdr:sp macro="" textlink="">
      <xdr:nvSpPr>
        <xdr:cNvPr id="258558" name="Text Box 510" hidden="1">
          <a:extLst>
            <a:ext uri="{FF2B5EF4-FFF2-40B4-BE49-F238E27FC236}">
              <a16:creationId xmlns:a16="http://schemas.microsoft.com/office/drawing/2014/main" id="{221B8B82-7032-4B28-892E-AE5C93304C18}"/>
            </a:ext>
          </a:extLst>
        </xdr:cNvPr>
        <xdr:cNvSpPr txBox="1">
          <a:spLocks noChangeArrowheads="1"/>
        </xdr:cNvSpPr>
      </xdr:nvSpPr>
      <xdr:spPr bwMode="auto">
        <a:xfrm>
          <a:off x="3848100" y="31394400"/>
          <a:ext cx="127635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31029</xdr:rowOff>
    </xdr:from>
    <xdr:to>
      <xdr:col>5</xdr:col>
      <xdr:colOff>105335</xdr:colOff>
      <xdr:row>195</xdr:row>
      <xdr:rowOff>122505</xdr:rowOff>
    </xdr:to>
    <xdr:sp macro="" textlink="">
      <xdr:nvSpPr>
        <xdr:cNvPr id="258557" name="Text Box 509" hidden="1">
          <a:extLst>
            <a:ext uri="{FF2B5EF4-FFF2-40B4-BE49-F238E27FC236}">
              <a16:creationId xmlns:a16="http://schemas.microsoft.com/office/drawing/2014/main" id="{BE982765-56BA-4807-8314-BC360C47DD2C}"/>
            </a:ext>
          </a:extLst>
        </xdr:cNvPr>
        <xdr:cNvSpPr txBox="1">
          <a:spLocks noChangeArrowheads="1"/>
        </xdr:cNvSpPr>
      </xdr:nvSpPr>
      <xdr:spPr bwMode="auto">
        <a:xfrm>
          <a:off x="3848100" y="31584900"/>
          <a:ext cx="1276350" cy="885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150233</xdr:rowOff>
    </xdr:from>
    <xdr:to>
      <xdr:col>5</xdr:col>
      <xdr:colOff>105335</xdr:colOff>
      <xdr:row>196</xdr:row>
      <xdr:rowOff>122505</xdr:rowOff>
    </xdr:to>
    <xdr:sp macro="" textlink="">
      <xdr:nvSpPr>
        <xdr:cNvPr id="258556" name="Text Box 508" hidden="1">
          <a:extLst>
            <a:ext uri="{FF2B5EF4-FFF2-40B4-BE49-F238E27FC236}">
              <a16:creationId xmlns:a16="http://schemas.microsoft.com/office/drawing/2014/main" id="{E52FB612-71C0-430B-9FF6-BD9EBA77CC9B}"/>
            </a:ext>
          </a:extLst>
        </xdr:cNvPr>
        <xdr:cNvSpPr txBox="1">
          <a:spLocks noChangeArrowheads="1"/>
        </xdr:cNvSpPr>
      </xdr:nvSpPr>
      <xdr:spPr bwMode="auto">
        <a:xfrm>
          <a:off x="3848100" y="31775400"/>
          <a:ext cx="1276350" cy="885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132</xdr:row>
      <xdr:rowOff>116775</xdr:rowOff>
    </xdr:from>
    <xdr:to>
      <xdr:col>5</xdr:col>
      <xdr:colOff>105335</xdr:colOff>
      <xdr:row>183</xdr:row>
      <xdr:rowOff>7062</xdr:rowOff>
    </xdr:to>
    <xdr:sp macro="" textlink="">
      <xdr:nvSpPr>
        <xdr:cNvPr id="258555" name="Text Box 507" hidden="1">
          <a:extLst>
            <a:ext uri="{FF2B5EF4-FFF2-40B4-BE49-F238E27FC236}">
              <a16:creationId xmlns:a16="http://schemas.microsoft.com/office/drawing/2014/main" id="{D2129FCB-EE19-4A6C-B368-2297577F8E70}"/>
            </a:ext>
          </a:extLst>
        </xdr:cNvPr>
        <xdr:cNvSpPr txBox="1">
          <a:spLocks noChangeArrowheads="1"/>
        </xdr:cNvSpPr>
      </xdr:nvSpPr>
      <xdr:spPr bwMode="auto">
        <a:xfrm>
          <a:off x="3848100" y="28775025"/>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133</xdr:row>
      <xdr:rowOff>145857</xdr:rowOff>
    </xdr:from>
    <xdr:to>
      <xdr:col>5</xdr:col>
      <xdr:colOff>105335</xdr:colOff>
      <xdr:row>183</xdr:row>
      <xdr:rowOff>47670</xdr:rowOff>
    </xdr:to>
    <xdr:sp macro="" textlink="">
      <xdr:nvSpPr>
        <xdr:cNvPr id="258554" name="Text Box 506" hidden="1">
          <a:extLst>
            <a:ext uri="{FF2B5EF4-FFF2-40B4-BE49-F238E27FC236}">
              <a16:creationId xmlns:a16="http://schemas.microsoft.com/office/drawing/2014/main" id="{4C55EAFC-B152-4A8C-A2D9-8197974E3C7B}"/>
            </a:ext>
          </a:extLst>
        </xdr:cNvPr>
        <xdr:cNvSpPr txBox="1">
          <a:spLocks noChangeArrowheads="1"/>
        </xdr:cNvSpPr>
      </xdr:nvSpPr>
      <xdr:spPr bwMode="auto">
        <a:xfrm>
          <a:off x="3848100" y="29003625"/>
          <a:ext cx="12763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134</xdr:row>
      <xdr:rowOff>145857</xdr:rowOff>
    </xdr:from>
    <xdr:to>
      <xdr:col>5</xdr:col>
      <xdr:colOff>105335</xdr:colOff>
      <xdr:row>183</xdr:row>
      <xdr:rowOff>101645</xdr:rowOff>
    </xdr:to>
    <xdr:sp macro="" textlink="">
      <xdr:nvSpPr>
        <xdr:cNvPr id="258553" name="Text Box 505" hidden="1">
          <a:extLst>
            <a:ext uri="{FF2B5EF4-FFF2-40B4-BE49-F238E27FC236}">
              <a16:creationId xmlns:a16="http://schemas.microsoft.com/office/drawing/2014/main" id="{A8C978D4-FD02-4287-8B33-6C58D9C87922}"/>
            </a:ext>
          </a:extLst>
        </xdr:cNvPr>
        <xdr:cNvSpPr txBox="1">
          <a:spLocks noChangeArrowheads="1"/>
        </xdr:cNvSpPr>
      </xdr:nvSpPr>
      <xdr:spPr bwMode="auto">
        <a:xfrm>
          <a:off x="3848100" y="291941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123897</xdr:rowOff>
    </xdr:from>
    <xdr:to>
      <xdr:col>5</xdr:col>
      <xdr:colOff>105335</xdr:colOff>
      <xdr:row>184</xdr:row>
      <xdr:rowOff>162522</xdr:rowOff>
    </xdr:to>
    <xdr:sp macro="" textlink="">
      <xdr:nvSpPr>
        <xdr:cNvPr id="258552" name="Text Box 504" hidden="1">
          <a:extLst>
            <a:ext uri="{FF2B5EF4-FFF2-40B4-BE49-F238E27FC236}">
              <a16:creationId xmlns:a16="http://schemas.microsoft.com/office/drawing/2014/main" id="{9A9579CD-1B1D-4A24-A6DB-DC00BF760433}"/>
            </a:ext>
          </a:extLst>
        </xdr:cNvPr>
        <xdr:cNvSpPr txBox="1">
          <a:spLocks noChangeArrowheads="1"/>
        </xdr:cNvSpPr>
      </xdr:nvSpPr>
      <xdr:spPr bwMode="auto">
        <a:xfrm>
          <a:off x="3848100" y="29384625"/>
          <a:ext cx="1276350" cy="904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258582" name="Text Box 534" hidden="1">
          <a:extLst>
            <a:ext uri="{FF2B5EF4-FFF2-40B4-BE49-F238E27FC236}">
              <a16:creationId xmlns:a16="http://schemas.microsoft.com/office/drawing/2014/main" id="{E774108E-7E6F-4CA8-817D-CF787CBC77C1}"/>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50462</xdr:rowOff>
    </xdr:from>
    <xdr:to>
      <xdr:col>5</xdr:col>
      <xdr:colOff>105335</xdr:colOff>
      <xdr:row>234</xdr:row>
      <xdr:rowOff>67129</xdr:rowOff>
    </xdr:to>
    <xdr:sp macro="" textlink="">
      <xdr:nvSpPr>
        <xdr:cNvPr id="258581" name="Text Box 533" hidden="1">
          <a:extLst>
            <a:ext uri="{FF2B5EF4-FFF2-40B4-BE49-F238E27FC236}">
              <a16:creationId xmlns:a16="http://schemas.microsoft.com/office/drawing/2014/main" id="{7783A726-C0A2-40AA-BEFC-A2B3D0E146BE}"/>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20708</xdr:rowOff>
    </xdr:from>
    <xdr:to>
      <xdr:col>5</xdr:col>
      <xdr:colOff>105335</xdr:colOff>
      <xdr:row>233</xdr:row>
      <xdr:rowOff>145735</xdr:rowOff>
    </xdr:to>
    <xdr:sp macro="" textlink="">
      <xdr:nvSpPr>
        <xdr:cNvPr id="258580" name="Text Box 532" hidden="1">
          <a:extLst>
            <a:ext uri="{FF2B5EF4-FFF2-40B4-BE49-F238E27FC236}">
              <a16:creationId xmlns:a16="http://schemas.microsoft.com/office/drawing/2014/main" id="{1749FA92-9CCB-4532-AFB8-7496CD671872}"/>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149438</xdr:rowOff>
    </xdr:from>
    <xdr:to>
      <xdr:col>5</xdr:col>
      <xdr:colOff>105335</xdr:colOff>
      <xdr:row>235</xdr:row>
      <xdr:rowOff>67130</xdr:rowOff>
    </xdr:to>
    <xdr:sp macro="" textlink="">
      <xdr:nvSpPr>
        <xdr:cNvPr id="258579" name="Text Box 531" hidden="1">
          <a:extLst>
            <a:ext uri="{FF2B5EF4-FFF2-40B4-BE49-F238E27FC236}">
              <a16:creationId xmlns:a16="http://schemas.microsoft.com/office/drawing/2014/main" id="{A98F79D8-6839-4D60-B896-5F0B8074706F}"/>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149438</xdr:rowOff>
    </xdr:from>
    <xdr:to>
      <xdr:col>5</xdr:col>
      <xdr:colOff>105335</xdr:colOff>
      <xdr:row>222</xdr:row>
      <xdr:rowOff>149438</xdr:rowOff>
    </xdr:to>
    <xdr:sp macro="" textlink="">
      <xdr:nvSpPr>
        <xdr:cNvPr id="258578" name="Text Box 530" hidden="1">
          <a:extLst>
            <a:ext uri="{FF2B5EF4-FFF2-40B4-BE49-F238E27FC236}">
              <a16:creationId xmlns:a16="http://schemas.microsoft.com/office/drawing/2014/main" id="{D78E8821-2DF5-43BB-893F-4CC268AC2471}"/>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150232</xdr:rowOff>
    </xdr:from>
    <xdr:to>
      <xdr:col>5</xdr:col>
      <xdr:colOff>105335</xdr:colOff>
      <xdr:row>199</xdr:row>
      <xdr:rowOff>145735</xdr:rowOff>
    </xdr:to>
    <xdr:sp macro="" textlink="">
      <xdr:nvSpPr>
        <xdr:cNvPr id="258577" name="Text Box 529" hidden="1">
          <a:extLst>
            <a:ext uri="{FF2B5EF4-FFF2-40B4-BE49-F238E27FC236}">
              <a16:creationId xmlns:a16="http://schemas.microsoft.com/office/drawing/2014/main" id="{A459C258-CB99-4D59-A23E-AE91F4BB9055}"/>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29992</xdr:rowOff>
    </xdr:from>
    <xdr:to>
      <xdr:col>5</xdr:col>
      <xdr:colOff>105335</xdr:colOff>
      <xdr:row>201</xdr:row>
      <xdr:rowOff>1659</xdr:rowOff>
    </xdr:to>
    <xdr:sp macro="" textlink="">
      <xdr:nvSpPr>
        <xdr:cNvPr id="258576" name="Text Box 528" hidden="1">
          <a:extLst>
            <a:ext uri="{FF2B5EF4-FFF2-40B4-BE49-F238E27FC236}">
              <a16:creationId xmlns:a16="http://schemas.microsoft.com/office/drawing/2014/main" id="{B8FB58CE-1526-4013-9364-16E19AC75FB5}"/>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8563</xdr:rowOff>
    </xdr:from>
    <xdr:to>
      <xdr:col>5</xdr:col>
      <xdr:colOff>105335</xdr:colOff>
      <xdr:row>202</xdr:row>
      <xdr:rowOff>67129</xdr:rowOff>
    </xdr:to>
    <xdr:sp macro="" textlink="">
      <xdr:nvSpPr>
        <xdr:cNvPr id="258575" name="Text Box 527" hidden="1">
          <a:extLst>
            <a:ext uri="{FF2B5EF4-FFF2-40B4-BE49-F238E27FC236}">
              <a16:creationId xmlns:a16="http://schemas.microsoft.com/office/drawing/2014/main" id="{A37AA181-660D-41C8-BF76-CDD714C4DA48}"/>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149439</xdr:rowOff>
    </xdr:from>
    <xdr:to>
      <xdr:col>5</xdr:col>
      <xdr:colOff>105335</xdr:colOff>
      <xdr:row>209</xdr:row>
      <xdr:rowOff>20708</xdr:rowOff>
    </xdr:to>
    <xdr:sp macro="" textlink="">
      <xdr:nvSpPr>
        <xdr:cNvPr id="258574" name="Text Box 526" hidden="1">
          <a:extLst>
            <a:ext uri="{FF2B5EF4-FFF2-40B4-BE49-F238E27FC236}">
              <a16:creationId xmlns:a16="http://schemas.microsoft.com/office/drawing/2014/main" id="{ED46AEC1-4E98-4F14-86F1-FA0E1B4CB713}"/>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105335</xdr:colOff>
      <xdr:row>13</xdr:row>
      <xdr:rowOff>168275</xdr:rowOff>
    </xdr:to>
    <xdr:sp macro="" textlink="">
      <xdr:nvSpPr>
        <xdr:cNvPr id="258601" name="Text Box 553" hidden="1">
          <a:extLst>
            <a:ext uri="{FF2B5EF4-FFF2-40B4-BE49-F238E27FC236}">
              <a16:creationId xmlns:a16="http://schemas.microsoft.com/office/drawing/2014/main" id="{836C438F-9000-458C-B1DE-1E88B4C618B8}"/>
            </a:ext>
          </a:extLst>
        </xdr:cNvPr>
        <xdr:cNvSpPr txBox="1">
          <a:spLocks noChangeArrowheads="1"/>
        </xdr:cNvSpPr>
      </xdr:nvSpPr>
      <xdr:spPr bwMode="auto">
        <a:xfrm>
          <a:off x="3848100" y="269557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163253</xdr:rowOff>
    </xdr:from>
    <xdr:to>
      <xdr:col>5</xdr:col>
      <xdr:colOff>124385</xdr:colOff>
      <xdr:row>54</xdr:row>
      <xdr:rowOff>339899</xdr:rowOff>
    </xdr:to>
    <xdr:sp macro="" textlink="">
      <xdr:nvSpPr>
        <xdr:cNvPr id="258618" name="Text Box 570" hidden="1">
          <a:extLst>
            <a:ext uri="{FF2B5EF4-FFF2-40B4-BE49-F238E27FC236}">
              <a16:creationId xmlns:a16="http://schemas.microsoft.com/office/drawing/2014/main" id="{A333C83F-FAAA-45F7-9A9A-27D5A0B331D9}"/>
            </a:ext>
          </a:extLst>
        </xdr:cNvPr>
        <xdr:cNvSpPr txBox="1">
          <a:spLocks noChangeArrowheads="1"/>
        </xdr:cNvSpPr>
      </xdr:nvSpPr>
      <xdr:spPr bwMode="auto">
        <a:xfrm>
          <a:off x="3867150" y="11153775"/>
          <a:ext cx="12763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51</xdr:row>
      <xdr:rowOff>160578</xdr:rowOff>
    </xdr:from>
    <xdr:to>
      <xdr:col>5</xdr:col>
      <xdr:colOff>124385</xdr:colOff>
      <xdr:row>54</xdr:row>
      <xdr:rowOff>30603</xdr:rowOff>
    </xdr:to>
    <xdr:sp macro="" textlink="">
      <xdr:nvSpPr>
        <xdr:cNvPr id="258619" name="Text Box 571" hidden="1">
          <a:extLst>
            <a:ext uri="{FF2B5EF4-FFF2-40B4-BE49-F238E27FC236}">
              <a16:creationId xmlns:a16="http://schemas.microsoft.com/office/drawing/2014/main" id="{C494A90F-1E18-49E8-B89C-56338EA229A7}"/>
            </a:ext>
          </a:extLst>
        </xdr:cNvPr>
        <xdr:cNvSpPr txBox="1">
          <a:spLocks noChangeArrowheads="1"/>
        </xdr:cNvSpPr>
      </xdr:nvSpPr>
      <xdr:spPr bwMode="auto">
        <a:xfrm>
          <a:off x="3867150" y="1078230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49840</xdr:rowOff>
    </xdr:from>
    <xdr:to>
      <xdr:col>5</xdr:col>
      <xdr:colOff>124385</xdr:colOff>
      <xdr:row>55</xdr:row>
      <xdr:rowOff>361530</xdr:rowOff>
    </xdr:to>
    <xdr:sp macro="" textlink="">
      <xdr:nvSpPr>
        <xdr:cNvPr id="258621" name="Text Box 573" hidden="1">
          <a:extLst>
            <a:ext uri="{FF2B5EF4-FFF2-40B4-BE49-F238E27FC236}">
              <a16:creationId xmlns:a16="http://schemas.microsoft.com/office/drawing/2014/main" id="{C3D79A10-B231-4931-8FAE-8FC882474D60}"/>
            </a:ext>
          </a:extLst>
        </xdr:cNvPr>
        <xdr:cNvSpPr txBox="1">
          <a:spLocks noChangeArrowheads="1"/>
        </xdr:cNvSpPr>
      </xdr:nvSpPr>
      <xdr:spPr bwMode="auto">
        <a:xfrm>
          <a:off x="3867150" y="11601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354843</xdr:rowOff>
    </xdr:from>
    <xdr:to>
      <xdr:col>5</xdr:col>
      <xdr:colOff>124385</xdr:colOff>
      <xdr:row>55</xdr:row>
      <xdr:rowOff>182686</xdr:rowOff>
    </xdr:to>
    <xdr:sp macro="" textlink="">
      <xdr:nvSpPr>
        <xdr:cNvPr id="258622" name="Text Box 574" hidden="1">
          <a:extLst>
            <a:ext uri="{FF2B5EF4-FFF2-40B4-BE49-F238E27FC236}">
              <a16:creationId xmlns:a16="http://schemas.microsoft.com/office/drawing/2014/main" id="{15FA8198-1075-4150-B5FB-CCC2E706BC33}"/>
            </a:ext>
          </a:extLst>
        </xdr:cNvPr>
        <xdr:cNvSpPr txBox="1">
          <a:spLocks noChangeArrowheads="1"/>
        </xdr:cNvSpPr>
      </xdr:nvSpPr>
      <xdr:spPr bwMode="auto">
        <a:xfrm>
          <a:off x="3867150" y="11382375"/>
          <a:ext cx="12763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200202</xdr:rowOff>
    </xdr:from>
    <xdr:to>
      <xdr:col>5</xdr:col>
      <xdr:colOff>124385</xdr:colOff>
      <xdr:row>57</xdr:row>
      <xdr:rowOff>103199</xdr:rowOff>
    </xdr:to>
    <xdr:sp macro="" textlink="">
      <xdr:nvSpPr>
        <xdr:cNvPr id="258628" name="Text Box 580" hidden="1">
          <a:extLst>
            <a:ext uri="{FF2B5EF4-FFF2-40B4-BE49-F238E27FC236}">
              <a16:creationId xmlns:a16="http://schemas.microsoft.com/office/drawing/2014/main" id="{338C5854-B1A6-4B68-B50C-B633FC9DE8B9}"/>
            </a:ext>
          </a:extLst>
        </xdr:cNvPr>
        <xdr:cNvSpPr txBox="1">
          <a:spLocks noChangeArrowheads="1"/>
        </xdr:cNvSpPr>
      </xdr:nvSpPr>
      <xdr:spPr bwMode="auto">
        <a:xfrm>
          <a:off x="3867150" y="121729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2254</xdr:rowOff>
    </xdr:from>
    <xdr:to>
      <xdr:col>5</xdr:col>
      <xdr:colOff>124385</xdr:colOff>
      <xdr:row>56</xdr:row>
      <xdr:rowOff>335040</xdr:rowOff>
    </xdr:to>
    <xdr:sp macro="" textlink="">
      <xdr:nvSpPr>
        <xdr:cNvPr id="258629" name="Text Box 581" hidden="1">
          <a:extLst>
            <a:ext uri="{FF2B5EF4-FFF2-40B4-BE49-F238E27FC236}">
              <a16:creationId xmlns:a16="http://schemas.microsoft.com/office/drawing/2014/main" id="{DAC43208-AE52-4BDD-A07A-5A5824370927}"/>
            </a:ext>
          </a:extLst>
        </xdr:cNvPr>
        <xdr:cNvSpPr txBox="1">
          <a:spLocks noChangeArrowheads="1"/>
        </xdr:cNvSpPr>
      </xdr:nvSpPr>
      <xdr:spPr bwMode="auto">
        <a:xfrm>
          <a:off x="3867150" y="119824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180703</xdr:rowOff>
    </xdr:from>
    <xdr:to>
      <xdr:col>5</xdr:col>
      <xdr:colOff>124385</xdr:colOff>
      <xdr:row>59</xdr:row>
      <xdr:rowOff>46586</xdr:rowOff>
    </xdr:to>
    <xdr:sp macro="" textlink="">
      <xdr:nvSpPr>
        <xdr:cNvPr id="258632" name="Text Box 584" hidden="1">
          <a:extLst>
            <a:ext uri="{FF2B5EF4-FFF2-40B4-BE49-F238E27FC236}">
              <a16:creationId xmlns:a16="http://schemas.microsoft.com/office/drawing/2014/main" id="{1A89C67D-D802-4973-BA94-11C0D0C25059}"/>
            </a:ext>
          </a:extLst>
        </xdr:cNvPr>
        <xdr:cNvSpPr txBox="1">
          <a:spLocks noChangeArrowheads="1"/>
        </xdr:cNvSpPr>
      </xdr:nvSpPr>
      <xdr:spPr bwMode="auto">
        <a:xfrm>
          <a:off x="3867150" y="1261110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378759</xdr:rowOff>
    </xdr:from>
    <xdr:to>
      <xdr:col>5</xdr:col>
      <xdr:colOff>124385</xdr:colOff>
      <xdr:row>58</xdr:row>
      <xdr:rowOff>39978</xdr:rowOff>
    </xdr:to>
    <xdr:sp macro="" textlink="">
      <xdr:nvSpPr>
        <xdr:cNvPr id="258633" name="Text Box 585" hidden="1">
          <a:extLst>
            <a:ext uri="{FF2B5EF4-FFF2-40B4-BE49-F238E27FC236}">
              <a16:creationId xmlns:a16="http://schemas.microsoft.com/office/drawing/2014/main" id="{E905E4A7-B32D-4FCD-8E1A-2342821BA3A0}"/>
            </a:ext>
          </a:extLst>
        </xdr:cNvPr>
        <xdr:cNvSpPr txBox="1">
          <a:spLocks noChangeArrowheads="1"/>
        </xdr:cNvSpPr>
      </xdr:nvSpPr>
      <xdr:spPr bwMode="auto">
        <a:xfrm>
          <a:off x="3867150" y="1238250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142993</xdr:rowOff>
    </xdr:from>
    <xdr:to>
      <xdr:col>5</xdr:col>
      <xdr:colOff>124385</xdr:colOff>
      <xdr:row>61</xdr:row>
      <xdr:rowOff>47705</xdr:rowOff>
    </xdr:to>
    <xdr:sp macro="" textlink="">
      <xdr:nvSpPr>
        <xdr:cNvPr id="258635" name="Text Box 587" hidden="1">
          <a:extLst>
            <a:ext uri="{FF2B5EF4-FFF2-40B4-BE49-F238E27FC236}">
              <a16:creationId xmlns:a16="http://schemas.microsoft.com/office/drawing/2014/main" id="{AB8A2CC6-91EF-4B24-BBBD-47EB968B7DE8}"/>
            </a:ext>
          </a:extLst>
        </xdr:cNvPr>
        <xdr:cNvSpPr txBox="1">
          <a:spLocks noChangeArrowheads="1"/>
        </xdr:cNvSpPr>
      </xdr:nvSpPr>
      <xdr:spPr bwMode="auto">
        <a:xfrm>
          <a:off x="3867150" y="1303020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2693</xdr:rowOff>
    </xdr:from>
    <xdr:to>
      <xdr:col>5</xdr:col>
      <xdr:colOff>124385</xdr:colOff>
      <xdr:row>60</xdr:row>
      <xdr:rowOff>68895</xdr:rowOff>
    </xdr:to>
    <xdr:sp macro="" textlink="">
      <xdr:nvSpPr>
        <xdr:cNvPr id="258636" name="Text Box 588" hidden="1">
          <a:extLst>
            <a:ext uri="{FF2B5EF4-FFF2-40B4-BE49-F238E27FC236}">
              <a16:creationId xmlns:a16="http://schemas.microsoft.com/office/drawing/2014/main" id="{184C0B9A-963D-4D99-A653-6DBD4C9852DC}"/>
            </a:ext>
          </a:extLst>
        </xdr:cNvPr>
        <xdr:cNvSpPr txBox="1">
          <a:spLocks noChangeArrowheads="1"/>
        </xdr:cNvSpPr>
      </xdr:nvSpPr>
      <xdr:spPr bwMode="auto">
        <a:xfrm>
          <a:off x="3867150" y="128206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171951</xdr:rowOff>
    </xdr:from>
    <xdr:to>
      <xdr:col>5</xdr:col>
      <xdr:colOff>124385</xdr:colOff>
      <xdr:row>78</xdr:row>
      <xdr:rowOff>178234</xdr:rowOff>
    </xdr:to>
    <xdr:sp macro="" textlink="">
      <xdr:nvSpPr>
        <xdr:cNvPr id="258641" name="Text Box 593" hidden="1">
          <a:extLst>
            <a:ext uri="{FF2B5EF4-FFF2-40B4-BE49-F238E27FC236}">
              <a16:creationId xmlns:a16="http://schemas.microsoft.com/office/drawing/2014/main" id="{748426D7-8F06-47F1-8229-D39A2442850C}"/>
            </a:ext>
          </a:extLst>
        </xdr:cNvPr>
        <xdr:cNvSpPr txBox="1">
          <a:spLocks noChangeArrowheads="1"/>
        </xdr:cNvSpPr>
      </xdr:nvSpPr>
      <xdr:spPr bwMode="auto">
        <a:xfrm>
          <a:off x="3867150" y="16868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173640</xdr:rowOff>
    </xdr:from>
    <xdr:to>
      <xdr:col>5</xdr:col>
      <xdr:colOff>124385</xdr:colOff>
      <xdr:row>78</xdr:row>
      <xdr:rowOff>25689</xdr:rowOff>
    </xdr:to>
    <xdr:sp macro="" textlink="">
      <xdr:nvSpPr>
        <xdr:cNvPr id="258642" name="Text Box 594" hidden="1">
          <a:extLst>
            <a:ext uri="{FF2B5EF4-FFF2-40B4-BE49-F238E27FC236}">
              <a16:creationId xmlns:a16="http://schemas.microsoft.com/office/drawing/2014/main" id="{AF697DD9-BC1D-41B2-9DCC-B1943CD501C0}"/>
            </a:ext>
          </a:extLst>
        </xdr:cNvPr>
        <xdr:cNvSpPr txBox="1">
          <a:spLocks noChangeArrowheads="1"/>
        </xdr:cNvSpPr>
      </xdr:nvSpPr>
      <xdr:spPr bwMode="auto">
        <a:xfrm>
          <a:off x="3867150" y="16678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124690</xdr:rowOff>
    </xdr:from>
    <xdr:to>
      <xdr:col>5</xdr:col>
      <xdr:colOff>124385</xdr:colOff>
      <xdr:row>79</xdr:row>
      <xdr:rowOff>144450</xdr:rowOff>
    </xdr:to>
    <xdr:sp macro="" textlink="">
      <xdr:nvSpPr>
        <xdr:cNvPr id="258644" name="Text Box 596" hidden="1">
          <a:extLst>
            <a:ext uri="{FF2B5EF4-FFF2-40B4-BE49-F238E27FC236}">
              <a16:creationId xmlns:a16="http://schemas.microsoft.com/office/drawing/2014/main" id="{5692590D-D2A4-4668-9E71-5AA519145D3E}"/>
            </a:ext>
          </a:extLst>
        </xdr:cNvPr>
        <xdr:cNvSpPr txBox="1">
          <a:spLocks noChangeArrowheads="1"/>
        </xdr:cNvSpPr>
      </xdr:nvSpPr>
      <xdr:spPr bwMode="auto">
        <a:xfrm>
          <a:off x="3867150" y="17249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151678</xdr:rowOff>
    </xdr:from>
    <xdr:to>
      <xdr:col>5</xdr:col>
      <xdr:colOff>124385</xdr:colOff>
      <xdr:row>78</xdr:row>
      <xdr:rowOff>364185</xdr:rowOff>
    </xdr:to>
    <xdr:sp macro="" textlink="">
      <xdr:nvSpPr>
        <xdr:cNvPr id="258645" name="Text Box 597" hidden="1">
          <a:extLst>
            <a:ext uri="{FF2B5EF4-FFF2-40B4-BE49-F238E27FC236}">
              <a16:creationId xmlns:a16="http://schemas.microsoft.com/office/drawing/2014/main" id="{38CE638E-327E-4AE2-BB6A-46B612E56EDA}"/>
            </a:ext>
          </a:extLst>
        </xdr:cNvPr>
        <xdr:cNvSpPr txBox="1">
          <a:spLocks noChangeArrowheads="1"/>
        </xdr:cNvSpPr>
      </xdr:nvSpPr>
      <xdr:spPr bwMode="auto">
        <a:xfrm>
          <a:off x="3867150" y="17059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124908</xdr:rowOff>
    </xdr:from>
    <xdr:to>
      <xdr:col>5</xdr:col>
      <xdr:colOff>124385</xdr:colOff>
      <xdr:row>81</xdr:row>
      <xdr:rowOff>124114</xdr:rowOff>
    </xdr:to>
    <xdr:sp macro="" textlink="">
      <xdr:nvSpPr>
        <xdr:cNvPr id="258647" name="Text Box 599" hidden="1">
          <a:extLst>
            <a:ext uri="{FF2B5EF4-FFF2-40B4-BE49-F238E27FC236}">
              <a16:creationId xmlns:a16="http://schemas.microsoft.com/office/drawing/2014/main" id="{118A42F1-6591-4809-A930-39840BBBCE7F}"/>
            </a:ext>
          </a:extLst>
        </xdr:cNvPr>
        <xdr:cNvSpPr txBox="1">
          <a:spLocks noChangeArrowheads="1"/>
        </xdr:cNvSpPr>
      </xdr:nvSpPr>
      <xdr:spPr bwMode="auto">
        <a:xfrm>
          <a:off x="3867150" y="17630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141843</xdr:rowOff>
    </xdr:from>
    <xdr:to>
      <xdr:col>5</xdr:col>
      <xdr:colOff>124385</xdr:colOff>
      <xdr:row>80</xdr:row>
      <xdr:rowOff>145810</xdr:rowOff>
    </xdr:to>
    <xdr:sp macro="" textlink="">
      <xdr:nvSpPr>
        <xdr:cNvPr id="258648" name="Text Box 600" hidden="1">
          <a:extLst>
            <a:ext uri="{FF2B5EF4-FFF2-40B4-BE49-F238E27FC236}">
              <a16:creationId xmlns:a16="http://schemas.microsoft.com/office/drawing/2014/main" id="{01D1E7F4-0A8C-4457-9156-D6D36936DF41}"/>
            </a:ext>
          </a:extLst>
        </xdr:cNvPr>
        <xdr:cNvSpPr txBox="1">
          <a:spLocks noChangeArrowheads="1"/>
        </xdr:cNvSpPr>
      </xdr:nvSpPr>
      <xdr:spPr bwMode="auto">
        <a:xfrm>
          <a:off x="3867150" y="17440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105821</xdr:rowOff>
    </xdr:from>
    <xdr:to>
      <xdr:col>5</xdr:col>
      <xdr:colOff>124385</xdr:colOff>
      <xdr:row>83</xdr:row>
      <xdr:rowOff>102191</xdr:rowOff>
    </xdr:to>
    <xdr:sp macro="" textlink="">
      <xdr:nvSpPr>
        <xdr:cNvPr id="258650" name="Text Box 602" hidden="1">
          <a:extLst>
            <a:ext uri="{FF2B5EF4-FFF2-40B4-BE49-F238E27FC236}">
              <a16:creationId xmlns:a16="http://schemas.microsoft.com/office/drawing/2014/main" id="{A5C3F5C4-A3E3-41E4-A6BE-90118BD415C2}"/>
            </a:ext>
          </a:extLst>
        </xdr:cNvPr>
        <xdr:cNvSpPr txBox="1">
          <a:spLocks noChangeArrowheads="1"/>
        </xdr:cNvSpPr>
      </xdr:nvSpPr>
      <xdr:spPr bwMode="auto">
        <a:xfrm>
          <a:off x="3867150" y="18011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320911</xdr:rowOff>
    </xdr:from>
    <xdr:to>
      <xdr:col>5</xdr:col>
      <xdr:colOff>124385</xdr:colOff>
      <xdr:row>82</xdr:row>
      <xdr:rowOff>101807</xdr:rowOff>
    </xdr:to>
    <xdr:sp macro="" textlink="">
      <xdr:nvSpPr>
        <xdr:cNvPr id="258651" name="Text Box 603" hidden="1">
          <a:extLst>
            <a:ext uri="{FF2B5EF4-FFF2-40B4-BE49-F238E27FC236}">
              <a16:creationId xmlns:a16="http://schemas.microsoft.com/office/drawing/2014/main" id="{5743E45B-8920-402E-9EE0-9508710A69E2}"/>
            </a:ext>
          </a:extLst>
        </xdr:cNvPr>
        <xdr:cNvSpPr txBox="1">
          <a:spLocks noChangeArrowheads="1"/>
        </xdr:cNvSpPr>
      </xdr:nvSpPr>
      <xdr:spPr bwMode="auto">
        <a:xfrm>
          <a:off x="3867150" y="17821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101</xdr:row>
      <xdr:rowOff>65139</xdr:rowOff>
    </xdr:from>
    <xdr:to>
      <xdr:col>5</xdr:col>
      <xdr:colOff>124385</xdr:colOff>
      <xdr:row>106</xdr:row>
      <xdr:rowOff>26329</xdr:rowOff>
    </xdr:to>
    <xdr:sp macro="" textlink="">
      <xdr:nvSpPr>
        <xdr:cNvPr id="258654" name="Text Box 606" hidden="1">
          <a:extLst>
            <a:ext uri="{FF2B5EF4-FFF2-40B4-BE49-F238E27FC236}">
              <a16:creationId xmlns:a16="http://schemas.microsoft.com/office/drawing/2014/main" id="{E3920B36-BBE2-4CAD-AB16-405970E4751B}"/>
            </a:ext>
          </a:extLst>
        </xdr:cNvPr>
        <xdr:cNvSpPr txBox="1">
          <a:spLocks noChangeArrowheads="1"/>
        </xdr:cNvSpPr>
      </xdr:nvSpPr>
      <xdr:spPr bwMode="auto">
        <a:xfrm>
          <a:off x="3867150" y="224123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100</xdr:row>
      <xdr:rowOff>75870</xdr:rowOff>
    </xdr:from>
    <xdr:to>
      <xdr:col>5</xdr:col>
      <xdr:colOff>124385</xdr:colOff>
      <xdr:row>105</xdr:row>
      <xdr:rowOff>8863</xdr:rowOff>
    </xdr:to>
    <xdr:sp macro="" textlink="">
      <xdr:nvSpPr>
        <xdr:cNvPr id="258655" name="Text Box 607" hidden="1">
          <a:extLst>
            <a:ext uri="{FF2B5EF4-FFF2-40B4-BE49-F238E27FC236}">
              <a16:creationId xmlns:a16="http://schemas.microsoft.com/office/drawing/2014/main" id="{FB47E02B-502E-4ACB-85CA-49F9D4A5AACD}"/>
            </a:ext>
          </a:extLst>
        </xdr:cNvPr>
        <xdr:cNvSpPr txBox="1">
          <a:spLocks noChangeArrowheads="1"/>
        </xdr:cNvSpPr>
      </xdr:nvSpPr>
      <xdr:spPr bwMode="auto">
        <a:xfrm>
          <a:off x="3867150" y="222218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105385</xdr:rowOff>
    </xdr:from>
    <xdr:to>
      <xdr:col>5</xdr:col>
      <xdr:colOff>124385</xdr:colOff>
      <xdr:row>107</xdr:row>
      <xdr:rowOff>179767</xdr:rowOff>
    </xdr:to>
    <xdr:sp macro="" textlink="">
      <xdr:nvSpPr>
        <xdr:cNvPr id="258657" name="Text Box 609" hidden="1">
          <a:extLst>
            <a:ext uri="{FF2B5EF4-FFF2-40B4-BE49-F238E27FC236}">
              <a16:creationId xmlns:a16="http://schemas.microsoft.com/office/drawing/2014/main" id="{005D426F-0124-49A8-AF96-ADC444C6D9FE}"/>
            </a:ext>
          </a:extLst>
        </xdr:cNvPr>
        <xdr:cNvSpPr txBox="1">
          <a:spLocks noChangeArrowheads="1"/>
        </xdr:cNvSpPr>
      </xdr:nvSpPr>
      <xdr:spPr bwMode="auto">
        <a:xfrm>
          <a:off x="3867150" y="227933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102</xdr:row>
      <xdr:rowOff>68879</xdr:rowOff>
    </xdr:from>
    <xdr:to>
      <xdr:col>5</xdr:col>
      <xdr:colOff>124385</xdr:colOff>
      <xdr:row>106</xdr:row>
      <xdr:rowOff>161210</xdr:rowOff>
    </xdr:to>
    <xdr:sp macro="" textlink="">
      <xdr:nvSpPr>
        <xdr:cNvPr id="258658" name="Text Box 610" hidden="1">
          <a:extLst>
            <a:ext uri="{FF2B5EF4-FFF2-40B4-BE49-F238E27FC236}">
              <a16:creationId xmlns:a16="http://schemas.microsoft.com/office/drawing/2014/main" id="{BD4493CA-64A1-4FC5-8D91-278E1F15E944}"/>
            </a:ext>
          </a:extLst>
        </xdr:cNvPr>
        <xdr:cNvSpPr txBox="1">
          <a:spLocks noChangeArrowheads="1"/>
        </xdr:cNvSpPr>
      </xdr:nvSpPr>
      <xdr:spPr bwMode="auto">
        <a:xfrm>
          <a:off x="3867150" y="226028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104786</xdr:rowOff>
    </xdr:from>
    <xdr:to>
      <xdr:col>5</xdr:col>
      <xdr:colOff>124385</xdr:colOff>
      <xdr:row>109</xdr:row>
      <xdr:rowOff>68980</xdr:rowOff>
    </xdr:to>
    <xdr:sp macro="" textlink="">
      <xdr:nvSpPr>
        <xdr:cNvPr id="258660" name="Text Box 612" hidden="1">
          <a:extLst>
            <a:ext uri="{FF2B5EF4-FFF2-40B4-BE49-F238E27FC236}">
              <a16:creationId xmlns:a16="http://schemas.microsoft.com/office/drawing/2014/main" id="{BEC2044F-CDED-43D4-B3F6-12CD07208FB1}"/>
            </a:ext>
          </a:extLst>
        </xdr:cNvPr>
        <xdr:cNvSpPr txBox="1">
          <a:spLocks noChangeArrowheads="1"/>
        </xdr:cNvSpPr>
      </xdr:nvSpPr>
      <xdr:spPr bwMode="auto">
        <a:xfrm>
          <a:off x="3867150" y="2317432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134188</xdr:rowOff>
    </xdr:from>
    <xdr:to>
      <xdr:col>5</xdr:col>
      <xdr:colOff>124385</xdr:colOff>
      <xdr:row>108</xdr:row>
      <xdr:rowOff>47787</xdr:rowOff>
    </xdr:to>
    <xdr:sp macro="" textlink="">
      <xdr:nvSpPr>
        <xdr:cNvPr id="258661" name="Text Box 613" hidden="1">
          <a:extLst>
            <a:ext uri="{FF2B5EF4-FFF2-40B4-BE49-F238E27FC236}">
              <a16:creationId xmlns:a16="http://schemas.microsoft.com/office/drawing/2014/main" id="{95181B58-D7AA-4E55-82BC-401CA8E9BC24}"/>
            </a:ext>
          </a:extLst>
        </xdr:cNvPr>
        <xdr:cNvSpPr txBox="1">
          <a:spLocks noChangeArrowheads="1"/>
        </xdr:cNvSpPr>
      </xdr:nvSpPr>
      <xdr:spPr bwMode="auto">
        <a:xfrm>
          <a:off x="3867150" y="2298382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107</xdr:row>
      <xdr:rowOff>101738</xdr:rowOff>
    </xdr:from>
    <xdr:to>
      <xdr:col>5</xdr:col>
      <xdr:colOff>124385</xdr:colOff>
      <xdr:row>111</xdr:row>
      <xdr:rowOff>68634</xdr:rowOff>
    </xdr:to>
    <xdr:sp macro="" textlink="">
      <xdr:nvSpPr>
        <xdr:cNvPr id="258663" name="Text Box 615" hidden="1">
          <a:extLst>
            <a:ext uri="{FF2B5EF4-FFF2-40B4-BE49-F238E27FC236}">
              <a16:creationId xmlns:a16="http://schemas.microsoft.com/office/drawing/2014/main" id="{0114EE50-6E9A-4D6F-87AE-177DF777955C}"/>
            </a:ext>
          </a:extLst>
        </xdr:cNvPr>
        <xdr:cNvSpPr txBox="1">
          <a:spLocks noChangeArrowheads="1"/>
        </xdr:cNvSpPr>
      </xdr:nvSpPr>
      <xdr:spPr bwMode="auto">
        <a:xfrm>
          <a:off x="3867150" y="235553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126017</xdr:rowOff>
    </xdr:from>
    <xdr:to>
      <xdr:col>5</xdr:col>
      <xdr:colOff>124385</xdr:colOff>
      <xdr:row>110</xdr:row>
      <xdr:rowOff>68277</xdr:rowOff>
    </xdr:to>
    <xdr:sp macro="" textlink="">
      <xdr:nvSpPr>
        <xdr:cNvPr id="258664" name="Text Box 616" hidden="1">
          <a:extLst>
            <a:ext uri="{FF2B5EF4-FFF2-40B4-BE49-F238E27FC236}">
              <a16:creationId xmlns:a16="http://schemas.microsoft.com/office/drawing/2014/main" id="{4A042BC3-E81F-47A9-B50D-E34821DBA032}"/>
            </a:ext>
          </a:extLst>
        </xdr:cNvPr>
        <xdr:cNvSpPr txBox="1">
          <a:spLocks noChangeArrowheads="1"/>
        </xdr:cNvSpPr>
      </xdr:nvSpPr>
      <xdr:spPr bwMode="auto">
        <a:xfrm>
          <a:off x="3867150" y="233648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300068" name="Text Box 36" hidden="1">
          <a:extLst>
            <a:ext uri="{FF2B5EF4-FFF2-40B4-BE49-F238E27FC236}">
              <a16:creationId xmlns:a16="http://schemas.microsoft.com/office/drawing/2014/main" id="{69B607D2-B6D1-416A-A18F-259CB560FDA5}"/>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50462</xdr:rowOff>
    </xdr:from>
    <xdr:to>
      <xdr:col>5</xdr:col>
      <xdr:colOff>105335</xdr:colOff>
      <xdr:row>234</xdr:row>
      <xdr:rowOff>67129</xdr:rowOff>
    </xdr:to>
    <xdr:sp macro="" textlink="">
      <xdr:nvSpPr>
        <xdr:cNvPr id="300067" name="Text Box 35" hidden="1">
          <a:extLst>
            <a:ext uri="{FF2B5EF4-FFF2-40B4-BE49-F238E27FC236}">
              <a16:creationId xmlns:a16="http://schemas.microsoft.com/office/drawing/2014/main" id="{A9D65FA5-52CB-4E24-A63C-44BBBD159922}"/>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20708</xdr:rowOff>
    </xdr:from>
    <xdr:to>
      <xdr:col>5</xdr:col>
      <xdr:colOff>105335</xdr:colOff>
      <xdr:row>233</xdr:row>
      <xdr:rowOff>145735</xdr:rowOff>
    </xdr:to>
    <xdr:sp macro="" textlink="">
      <xdr:nvSpPr>
        <xdr:cNvPr id="300066" name="Text Box 34" hidden="1">
          <a:extLst>
            <a:ext uri="{FF2B5EF4-FFF2-40B4-BE49-F238E27FC236}">
              <a16:creationId xmlns:a16="http://schemas.microsoft.com/office/drawing/2014/main" id="{F62A46F4-196C-4BF5-A267-FA926514CB6D}"/>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149438</xdr:rowOff>
    </xdr:from>
    <xdr:to>
      <xdr:col>5</xdr:col>
      <xdr:colOff>105335</xdr:colOff>
      <xdr:row>235</xdr:row>
      <xdr:rowOff>67130</xdr:rowOff>
    </xdr:to>
    <xdr:sp macro="" textlink="">
      <xdr:nvSpPr>
        <xdr:cNvPr id="300065" name="Text Box 33" hidden="1">
          <a:extLst>
            <a:ext uri="{FF2B5EF4-FFF2-40B4-BE49-F238E27FC236}">
              <a16:creationId xmlns:a16="http://schemas.microsoft.com/office/drawing/2014/main" id="{941D44E9-7FAC-4E06-9022-B3CA682D5425}"/>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149438</xdr:rowOff>
    </xdr:from>
    <xdr:to>
      <xdr:col>5</xdr:col>
      <xdr:colOff>105335</xdr:colOff>
      <xdr:row>222</xdr:row>
      <xdr:rowOff>149438</xdr:rowOff>
    </xdr:to>
    <xdr:sp macro="" textlink="">
      <xdr:nvSpPr>
        <xdr:cNvPr id="300064" name="Text Box 32" hidden="1">
          <a:extLst>
            <a:ext uri="{FF2B5EF4-FFF2-40B4-BE49-F238E27FC236}">
              <a16:creationId xmlns:a16="http://schemas.microsoft.com/office/drawing/2014/main" id="{CD04002E-0E79-4AB7-A825-1FF838B8DCC8}"/>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150232</xdr:rowOff>
    </xdr:from>
    <xdr:to>
      <xdr:col>5</xdr:col>
      <xdr:colOff>105335</xdr:colOff>
      <xdr:row>199</xdr:row>
      <xdr:rowOff>145735</xdr:rowOff>
    </xdr:to>
    <xdr:sp macro="" textlink="">
      <xdr:nvSpPr>
        <xdr:cNvPr id="300063" name="Text Box 31" hidden="1">
          <a:extLst>
            <a:ext uri="{FF2B5EF4-FFF2-40B4-BE49-F238E27FC236}">
              <a16:creationId xmlns:a16="http://schemas.microsoft.com/office/drawing/2014/main" id="{634A0BCD-31C7-4ED2-8459-D0302143D1E1}"/>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29992</xdr:rowOff>
    </xdr:from>
    <xdr:to>
      <xdr:col>5</xdr:col>
      <xdr:colOff>105335</xdr:colOff>
      <xdr:row>201</xdr:row>
      <xdr:rowOff>1659</xdr:rowOff>
    </xdr:to>
    <xdr:sp macro="" textlink="">
      <xdr:nvSpPr>
        <xdr:cNvPr id="300062" name="Text Box 30" hidden="1">
          <a:extLst>
            <a:ext uri="{FF2B5EF4-FFF2-40B4-BE49-F238E27FC236}">
              <a16:creationId xmlns:a16="http://schemas.microsoft.com/office/drawing/2014/main" id="{D572A469-38D0-4498-A9E7-A033C97910FF}"/>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8563</xdr:rowOff>
    </xdr:from>
    <xdr:to>
      <xdr:col>5</xdr:col>
      <xdr:colOff>105335</xdr:colOff>
      <xdr:row>202</xdr:row>
      <xdr:rowOff>67129</xdr:rowOff>
    </xdr:to>
    <xdr:sp macro="" textlink="">
      <xdr:nvSpPr>
        <xdr:cNvPr id="300061" name="Text Box 29" hidden="1">
          <a:extLst>
            <a:ext uri="{FF2B5EF4-FFF2-40B4-BE49-F238E27FC236}">
              <a16:creationId xmlns:a16="http://schemas.microsoft.com/office/drawing/2014/main" id="{3202258E-920A-4B75-8123-0826999FD5DD}"/>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149439</xdr:rowOff>
    </xdr:from>
    <xdr:to>
      <xdr:col>5</xdr:col>
      <xdr:colOff>105335</xdr:colOff>
      <xdr:row>209</xdr:row>
      <xdr:rowOff>20708</xdr:rowOff>
    </xdr:to>
    <xdr:sp macro="" textlink="">
      <xdr:nvSpPr>
        <xdr:cNvPr id="300060" name="Text Box 28" hidden="1">
          <a:extLst>
            <a:ext uri="{FF2B5EF4-FFF2-40B4-BE49-F238E27FC236}">
              <a16:creationId xmlns:a16="http://schemas.microsoft.com/office/drawing/2014/main" id="{70752031-F58D-4B47-A9A0-038B0FA033EE}"/>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105335</xdr:colOff>
      <xdr:row>13</xdr:row>
      <xdr:rowOff>168275</xdr:rowOff>
    </xdr:to>
    <xdr:sp macro="" textlink="">
      <xdr:nvSpPr>
        <xdr:cNvPr id="300059" name="Text Box 27" hidden="1">
          <a:extLst>
            <a:ext uri="{FF2B5EF4-FFF2-40B4-BE49-F238E27FC236}">
              <a16:creationId xmlns:a16="http://schemas.microsoft.com/office/drawing/2014/main" id="{9FAB41D9-4E0B-4BA9-B058-C290F9D09DB5}"/>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163253</xdr:rowOff>
    </xdr:from>
    <xdr:to>
      <xdr:col>5</xdr:col>
      <xdr:colOff>124385</xdr:colOff>
      <xdr:row>54</xdr:row>
      <xdr:rowOff>339899</xdr:rowOff>
    </xdr:to>
    <xdr:sp macro="" textlink="">
      <xdr:nvSpPr>
        <xdr:cNvPr id="300058" name="Text Box 26" hidden="1">
          <a:extLst>
            <a:ext uri="{FF2B5EF4-FFF2-40B4-BE49-F238E27FC236}">
              <a16:creationId xmlns:a16="http://schemas.microsoft.com/office/drawing/2014/main" id="{BB00556C-6DB0-4835-ADE8-356779F0F508}"/>
            </a:ext>
          </a:extLst>
        </xdr:cNvPr>
        <xdr:cNvSpPr txBox="1">
          <a:spLocks noChangeArrowheads="1"/>
        </xdr:cNvSpPr>
      </xdr:nvSpPr>
      <xdr:spPr bwMode="auto">
        <a:xfrm>
          <a:off x="3867150" y="11153775"/>
          <a:ext cx="12763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51</xdr:row>
      <xdr:rowOff>160578</xdr:rowOff>
    </xdr:from>
    <xdr:to>
      <xdr:col>5</xdr:col>
      <xdr:colOff>124385</xdr:colOff>
      <xdr:row>54</xdr:row>
      <xdr:rowOff>30603</xdr:rowOff>
    </xdr:to>
    <xdr:sp macro="" textlink="">
      <xdr:nvSpPr>
        <xdr:cNvPr id="300057" name="Text Box 25" hidden="1">
          <a:extLst>
            <a:ext uri="{FF2B5EF4-FFF2-40B4-BE49-F238E27FC236}">
              <a16:creationId xmlns:a16="http://schemas.microsoft.com/office/drawing/2014/main" id="{36DB3FDD-217C-449C-BE39-EC644B87B6CC}"/>
            </a:ext>
          </a:extLst>
        </xdr:cNvPr>
        <xdr:cNvSpPr txBox="1">
          <a:spLocks noChangeArrowheads="1"/>
        </xdr:cNvSpPr>
      </xdr:nvSpPr>
      <xdr:spPr bwMode="auto">
        <a:xfrm>
          <a:off x="3867150" y="107823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49840</xdr:rowOff>
    </xdr:from>
    <xdr:to>
      <xdr:col>5</xdr:col>
      <xdr:colOff>124385</xdr:colOff>
      <xdr:row>55</xdr:row>
      <xdr:rowOff>361530</xdr:rowOff>
    </xdr:to>
    <xdr:sp macro="" textlink="">
      <xdr:nvSpPr>
        <xdr:cNvPr id="300056" name="Text Box 24" hidden="1">
          <a:extLst>
            <a:ext uri="{FF2B5EF4-FFF2-40B4-BE49-F238E27FC236}">
              <a16:creationId xmlns:a16="http://schemas.microsoft.com/office/drawing/2014/main" id="{D1FEFF32-4922-4679-AA57-8619431DBC69}"/>
            </a:ext>
          </a:extLst>
        </xdr:cNvPr>
        <xdr:cNvSpPr txBox="1">
          <a:spLocks noChangeArrowheads="1"/>
        </xdr:cNvSpPr>
      </xdr:nvSpPr>
      <xdr:spPr bwMode="auto">
        <a:xfrm>
          <a:off x="3867150" y="116014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354843</xdr:rowOff>
    </xdr:from>
    <xdr:to>
      <xdr:col>5</xdr:col>
      <xdr:colOff>124385</xdr:colOff>
      <xdr:row>55</xdr:row>
      <xdr:rowOff>182686</xdr:rowOff>
    </xdr:to>
    <xdr:sp macro="" textlink="">
      <xdr:nvSpPr>
        <xdr:cNvPr id="300055" name="Text Box 23" hidden="1">
          <a:extLst>
            <a:ext uri="{FF2B5EF4-FFF2-40B4-BE49-F238E27FC236}">
              <a16:creationId xmlns:a16="http://schemas.microsoft.com/office/drawing/2014/main" id="{950F92D6-57F7-48ED-8DF5-861543C8AAB4}"/>
            </a:ext>
          </a:extLst>
        </xdr:cNvPr>
        <xdr:cNvSpPr txBox="1">
          <a:spLocks noChangeArrowheads="1"/>
        </xdr:cNvSpPr>
      </xdr:nvSpPr>
      <xdr:spPr bwMode="auto">
        <a:xfrm>
          <a:off x="3867150" y="11382375"/>
          <a:ext cx="12763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200202</xdr:rowOff>
    </xdr:from>
    <xdr:to>
      <xdr:col>5</xdr:col>
      <xdr:colOff>124385</xdr:colOff>
      <xdr:row>57</xdr:row>
      <xdr:rowOff>103199</xdr:rowOff>
    </xdr:to>
    <xdr:sp macro="" textlink="">
      <xdr:nvSpPr>
        <xdr:cNvPr id="300054" name="Text Box 22" hidden="1">
          <a:extLst>
            <a:ext uri="{FF2B5EF4-FFF2-40B4-BE49-F238E27FC236}">
              <a16:creationId xmlns:a16="http://schemas.microsoft.com/office/drawing/2014/main" id="{D09E9164-08A8-48DC-B883-B68246CDB911}"/>
            </a:ext>
          </a:extLst>
        </xdr:cNvPr>
        <xdr:cNvSpPr txBox="1">
          <a:spLocks noChangeArrowheads="1"/>
        </xdr:cNvSpPr>
      </xdr:nvSpPr>
      <xdr:spPr bwMode="auto">
        <a:xfrm>
          <a:off x="3867150" y="121729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2254</xdr:rowOff>
    </xdr:from>
    <xdr:to>
      <xdr:col>5</xdr:col>
      <xdr:colOff>124385</xdr:colOff>
      <xdr:row>56</xdr:row>
      <xdr:rowOff>335040</xdr:rowOff>
    </xdr:to>
    <xdr:sp macro="" textlink="">
      <xdr:nvSpPr>
        <xdr:cNvPr id="300053" name="Text Box 21" hidden="1">
          <a:extLst>
            <a:ext uri="{FF2B5EF4-FFF2-40B4-BE49-F238E27FC236}">
              <a16:creationId xmlns:a16="http://schemas.microsoft.com/office/drawing/2014/main" id="{910FD0F4-B044-4697-9A2E-FD752B047B1C}"/>
            </a:ext>
          </a:extLst>
        </xdr:cNvPr>
        <xdr:cNvSpPr txBox="1">
          <a:spLocks noChangeArrowheads="1"/>
        </xdr:cNvSpPr>
      </xdr:nvSpPr>
      <xdr:spPr bwMode="auto">
        <a:xfrm>
          <a:off x="3867150" y="119824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180703</xdr:rowOff>
    </xdr:from>
    <xdr:to>
      <xdr:col>5</xdr:col>
      <xdr:colOff>124385</xdr:colOff>
      <xdr:row>59</xdr:row>
      <xdr:rowOff>46586</xdr:rowOff>
    </xdr:to>
    <xdr:sp macro="" textlink="">
      <xdr:nvSpPr>
        <xdr:cNvPr id="300052" name="Text Box 20" hidden="1">
          <a:extLst>
            <a:ext uri="{FF2B5EF4-FFF2-40B4-BE49-F238E27FC236}">
              <a16:creationId xmlns:a16="http://schemas.microsoft.com/office/drawing/2014/main" id="{8CE655BC-37CA-4BC1-B7CF-9DAD51916C2B}"/>
            </a:ext>
          </a:extLst>
        </xdr:cNvPr>
        <xdr:cNvSpPr txBox="1">
          <a:spLocks noChangeArrowheads="1"/>
        </xdr:cNvSpPr>
      </xdr:nvSpPr>
      <xdr:spPr bwMode="auto">
        <a:xfrm>
          <a:off x="3867150" y="126111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378759</xdr:rowOff>
    </xdr:from>
    <xdr:to>
      <xdr:col>5</xdr:col>
      <xdr:colOff>124385</xdr:colOff>
      <xdr:row>58</xdr:row>
      <xdr:rowOff>39978</xdr:rowOff>
    </xdr:to>
    <xdr:sp macro="" textlink="">
      <xdr:nvSpPr>
        <xdr:cNvPr id="300051" name="Text Box 19" hidden="1">
          <a:extLst>
            <a:ext uri="{FF2B5EF4-FFF2-40B4-BE49-F238E27FC236}">
              <a16:creationId xmlns:a16="http://schemas.microsoft.com/office/drawing/2014/main" id="{2DFAC3E4-776B-4734-85E9-FC066C7CB977}"/>
            </a:ext>
          </a:extLst>
        </xdr:cNvPr>
        <xdr:cNvSpPr txBox="1">
          <a:spLocks noChangeArrowheads="1"/>
        </xdr:cNvSpPr>
      </xdr:nvSpPr>
      <xdr:spPr bwMode="auto">
        <a:xfrm>
          <a:off x="3867150" y="123825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142993</xdr:rowOff>
    </xdr:from>
    <xdr:to>
      <xdr:col>5</xdr:col>
      <xdr:colOff>124385</xdr:colOff>
      <xdr:row>61</xdr:row>
      <xdr:rowOff>47705</xdr:rowOff>
    </xdr:to>
    <xdr:sp macro="" textlink="">
      <xdr:nvSpPr>
        <xdr:cNvPr id="300050" name="Text Box 18" hidden="1">
          <a:extLst>
            <a:ext uri="{FF2B5EF4-FFF2-40B4-BE49-F238E27FC236}">
              <a16:creationId xmlns:a16="http://schemas.microsoft.com/office/drawing/2014/main" id="{904FF285-2411-4880-B11C-2955993462F1}"/>
            </a:ext>
          </a:extLst>
        </xdr:cNvPr>
        <xdr:cNvSpPr txBox="1">
          <a:spLocks noChangeArrowheads="1"/>
        </xdr:cNvSpPr>
      </xdr:nvSpPr>
      <xdr:spPr bwMode="auto">
        <a:xfrm>
          <a:off x="3867150" y="130302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2693</xdr:rowOff>
    </xdr:from>
    <xdr:to>
      <xdr:col>5</xdr:col>
      <xdr:colOff>124385</xdr:colOff>
      <xdr:row>60</xdr:row>
      <xdr:rowOff>68895</xdr:rowOff>
    </xdr:to>
    <xdr:sp macro="" textlink="">
      <xdr:nvSpPr>
        <xdr:cNvPr id="300049" name="Text Box 17" hidden="1">
          <a:extLst>
            <a:ext uri="{FF2B5EF4-FFF2-40B4-BE49-F238E27FC236}">
              <a16:creationId xmlns:a16="http://schemas.microsoft.com/office/drawing/2014/main" id="{983D0704-DFE2-45A8-A738-6650A7CAEA5B}"/>
            </a:ext>
          </a:extLst>
        </xdr:cNvPr>
        <xdr:cNvSpPr txBox="1">
          <a:spLocks noChangeArrowheads="1"/>
        </xdr:cNvSpPr>
      </xdr:nvSpPr>
      <xdr:spPr bwMode="auto">
        <a:xfrm>
          <a:off x="3867150" y="128206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171951</xdr:rowOff>
    </xdr:from>
    <xdr:to>
      <xdr:col>5</xdr:col>
      <xdr:colOff>124385</xdr:colOff>
      <xdr:row>78</xdr:row>
      <xdr:rowOff>178234</xdr:rowOff>
    </xdr:to>
    <xdr:sp macro="" textlink="">
      <xdr:nvSpPr>
        <xdr:cNvPr id="300048" name="Text Box 16" hidden="1">
          <a:extLst>
            <a:ext uri="{FF2B5EF4-FFF2-40B4-BE49-F238E27FC236}">
              <a16:creationId xmlns:a16="http://schemas.microsoft.com/office/drawing/2014/main" id="{EFC548D7-8800-42C2-A53C-3CB13A2CFA1D}"/>
            </a:ext>
          </a:extLst>
        </xdr:cNvPr>
        <xdr:cNvSpPr txBox="1">
          <a:spLocks noChangeArrowheads="1"/>
        </xdr:cNvSpPr>
      </xdr:nvSpPr>
      <xdr:spPr bwMode="auto">
        <a:xfrm>
          <a:off x="3867150" y="16868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173640</xdr:rowOff>
    </xdr:from>
    <xdr:to>
      <xdr:col>5</xdr:col>
      <xdr:colOff>124385</xdr:colOff>
      <xdr:row>78</xdr:row>
      <xdr:rowOff>25689</xdr:rowOff>
    </xdr:to>
    <xdr:sp macro="" textlink="">
      <xdr:nvSpPr>
        <xdr:cNvPr id="300047" name="Text Box 15" hidden="1">
          <a:extLst>
            <a:ext uri="{FF2B5EF4-FFF2-40B4-BE49-F238E27FC236}">
              <a16:creationId xmlns:a16="http://schemas.microsoft.com/office/drawing/2014/main" id="{5C87EFF0-85BD-4421-98EC-90C0F2D62D79}"/>
            </a:ext>
          </a:extLst>
        </xdr:cNvPr>
        <xdr:cNvSpPr txBox="1">
          <a:spLocks noChangeArrowheads="1"/>
        </xdr:cNvSpPr>
      </xdr:nvSpPr>
      <xdr:spPr bwMode="auto">
        <a:xfrm>
          <a:off x="3867150" y="16678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124690</xdr:rowOff>
    </xdr:from>
    <xdr:to>
      <xdr:col>5</xdr:col>
      <xdr:colOff>124385</xdr:colOff>
      <xdr:row>79</xdr:row>
      <xdr:rowOff>144450</xdr:rowOff>
    </xdr:to>
    <xdr:sp macro="" textlink="">
      <xdr:nvSpPr>
        <xdr:cNvPr id="300046" name="Text Box 14" hidden="1">
          <a:extLst>
            <a:ext uri="{FF2B5EF4-FFF2-40B4-BE49-F238E27FC236}">
              <a16:creationId xmlns:a16="http://schemas.microsoft.com/office/drawing/2014/main" id="{20349603-CCD6-401E-95C1-1635ABF1AF15}"/>
            </a:ext>
          </a:extLst>
        </xdr:cNvPr>
        <xdr:cNvSpPr txBox="1">
          <a:spLocks noChangeArrowheads="1"/>
        </xdr:cNvSpPr>
      </xdr:nvSpPr>
      <xdr:spPr bwMode="auto">
        <a:xfrm>
          <a:off x="3867150" y="17249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151678</xdr:rowOff>
    </xdr:from>
    <xdr:to>
      <xdr:col>5</xdr:col>
      <xdr:colOff>124385</xdr:colOff>
      <xdr:row>78</xdr:row>
      <xdr:rowOff>364185</xdr:rowOff>
    </xdr:to>
    <xdr:sp macro="" textlink="">
      <xdr:nvSpPr>
        <xdr:cNvPr id="300045" name="Text Box 13" hidden="1">
          <a:extLst>
            <a:ext uri="{FF2B5EF4-FFF2-40B4-BE49-F238E27FC236}">
              <a16:creationId xmlns:a16="http://schemas.microsoft.com/office/drawing/2014/main" id="{C032CFE3-F78F-42C9-8A83-483E0616EE49}"/>
            </a:ext>
          </a:extLst>
        </xdr:cNvPr>
        <xdr:cNvSpPr txBox="1">
          <a:spLocks noChangeArrowheads="1"/>
        </xdr:cNvSpPr>
      </xdr:nvSpPr>
      <xdr:spPr bwMode="auto">
        <a:xfrm>
          <a:off x="3867150" y="17059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124908</xdr:rowOff>
    </xdr:from>
    <xdr:to>
      <xdr:col>5</xdr:col>
      <xdr:colOff>124385</xdr:colOff>
      <xdr:row>81</xdr:row>
      <xdr:rowOff>124114</xdr:rowOff>
    </xdr:to>
    <xdr:sp macro="" textlink="">
      <xdr:nvSpPr>
        <xdr:cNvPr id="300044" name="Text Box 12" hidden="1">
          <a:extLst>
            <a:ext uri="{FF2B5EF4-FFF2-40B4-BE49-F238E27FC236}">
              <a16:creationId xmlns:a16="http://schemas.microsoft.com/office/drawing/2014/main" id="{AB393682-27BA-42EB-823A-00D1C5E8FA49}"/>
            </a:ext>
          </a:extLst>
        </xdr:cNvPr>
        <xdr:cNvSpPr txBox="1">
          <a:spLocks noChangeArrowheads="1"/>
        </xdr:cNvSpPr>
      </xdr:nvSpPr>
      <xdr:spPr bwMode="auto">
        <a:xfrm>
          <a:off x="3867150" y="17630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141843</xdr:rowOff>
    </xdr:from>
    <xdr:to>
      <xdr:col>5</xdr:col>
      <xdr:colOff>124385</xdr:colOff>
      <xdr:row>80</xdr:row>
      <xdr:rowOff>145810</xdr:rowOff>
    </xdr:to>
    <xdr:sp macro="" textlink="">
      <xdr:nvSpPr>
        <xdr:cNvPr id="300043" name="Text Box 11" hidden="1">
          <a:extLst>
            <a:ext uri="{FF2B5EF4-FFF2-40B4-BE49-F238E27FC236}">
              <a16:creationId xmlns:a16="http://schemas.microsoft.com/office/drawing/2014/main" id="{67AC52D4-0614-4FF4-BDB7-7F0555CE6CFA}"/>
            </a:ext>
          </a:extLst>
        </xdr:cNvPr>
        <xdr:cNvSpPr txBox="1">
          <a:spLocks noChangeArrowheads="1"/>
        </xdr:cNvSpPr>
      </xdr:nvSpPr>
      <xdr:spPr bwMode="auto">
        <a:xfrm>
          <a:off x="3867150" y="17440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105821</xdr:rowOff>
    </xdr:from>
    <xdr:to>
      <xdr:col>5</xdr:col>
      <xdr:colOff>124385</xdr:colOff>
      <xdr:row>83</xdr:row>
      <xdr:rowOff>102191</xdr:rowOff>
    </xdr:to>
    <xdr:sp macro="" textlink="">
      <xdr:nvSpPr>
        <xdr:cNvPr id="300042" name="Text Box 10" hidden="1">
          <a:extLst>
            <a:ext uri="{FF2B5EF4-FFF2-40B4-BE49-F238E27FC236}">
              <a16:creationId xmlns:a16="http://schemas.microsoft.com/office/drawing/2014/main" id="{9608D9C4-D502-43F4-982E-ACF297B239BD}"/>
            </a:ext>
          </a:extLst>
        </xdr:cNvPr>
        <xdr:cNvSpPr txBox="1">
          <a:spLocks noChangeArrowheads="1"/>
        </xdr:cNvSpPr>
      </xdr:nvSpPr>
      <xdr:spPr bwMode="auto">
        <a:xfrm>
          <a:off x="3867150" y="18011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320911</xdr:rowOff>
    </xdr:from>
    <xdr:to>
      <xdr:col>5</xdr:col>
      <xdr:colOff>124385</xdr:colOff>
      <xdr:row>82</xdr:row>
      <xdr:rowOff>101807</xdr:rowOff>
    </xdr:to>
    <xdr:sp macro="" textlink="">
      <xdr:nvSpPr>
        <xdr:cNvPr id="300041" name="Text Box 9" hidden="1">
          <a:extLst>
            <a:ext uri="{FF2B5EF4-FFF2-40B4-BE49-F238E27FC236}">
              <a16:creationId xmlns:a16="http://schemas.microsoft.com/office/drawing/2014/main" id="{B67385A1-0DF2-45E3-9CC1-93E7B4E4F974}"/>
            </a:ext>
          </a:extLst>
        </xdr:cNvPr>
        <xdr:cNvSpPr txBox="1">
          <a:spLocks noChangeArrowheads="1"/>
        </xdr:cNvSpPr>
      </xdr:nvSpPr>
      <xdr:spPr bwMode="auto">
        <a:xfrm>
          <a:off x="3867150" y="17821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101</xdr:row>
      <xdr:rowOff>65139</xdr:rowOff>
    </xdr:from>
    <xdr:to>
      <xdr:col>5</xdr:col>
      <xdr:colOff>124385</xdr:colOff>
      <xdr:row>106</xdr:row>
      <xdr:rowOff>26329</xdr:rowOff>
    </xdr:to>
    <xdr:sp macro="" textlink="">
      <xdr:nvSpPr>
        <xdr:cNvPr id="300040" name="Text Box 8" hidden="1">
          <a:extLst>
            <a:ext uri="{FF2B5EF4-FFF2-40B4-BE49-F238E27FC236}">
              <a16:creationId xmlns:a16="http://schemas.microsoft.com/office/drawing/2014/main" id="{F4381B5D-8E63-4203-A6CE-99AE7DC92C9B}"/>
            </a:ext>
          </a:extLst>
        </xdr:cNvPr>
        <xdr:cNvSpPr txBox="1">
          <a:spLocks noChangeArrowheads="1"/>
        </xdr:cNvSpPr>
      </xdr:nvSpPr>
      <xdr:spPr bwMode="auto">
        <a:xfrm>
          <a:off x="3867150" y="22412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100</xdr:row>
      <xdr:rowOff>75870</xdr:rowOff>
    </xdr:from>
    <xdr:to>
      <xdr:col>5</xdr:col>
      <xdr:colOff>124385</xdr:colOff>
      <xdr:row>105</xdr:row>
      <xdr:rowOff>8863</xdr:rowOff>
    </xdr:to>
    <xdr:sp macro="" textlink="">
      <xdr:nvSpPr>
        <xdr:cNvPr id="300039" name="Text Box 7" hidden="1">
          <a:extLst>
            <a:ext uri="{FF2B5EF4-FFF2-40B4-BE49-F238E27FC236}">
              <a16:creationId xmlns:a16="http://schemas.microsoft.com/office/drawing/2014/main" id="{391FCC8D-4A91-4315-ACE6-BA5D10D2E5C3}"/>
            </a:ext>
          </a:extLst>
        </xdr:cNvPr>
        <xdr:cNvSpPr txBox="1">
          <a:spLocks noChangeArrowheads="1"/>
        </xdr:cNvSpPr>
      </xdr:nvSpPr>
      <xdr:spPr bwMode="auto">
        <a:xfrm>
          <a:off x="3867150" y="22221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105385</xdr:rowOff>
    </xdr:from>
    <xdr:to>
      <xdr:col>5</xdr:col>
      <xdr:colOff>124385</xdr:colOff>
      <xdr:row>107</xdr:row>
      <xdr:rowOff>179767</xdr:rowOff>
    </xdr:to>
    <xdr:sp macro="" textlink="">
      <xdr:nvSpPr>
        <xdr:cNvPr id="300038" name="Text Box 6" hidden="1">
          <a:extLst>
            <a:ext uri="{FF2B5EF4-FFF2-40B4-BE49-F238E27FC236}">
              <a16:creationId xmlns:a16="http://schemas.microsoft.com/office/drawing/2014/main" id="{6B6CB448-5BFA-40B1-8232-A7ADD37956DA}"/>
            </a:ext>
          </a:extLst>
        </xdr:cNvPr>
        <xdr:cNvSpPr txBox="1">
          <a:spLocks noChangeArrowheads="1"/>
        </xdr:cNvSpPr>
      </xdr:nvSpPr>
      <xdr:spPr bwMode="auto">
        <a:xfrm>
          <a:off x="3867150" y="22793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102</xdr:row>
      <xdr:rowOff>68879</xdr:rowOff>
    </xdr:from>
    <xdr:to>
      <xdr:col>5</xdr:col>
      <xdr:colOff>124385</xdr:colOff>
      <xdr:row>106</xdr:row>
      <xdr:rowOff>161210</xdr:rowOff>
    </xdr:to>
    <xdr:sp macro="" textlink="">
      <xdr:nvSpPr>
        <xdr:cNvPr id="300037" name="Text Box 5" hidden="1">
          <a:extLst>
            <a:ext uri="{FF2B5EF4-FFF2-40B4-BE49-F238E27FC236}">
              <a16:creationId xmlns:a16="http://schemas.microsoft.com/office/drawing/2014/main" id="{22373A8D-FB45-4FF1-9AC6-477B184EE4DF}"/>
            </a:ext>
          </a:extLst>
        </xdr:cNvPr>
        <xdr:cNvSpPr txBox="1">
          <a:spLocks noChangeArrowheads="1"/>
        </xdr:cNvSpPr>
      </xdr:nvSpPr>
      <xdr:spPr bwMode="auto">
        <a:xfrm>
          <a:off x="3867150" y="22602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104786</xdr:rowOff>
    </xdr:from>
    <xdr:to>
      <xdr:col>5</xdr:col>
      <xdr:colOff>124385</xdr:colOff>
      <xdr:row>109</xdr:row>
      <xdr:rowOff>68980</xdr:rowOff>
    </xdr:to>
    <xdr:sp macro="" textlink="">
      <xdr:nvSpPr>
        <xdr:cNvPr id="300036" name="Text Box 4" hidden="1">
          <a:extLst>
            <a:ext uri="{FF2B5EF4-FFF2-40B4-BE49-F238E27FC236}">
              <a16:creationId xmlns:a16="http://schemas.microsoft.com/office/drawing/2014/main" id="{43C31BDD-7946-42D7-80C1-5F30CEE98BCD}"/>
            </a:ext>
          </a:extLst>
        </xdr:cNvPr>
        <xdr:cNvSpPr txBox="1">
          <a:spLocks noChangeArrowheads="1"/>
        </xdr:cNvSpPr>
      </xdr:nvSpPr>
      <xdr:spPr bwMode="auto">
        <a:xfrm>
          <a:off x="3867150" y="231743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134188</xdr:rowOff>
    </xdr:from>
    <xdr:to>
      <xdr:col>5</xdr:col>
      <xdr:colOff>124385</xdr:colOff>
      <xdr:row>108</xdr:row>
      <xdr:rowOff>47787</xdr:rowOff>
    </xdr:to>
    <xdr:sp macro="" textlink="">
      <xdr:nvSpPr>
        <xdr:cNvPr id="300035" name="Text Box 3" hidden="1">
          <a:extLst>
            <a:ext uri="{FF2B5EF4-FFF2-40B4-BE49-F238E27FC236}">
              <a16:creationId xmlns:a16="http://schemas.microsoft.com/office/drawing/2014/main" id="{CEAF0B29-BA76-4B9C-A63B-58662ABF3457}"/>
            </a:ext>
          </a:extLst>
        </xdr:cNvPr>
        <xdr:cNvSpPr txBox="1">
          <a:spLocks noChangeArrowheads="1"/>
        </xdr:cNvSpPr>
      </xdr:nvSpPr>
      <xdr:spPr bwMode="auto">
        <a:xfrm>
          <a:off x="3867150" y="229838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107</xdr:row>
      <xdr:rowOff>101738</xdr:rowOff>
    </xdr:from>
    <xdr:to>
      <xdr:col>5</xdr:col>
      <xdr:colOff>124385</xdr:colOff>
      <xdr:row>111</xdr:row>
      <xdr:rowOff>68634</xdr:rowOff>
    </xdr:to>
    <xdr:sp macro="" textlink="">
      <xdr:nvSpPr>
        <xdr:cNvPr id="300034" name="Text Box 2" hidden="1">
          <a:extLst>
            <a:ext uri="{FF2B5EF4-FFF2-40B4-BE49-F238E27FC236}">
              <a16:creationId xmlns:a16="http://schemas.microsoft.com/office/drawing/2014/main" id="{4736866A-A446-4717-A69A-FA0E4EA2A7EE}"/>
            </a:ext>
          </a:extLst>
        </xdr:cNvPr>
        <xdr:cNvSpPr txBox="1">
          <a:spLocks noChangeArrowheads="1"/>
        </xdr:cNvSpPr>
      </xdr:nvSpPr>
      <xdr:spPr bwMode="auto">
        <a:xfrm>
          <a:off x="3867150" y="235553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126017</xdr:rowOff>
    </xdr:from>
    <xdr:to>
      <xdr:col>5</xdr:col>
      <xdr:colOff>124385</xdr:colOff>
      <xdr:row>110</xdr:row>
      <xdr:rowOff>68277</xdr:rowOff>
    </xdr:to>
    <xdr:sp macro="" textlink="">
      <xdr:nvSpPr>
        <xdr:cNvPr id="300033" name="Text Box 1" hidden="1">
          <a:extLst>
            <a:ext uri="{FF2B5EF4-FFF2-40B4-BE49-F238E27FC236}">
              <a16:creationId xmlns:a16="http://schemas.microsoft.com/office/drawing/2014/main" id="{CD4BD002-5CEA-4DA3-8FEF-438D7AD8A6B6}"/>
            </a:ext>
          </a:extLst>
        </xdr:cNvPr>
        <xdr:cNvSpPr txBox="1">
          <a:spLocks noChangeArrowheads="1"/>
        </xdr:cNvSpPr>
      </xdr:nvSpPr>
      <xdr:spPr bwMode="auto">
        <a:xfrm>
          <a:off x="3867150" y="233648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300104" name="Text Box 72" hidden="1">
          <a:extLst>
            <a:ext uri="{FF2B5EF4-FFF2-40B4-BE49-F238E27FC236}">
              <a16:creationId xmlns:a16="http://schemas.microsoft.com/office/drawing/2014/main" id="{0B5F090E-F772-4990-AFE9-C2ADD1C767C7}"/>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50462</xdr:rowOff>
    </xdr:from>
    <xdr:to>
      <xdr:col>5</xdr:col>
      <xdr:colOff>105335</xdr:colOff>
      <xdr:row>234</xdr:row>
      <xdr:rowOff>67129</xdr:rowOff>
    </xdr:to>
    <xdr:sp macro="" textlink="">
      <xdr:nvSpPr>
        <xdr:cNvPr id="300103" name="Text Box 71" hidden="1">
          <a:extLst>
            <a:ext uri="{FF2B5EF4-FFF2-40B4-BE49-F238E27FC236}">
              <a16:creationId xmlns:a16="http://schemas.microsoft.com/office/drawing/2014/main" id="{89AF8C66-5462-40B4-BEF8-20C2050FF369}"/>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20708</xdr:rowOff>
    </xdr:from>
    <xdr:to>
      <xdr:col>5</xdr:col>
      <xdr:colOff>105335</xdr:colOff>
      <xdr:row>233</xdr:row>
      <xdr:rowOff>145735</xdr:rowOff>
    </xdr:to>
    <xdr:sp macro="" textlink="">
      <xdr:nvSpPr>
        <xdr:cNvPr id="300102" name="Text Box 70" hidden="1">
          <a:extLst>
            <a:ext uri="{FF2B5EF4-FFF2-40B4-BE49-F238E27FC236}">
              <a16:creationId xmlns:a16="http://schemas.microsoft.com/office/drawing/2014/main" id="{F72AFC20-E7B5-40FE-A2D4-DF190CEB456A}"/>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149438</xdr:rowOff>
    </xdr:from>
    <xdr:to>
      <xdr:col>5</xdr:col>
      <xdr:colOff>105335</xdr:colOff>
      <xdr:row>235</xdr:row>
      <xdr:rowOff>67130</xdr:rowOff>
    </xdr:to>
    <xdr:sp macro="" textlink="">
      <xdr:nvSpPr>
        <xdr:cNvPr id="300101" name="Text Box 69" hidden="1">
          <a:extLst>
            <a:ext uri="{FF2B5EF4-FFF2-40B4-BE49-F238E27FC236}">
              <a16:creationId xmlns:a16="http://schemas.microsoft.com/office/drawing/2014/main" id="{45DF8012-7DA8-4A2C-9147-B15614AA0F0F}"/>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149438</xdr:rowOff>
    </xdr:from>
    <xdr:to>
      <xdr:col>5</xdr:col>
      <xdr:colOff>105335</xdr:colOff>
      <xdr:row>222</xdr:row>
      <xdr:rowOff>149438</xdr:rowOff>
    </xdr:to>
    <xdr:sp macro="" textlink="">
      <xdr:nvSpPr>
        <xdr:cNvPr id="300100" name="Text Box 68" hidden="1">
          <a:extLst>
            <a:ext uri="{FF2B5EF4-FFF2-40B4-BE49-F238E27FC236}">
              <a16:creationId xmlns:a16="http://schemas.microsoft.com/office/drawing/2014/main" id="{134FABD4-10C9-496E-B4FD-ED5521389170}"/>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150232</xdr:rowOff>
    </xdr:from>
    <xdr:to>
      <xdr:col>5</xdr:col>
      <xdr:colOff>105335</xdr:colOff>
      <xdr:row>199</xdr:row>
      <xdr:rowOff>145735</xdr:rowOff>
    </xdr:to>
    <xdr:sp macro="" textlink="">
      <xdr:nvSpPr>
        <xdr:cNvPr id="300099" name="Text Box 67" hidden="1">
          <a:extLst>
            <a:ext uri="{FF2B5EF4-FFF2-40B4-BE49-F238E27FC236}">
              <a16:creationId xmlns:a16="http://schemas.microsoft.com/office/drawing/2014/main" id="{0ED48BC4-0495-47F6-8E2B-B46B9029C726}"/>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29992</xdr:rowOff>
    </xdr:from>
    <xdr:to>
      <xdr:col>5</xdr:col>
      <xdr:colOff>105335</xdr:colOff>
      <xdr:row>201</xdr:row>
      <xdr:rowOff>1659</xdr:rowOff>
    </xdr:to>
    <xdr:sp macro="" textlink="">
      <xdr:nvSpPr>
        <xdr:cNvPr id="300098" name="Text Box 66" hidden="1">
          <a:extLst>
            <a:ext uri="{FF2B5EF4-FFF2-40B4-BE49-F238E27FC236}">
              <a16:creationId xmlns:a16="http://schemas.microsoft.com/office/drawing/2014/main" id="{8FA31345-BCF0-4B85-8671-15E391750CCC}"/>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8563</xdr:rowOff>
    </xdr:from>
    <xdr:to>
      <xdr:col>5</xdr:col>
      <xdr:colOff>105335</xdr:colOff>
      <xdr:row>202</xdr:row>
      <xdr:rowOff>67129</xdr:rowOff>
    </xdr:to>
    <xdr:sp macro="" textlink="">
      <xdr:nvSpPr>
        <xdr:cNvPr id="300097" name="Text Box 65" hidden="1">
          <a:extLst>
            <a:ext uri="{FF2B5EF4-FFF2-40B4-BE49-F238E27FC236}">
              <a16:creationId xmlns:a16="http://schemas.microsoft.com/office/drawing/2014/main" id="{8F698467-02C2-4527-BA18-6D30498FCA44}"/>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149439</xdr:rowOff>
    </xdr:from>
    <xdr:to>
      <xdr:col>5</xdr:col>
      <xdr:colOff>105335</xdr:colOff>
      <xdr:row>209</xdr:row>
      <xdr:rowOff>20708</xdr:rowOff>
    </xdr:to>
    <xdr:sp macro="" textlink="">
      <xdr:nvSpPr>
        <xdr:cNvPr id="300096" name="Text Box 64" hidden="1">
          <a:extLst>
            <a:ext uri="{FF2B5EF4-FFF2-40B4-BE49-F238E27FC236}">
              <a16:creationId xmlns:a16="http://schemas.microsoft.com/office/drawing/2014/main" id="{1E8CC488-45A7-4000-A729-622F8B63155B}"/>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105335</xdr:colOff>
      <xdr:row>13</xdr:row>
      <xdr:rowOff>168275</xdr:rowOff>
    </xdr:to>
    <xdr:sp macro="" textlink="">
      <xdr:nvSpPr>
        <xdr:cNvPr id="300095" name="Text Box 63" hidden="1">
          <a:extLst>
            <a:ext uri="{FF2B5EF4-FFF2-40B4-BE49-F238E27FC236}">
              <a16:creationId xmlns:a16="http://schemas.microsoft.com/office/drawing/2014/main" id="{CC5A3910-AA8E-492E-9081-94BBEF8369FA}"/>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163253</xdr:rowOff>
    </xdr:from>
    <xdr:to>
      <xdr:col>5</xdr:col>
      <xdr:colOff>124385</xdr:colOff>
      <xdr:row>54</xdr:row>
      <xdr:rowOff>339899</xdr:rowOff>
    </xdr:to>
    <xdr:sp macro="" textlink="">
      <xdr:nvSpPr>
        <xdr:cNvPr id="300094" name="Text Box 62" hidden="1">
          <a:extLst>
            <a:ext uri="{FF2B5EF4-FFF2-40B4-BE49-F238E27FC236}">
              <a16:creationId xmlns:a16="http://schemas.microsoft.com/office/drawing/2014/main" id="{0BA7CA8F-9D2C-481A-BB12-0DF9FE15AB64}"/>
            </a:ext>
          </a:extLst>
        </xdr:cNvPr>
        <xdr:cNvSpPr txBox="1">
          <a:spLocks noChangeArrowheads="1"/>
        </xdr:cNvSpPr>
      </xdr:nvSpPr>
      <xdr:spPr bwMode="auto">
        <a:xfrm>
          <a:off x="3867150" y="11153775"/>
          <a:ext cx="12763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51</xdr:row>
      <xdr:rowOff>160578</xdr:rowOff>
    </xdr:from>
    <xdr:to>
      <xdr:col>5</xdr:col>
      <xdr:colOff>124385</xdr:colOff>
      <xdr:row>54</xdr:row>
      <xdr:rowOff>30603</xdr:rowOff>
    </xdr:to>
    <xdr:sp macro="" textlink="">
      <xdr:nvSpPr>
        <xdr:cNvPr id="300093" name="Text Box 61" hidden="1">
          <a:extLst>
            <a:ext uri="{FF2B5EF4-FFF2-40B4-BE49-F238E27FC236}">
              <a16:creationId xmlns:a16="http://schemas.microsoft.com/office/drawing/2014/main" id="{2F630881-EE41-4D97-BAF3-14534000091A}"/>
            </a:ext>
          </a:extLst>
        </xdr:cNvPr>
        <xdr:cNvSpPr txBox="1">
          <a:spLocks noChangeArrowheads="1"/>
        </xdr:cNvSpPr>
      </xdr:nvSpPr>
      <xdr:spPr bwMode="auto">
        <a:xfrm>
          <a:off x="3867150" y="107823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49840</xdr:rowOff>
    </xdr:from>
    <xdr:to>
      <xdr:col>5</xdr:col>
      <xdr:colOff>124385</xdr:colOff>
      <xdr:row>55</xdr:row>
      <xdr:rowOff>361530</xdr:rowOff>
    </xdr:to>
    <xdr:sp macro="" textlink="">
      <xdr:nvSpPr>
        <xdr:cNvPr id="300092" name="Text Box 60" hidden="1">
          <a:extLst>
            <a:ext uri="{FF2B5EF4-FFF2-40B4-BE49-F238E27FC236}">
              <a16:creationId xmlns:a16="http://schemas.microsoft.com/office/drawing/2014/main" id="{4694531C-B886-409E-BE6E-B00A45214DA2}"/>
            </a:ext>
          </a:extLst>
        </xdr:cNvPr>
        <xdr:cNvSpPr txBox="1">
          <a:spLocks noChangeArrowheads="1"/>
        </xdr:cNvSpPr>
      </xdr:nvSpPr>
      <xdr:spPr bwMode="auto">
        <a:xfrm>
          <a:off x="3867150" y="116014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354843</xdr:rowOff>
    </xdr:from>
    <xdr:to>
      <xdr:col>5</xdr:col>
      <xdr:colOff>124385</xdr:colOff>
      <xdr:row>55</xdr:row>
      <xdr:rowOff>182686</xdr:rowOff>
    </xdr:to>
    <xdr:sp macro="" textlink="">
      <xdr:nvSpPr>
        <xdr:cNvPr id="300091" name="Text Box 59" hidden="1">
          <a:extLst>
            <a:ext uri="{FF2B5EF4-FFF2-40B4-BE49-F238E27FC236}">
              <a16:creationId xmlns:a16="http://schemas.microsoft.com/office/drawing/2014/main" id="{54B861E1-588E-4EB8-AD3D-F4E0615BA004}"/>
            </a:ext>
          </a:extLst>
        </xdr:cNvPr>
        <xdr:cNvSpPr txBox="1">
          <a:spLocks noChangeArrowheads="1"/>
        </xdr:cNvSpPr>
      </xdr:nvSpPr>
      <xdr:spPr bwMode="auto">
        <a:xfrm>
          <a:off x="3867150" y="11382375"/>
          <a:ext cx="12763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200202</xdr:rowOff>
    </xdr:from>
    <xdr:to>
      <xdr:col>5</xdr:col>
      <xdr:colOff>124385</xdr:colOff>
      <xdr:row>57</xdr:row>
      <xdr:rowOff>103199</xdr:rowOff>
    </xdr:to>
    <xdr:sp macro="" textlink="">
      <xdr:nvSpPr>
        <xdr:cNvPr id="300090" name="Text Box 58" hidden="1">
          <a:extLst>
            <a:ext uri="{FF2B5EF4-FFF2-40B4-BE49-F238E27FC236}">
              <a16:creationId xmlns:a16="http://schemas.microsoft.com/office/drawing/2014/main" id="{57441789-8374-4728-AE65-7057A4FAAE05}"/>
            </a:ext>
          </a:extLst>
        </xdr:cNvPr>
        <xdr:cNvSpPr txBox="1">
          <a:spLocks noChangeArrowheads="1"/>
        </xdr:cNvSpPr>
      </xdr:nvSpPr>
      <xdr:spPr bwMode="auto">
        <a:xfrm>
          <a:off x="3867150" y="121729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2254</xdr:rowOff>
    </xdr:from>
    <xdr:to>
      <xdr:col>5</xdr:col>
      <xdr:colOff>124385</xdr:colOff>
      <xdr:row>56</xdr:row>
      <xdr:rowOff>335040</xdr:rowOff>
    </xdr:to>
    <xdr:sp macro="" textlink="">
      <xdr:nvSpPr>
        <xdr:cNvPr id="300089" name="Text Box 57" hidden="1">
          <a:extLst>
            <a:ext uri="{FF2B5EF4-FFF2-40B4-BE49-F238E27FC236}">
              <a16:creationId xmlns:a16="http://schemas.microsoft.com/office/drawing/2014/main" id="{D2E66206-BC2B-479D-908B-4FED8BDC9CC7}"/>
            </a:ext>
          </a:extLst>
        </xdr:cNvPr>
        <xdr:cNvSpPr txBox="1">
          <a:spLocks noChangeArrowheads="1"/>
        </xdr:cNvSpPr>
      </xdr:nvSpPr>
      <xdr:spPr bwMode="auto">
        <a:xfrm>
          <a:off x="3867150" y="119824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180703</xdr:rowOff>
    </xdr:from>
    <xdr:to>
      <xdr:col>5</xdr:col>
      <xdr:colOff>124385</xdr:colOff>
      <xdr:row>59</xdr:row>
      <xdr:rowOff>46586</xdr:rowOff>
    </xdr:to>
    <xdr:sp macro="" textlink="">
      <xdr:nvSpPr>
        <xdr:cNvPr id="300088" name="Text Box 56" hidden="1">
          <a:extLst>
            <a:ext uri="{FF2B5EF4-FFF2-40B4-BE49-F238E27FC236}">
              <a16:creationId xmlns:a16="http://schemas.microsoft.com/office/drawing/2014/main" id="{B9F49866-69F1-4737-BC3C-C861A28096A8}"/>
            </a:ext>
          </a:extLst>
        </xdr:cNvPr>
        <xdr:cNvSpPr txBox="1">
          <a:spLocks noChangeArrowheads="1"/>
        </xdr:cNvSpPr>
      </xdr:nvSpPr>
      <xdr:spPr bwMode="auto">
        <a:xfrm>
          <a:off x="3867150" y="126111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378759</xdr:rowOff>
    </xdr:from>
    <xdr:to>
      <xdr:col>5</xdr:col>
      <xdr:colOff>124385</xdr:colOff>
      <xdr:row>58</xdr:row>
      <xdr:rowOff>39978</xdr:rowOff>
    </xdr:to>
    <xdr:sp macro="" textlink="">
      <xdr:nvSpPr>
        <xdr:cNvPr id="300087" name="Text Box 55" hidden="1">
          <a:extLst>
            <a:ext uri="{FF2B5EF4-FFF2-40B4-BE49-F238E27FC236}">
              <a16:creationId xmlns:a16="http://schemas.microsoft.com/office/drawing/2014/main" id="{228B0179-8685-4538-AC16-36CBAB9B368C}"/>
            </a:ext>
          </a:extLst>
        </xdr:cNvPr>
        <xdr:cNvSpPr txBox="1">
          <a:spLocks noChangeArrowheads="1"/>
        </xdr:cNvSpPr>
      </xdr:nvSpPr>
      <xdr:spPr bwMode="auto">
        <a:xfrm>
          <a:off x="3867150" y="123825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142993</xdr:rowOff>
    </xdr:from>
    <xdr:to>
      <xdr:col>5</xdr:col>
      <xdr:colOff>124385</xdr:colOff>
      <xdr:row>61</xdr:row>
      <xdr:rowOff>47705</xdr:rowOff>
    </xdr:to>
    <xdr:sp macro="" textlink="">
      <xdr:nvSpPr>
        <xdr:cNvPr id="300086" name="Text Box 54" hidden="1">
          <a:extLst>
            <a:ext uri="{FF2B5EF4-FFF2-40B4-BE49-F238E27FC236}">
              <a16:creationId xmlns:a16="http://schemas.microsoft.com/office/drawing/2014/main" id="{C63403D3-5E9E-45BF-94F1-2B1A325E02FC}"/>
            </a:ext>
          </a:extLst>
        </xdr:cNvPr>
        <xdr:cNvSpPr txBox="1">
          <a:spLocks noChangeArrowheads="1"/>
        </xdr:cNvSpPr>
      </xdr:nvSpPr>
      <xdr:spPr bwMode="auto">
        <a:xfrm>
          <a:off x="3867150" y="130302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2693</xdr:rowOff>
    </xdr:from>
    <xdr:to>
      <xdr:col>5</xdr:col>
      <xdr:colOff>124385</xdr:colOff>
      <xdr:row>60</xdr:row>
      <xdr:rowOff>68895</xdr:rowOff>
    </xdr:to>
    <xdr:sp macro="" textlink="">
      <xdr:nvSpPr>
        <xdr:cNvPr id="300085" name="Text Box 53" hidden="1">
          <a:extLst>
            <a:ext uri="{FF2B5EF4-FFF2-40B4-BE49-F238E27FC236}">
              <a16:creationId xmlns:a16="http://schemas.microsoft.com/office/drawing/2014/main" id="{2EB7743A-F8AE-4E72-8375-4E568B25D36E}"/>
            </a:ext>
          </a:extLst>
        </xdr:cNvPr>
        <xdr:cNvSpPr txBox="1">
          <a:spLocks noChangeArrowheads="1"/>
        </xdr:cNvSpPr>
      </xdr:nvSpPr>
      <xdr:spPr bwMode="auto">
        <a:xfrm>
          <a:off x="3867150" y="128206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171951</xdr:rowOff>
    </xdr:from>
    <xdr:to>
      <xdr:col>5</xdr:col>
      <xdr:colOff>124385</xdr:colOff>
      <xdr:row>78</xdr:row>
      <xdr:rowOff>178234</xdr:rowOff>
    </xdr:to>
    <xdr:sp macro="" textlink="">
      <xdr:nvSpPr>
        <xdr:cNvPr id="300084" name="Text Box 52" hidden="1">
          <a:extLst>
            <a:ext uri="{FF2B5EF4-FFF2-40B4-BE49-F238E27FC236}">
              <a16:creationId xmlns:a16="http://schemas.microsoft.com/office/drawing/2014/main" id="{C51A4BDA-4F21-4A35-B3D6-7C4E8A7FF0E5}"/>
            </a:ext>
          </a:extLst>
        </xdr:cNvPr>
        <xdr:cNvSpPr txBox="1">
          <a:spLocks noChangeArrowheads="1"/>
        </xdr:cNvSpPr>
      </xdr:nvSpPr>
      <xdr:spPr bwMode="auto">
        <a:xfrm>
          <a:off x="3867150" y="16868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173640</xdr:rowOff>
    </xdr:from>
    <xdr:to>
      <xdr:col>5</xdr:col>
      <xdr:colOff>124385</xdr:colOff>
      <xdr:row>78</xdr:row>
      <xdr:rowOff>25689</xdr:rowOff>
    </xdr:to>
    <xdr:sp macro="" textlink="">
      <xdr:nvSpPr>
        <xdr:cNvPr id="300083" name="Text Box 51" hidden="1">
          <a:extLst>
            <a:ext uri="{FF2B5EF4-FFF2-40B4-BE49-F238E27FC236}">
              <a16:creationId xmlns:a16="http://schemas.microsoft.com/office/drawing/2014/main" id="{B1F5BD9D-26A2-4E0B-AA0B-EB74DC30D470}"/>
            </a:ext>
          </a:extLst>
        </xdr:cNvPr>
        <xdr:cNvSpPr txBox="1">
          <a:spLocks noChangeArrowheads="1"/>
        </xdr:cNvSpPr>
      </xdr:nvSpPr>
      <xdr:spPr bwMode="auto">
        <a:xfrm>
          <a:off x="3867150" y="16678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124690</xdr:rowOff>
    </xdr:from>
    <xdr:to>
      <xdr:col>5</xdr:col>
      <xdr:colOff>124385</xdr:colOff>
      <xdr:row>79</xdr:row>
      <xdr:rowOff>144450</xdr:rowOff>
    </xdr:to>
    <xdr:sp macro="" textlink="">
      <xdr:nvSpPr>
        <xdr:cNvPr id="300082" name="Text Box 50" hidden="1">
          <a:extLst>
            <a:ext uri="{FF2B5EF4-FFF2-40B4-BE49-F238E27FC236}">
              <a16:creationId xmlns:a16="http://schemas.microsoft.com/office/drawing/2014/main" id="{05B30AE9-70BE-4C80-8CA8-12B27F590741}"/>
            </a:ext>
          </a:extLst>
        </xdr:cNvPr>
        <xdr:cNvSpPr txBox="1">
          <a:spLocks noChangeArrowheads="1"/>
        </xdr:cNvSpPr>
      </xdr:nvSpPr>
      <xdr:spPr bwMode="auto">
        <a:xfrm>
          <a:off x="3867150" y="17249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151678</xdr:rowOff>
    </xdr:from>
    <xdr:to>
      <xdr:col>5</xdr:col>
      <xdr:colOff>124385</xdr:colOff>
      <xdr:row>78</xdr:row>
      <xdr:rowOff>364185</xdr:rowOff>
    </xdr:to>
    <xdr:sp macro="" textlink="">
      <xdr:nvSpPr>
        <xdr:cNvPr id="300081" name="Text Box 49" hidden="1">
          <a:extLst>
            <a:ext uri="{FF2B5EF4-FFF2-40B4-BE49-F238E27FC236}">
              <a16:creationId xmlns:a16="http://schemas.microsoft.com/office/drawing/2014/main" id="{BAA25053-C368-48D2-9FF8-AE7FD46870FE}"/>
            </a:ext>
          </a:extLst>
        </xdr:cNvPr>
        <xdr:cNvSpPr txBox="1">
          <a:spLocks noChangeArrowheads="1"/>
        </xdr:cNvSpPr>
      </xdr:nvSpPr>
      <xdr:spPr bwMode="auto">
        <a:xfrm>
          <a:off x="3867150" y="17059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124908</xdr:rowOff>
    </xdr:from>
    <xdr:to>
      <xdr:col>5</xdr:col>
      <xdr:colOff>124385</xdr:colOff>
      <xdr:row>81</xdr:row>
      <xdr:rowOff>124114</xdr:rowOff>
    </xdr:to>
    <xdr:sp macro="" textlink="">
      <xdr:nvSpPr>
        <xdr:cNvPr id="300080" name="Text Box 48" hidden="1">
          <a:extLst>
            <a:ext uri="{FF2B5EF4-FFF2-40B4-BE49-F238E27FC236}">
              <a16:creationId xmlns:a16="http://schemas.microsoft.com/office/drawing/2014/main" id="{8B9B018E-4265-4FE4-A002-161666D26455}"/>
            </a:ext>
          </a:extLst>
        </xdr:cNvPr>
        <xdr:cNvSpPr txBox="1">
          <a:spLocks noChangeArrowheads="1"/>
        </xdr:cNvSpPr>
      </xdr:nvSpPr>
      <xdr:spPr bwMode="auto">
        <a:xfrm>
          <a:off x="3867150" y="17630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141843</xdr:rowOff>
    </xdr:from>
    <xdr:to>
      <xdr:col>5</xdr:col>
      <xdr:colOff>124385</xdr:colOff>
      <xdr:row>80</xdr:row>
      <xdr:rowOff>145810</xdr:rowOff>
    </xdr:to>
    <xdr:sp macro="" textlink="">
      <xdr:nvSpPr>
        <xdr:cNvPr id="300079" name="Text Box 47" hidden="1">
          <a:extLst>
            <a:ext uri="{FF2B5EF4-FFF2-40B4-BE49-F238E27FC236}">
              <a16:creationId xmlns:a16="http://schemas.microsoft.com/office/drawing/2014/main" id="{D1C2A618-EB2D-4D38-B3ED-BAE72003FF25}"/>
            </a:ext>
          </a:extLst>
        </xdr:cNvPr>
        <xdr:cNvSpPr txBox="1">
          <a:spLocks noChangeArrowheads="1"/>
        </xdr:cNvSpPr>
      </xdr:nvSpPr>
      <xdr:spPr bwMode="auto">
        <a:xfrm>
          <a:off x="3867150" y="17440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105821</xdr:rowOff>
    </xdr:from>
    <xdr:to>
      <xdr:col>5</xdr:col>
      <xdr:colOff>124385</xdr:colOff>
      <xdr:row>83</xdr:row>
      <xdr:rowOff>102191</xdr:rowOff>
    </xdr:to>
    <xdr:sp macro="" textlink="">
      <xdr:nvSpPr>
        <xdr:cNvPr id="300078" name="Text Box 46" hidden="1">
          <a:extLst>
            <a:ext uri="{FF2B5EF4-FFF2-40B4-BE49-F238E27FC236}">
              <a16:creationId xmlns:a16="http://schemas.microsoft.com/office/drawing/2014/main" id="{7EC4670D-1BFC-4431-A51C-BFAB6608E617}"/>
            </a:ext>
          </a:extLst>
        </xdr:cNvPr>
        <xdr:cNvSpPr txBox="1">
          <a:spLocks noChangeArrowheads="1"/>
        </xdr:cNvSpPr>
      </xdr:nvSpPr>
      <xdr:spPr bwMode="auto">
        <a:xfrm>
          <a:off x="3867150" y="18011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320911</xdr:rowOff>
    </xdr:from>
    <xdr:to>
      <xdr:col>5</xdr:col>
      <xdr:colOff>124385</xdr:colOff>
      <xdr:row>82</xdr:row>
      <xdr:rowOff>101807</xdr:rowOff>
    </xdr:to>
    <xdr:sp macro="" textlink="">
      <xdr:nvSpPr>
        <xdr:cNvPr id="300077" name="Text Box 45" hidden="1">
          <a:extLst>
            <a:ext uri="{FF2B5EF4-FFF2-40B4-BE49-F238E27FC236}">
              <a16:creationId xmlns:a16="http://schemas.microsoft.com/office/drawing/2014/main" id="{35E81BB0-F6C1-4A1D-9544-853FFFE20FCA}"/>
            </a:ext>
          </a:extLst>
        </xdr:cNvPr>
        <xdr:cNvSpPr txBox="1">
          <a:spLocks noChangeArrowheads="1"/>
        </xdr:cNvSpPr>
      </xdr:nvSpPr>
      <xdr:spPr bwMode="auto">
        <a:xfrm>
          <a:off x="3867150" y="17821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101</xdr:row>
      <xdr:rowOff>65139</xdr:rowOff>
    </xdr:from>
    <xdr:to>
      <xdr:col>5</xdr:col>
      <xdr:colOff>124385</xdr:colOff>
      <xdr:row>106</xdr:row>
      <xdr:rowOff>26329</xdr:rowOff>
    </xdr:to>
    <xdr:sp macro="" textlink="">
      <xdr:nvSpPr>
        <xdr:cNvPr id="300076" name="Text Box 44" hidden="1">
          <a:extLst>
            <a:ext uri="{FF2B5EF4-FFF2-40B4-BE49-F238E27FC236}">
              <a16:creationId xmlns:a16="http://schemas.microsoft.com/office/drawing/2014/main" id="{7D96E04B-DB01-4037-96D6-8077271B4026}"/>
            </a:ext>
          </a:extLst>
        </xdr:cNvPr>
        <xdr:cNvSpPr txBox="1">
          <a:spLocks noChangeArrowheads="1"/>
        </xdr:cNvSpPr>
      </xdr:nvSpPr>
      <xdr:spPr bwMode="auto">
        <a:xfrm>
          <a:off x="3867150" y="22412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100</xdr:row>
      <xdr:rowOff>75870</xdr:rowOff>
    </xdr:from>
    <xdr:to>
      <xdr:col>5</xdr:col>
      <xdr:colOff>124385</xdr:colOff>
      <xdr:row>105</xdr:row>
      <xdr:rowOff>8863</xdr:rowOff>
    </xdr:to>
    <xdr:sp macro="" textlink="">
      <xdr:nvSpPr>
        <xdr:cNvPr id="300075" name="Text Box 43" hidden="1">
          <a:extLst>
            <a:ext uri="{FF2B5EF4-FFF2-40B4-BE49-F238E27FC236}">
              <a16:creationId xmlns:a16="http://schemas.microsoft.com/office/drawing/2014/main" id="{D700D34C-E1AE-4FD4-A31D-3986A9277779}"/>
            </a:ext>
          </a:extLst>
        </xdr:cNvPr>
        <xdr:cNvSpPr txBox="1">
          <a:spLocks noChangeArrowheads="1"/>
        </xdr:cNvSpPr>
      </xdr:nvSpPr>
      <xdr:spPr bwMode="auto">
        <a:xfrm>
          <a:off x="3867150" y="22221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105385</xdr:rowOff>
    </xdr:from>
    <xdr:to>
      <xdr:col>5</xdr:col>
      <xdr:colOff>124385</xdr:colOff>
      <xdr:row>107</xdr:row>
      <xdr:rowOff>179767</xdr:rowOff>
    </xdr:to>
    <xdr:sp macro="" textlink="">
      <xdr:nvSpPr>
        <xdr:cNvPr id="300074" name="Text Box 42" hidden="1">
          <a:extLst>
            <a:ext uri="{FF2B5EF4-FFF2-40B4-BE49-F238E27FC236}">
              <a16:creationId xmlns:a16="http://schemas.microsoft.com/office/drawing/2014/main" id="{C26BD84E-3B54-4DAA-B28E-88C530CBA82B}"/>
            </a:ext>
          </a:extLst>
        </xdr:cNvPr>
        <xdr:cNvSpPr txBox="1">
          <a:spLocks noChangeArrowheads="1"/>
        </xdr:cNvSpPr>
      </xdr:nvSpPr>
      <xdr:spPr bwMode="auto">
        <a:xfrm>
          <a:off x="3867150" y="22793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102</xdr:row>
      <xdr:rowOff>68879</xdr:rowOff>
    </xdr:from>
    <xdr:to>
      <xdr:col>5</xdr:col>
      <xdr:colOff>124385</xdr:colOff>
      <xdr:row>106</xdr:row>
      <xdr:rowOff>161210</xdr:rowOff>
    </xdr:to>
    <xdr:sp macro="" textlink="">
      <xdr:nvSpPr>
        <xdr:cNvPr id="300073" name="Text Box 41" hidden="1">
          <a:extLst>
            <a:ext uri="{FF2B5EF4-FFF2-40B4-BE49-F238E27FC236}">
              <a16:creationId xmlns:a16="http://schemas.microsoft.com/office/drawing/2014/main" id="{F3A64A61-EBC3-44CF-819C-CF1C7B9758A7}"/>
            </a:ext>
          </a:extLst>
        </xdr:cNvPr>
        <xdr:cNvSpPr txBox="1">
          <a:spLocks noChangeArrowheads="1"/>
        </xdr:cNvSpPr>
      </xdr:nvSpPr>
      <xdr:spPr bwMode="auto">
        <a:xfrm>
          <a:off x="3867150" y="22602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104786</xdr:rowOff>
    </xdr:from>
    <xdr:to>
      <xdr:col>5</xdr:col>
      <xdr:colOff>124385</xdr:colOff>
      <xdr:row>109</xdr:row>
      <xdr:rowOff>68980</xdr:rowOff>
    </xdr:to>
    <xdr:sp macro="" textlink="">
      <xdr:nvSpPr>
        <xdr:cNvPr id="300072" name="Text Box 40" hidden="1">
          <a:extLst>
            <a:ext uri="{FF2B5EF4-FFF2-40B4-BE49-F238E27FC236}">
              <a16:creationId xmlns:a16="http://schemas.microsoft.com/office/drawing/2014/main" id="{7F0A336A-E3A5-4E5D-B44C-0C7BC86D4CF1}"/>
            </a:ext>
          </a:extLst>
        </xdr:cNvPr>
        <xdr:cNvSpPr txBox="1">
          <a:spLocks noChangeArrowheads="1"/>
        </xdr:cNvSpPr>
      </xdr:nvSpPr>
      <xdr:spPr bwMode="auto">
        <a:xfrm>
          <a:off x="3867150" y="231743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134188</xdr:rowOff>
    </xdr:from>
    <xdr:to>
      <xdr:col>5</xdr:col>
      <xdr:colOff>124385</xdr:colOff>
      <xdr:row>108</xdr:row>
      <xdr:rowOff>47787</xdr:rowOff>
    </xdr:to>
    <xdr:sp macro="" textlink="">
      <xdr:nvSpPr>
        <xdr:cNvPr id="300071" name="Text Box 39" hidden="1">
          <a:extLst>
            <a:ext uri="{FF2B5EF4-FFF2-40B4-BE49-F238E27FC236}">
              <a16:creationId xmlns:a16="http://schemas.microsoft.com/office/drawing/2014/main" id="{E329A78D-9921-4D56-8AEE-1C11BB64FCD5}"/>
            </a:ext>
          </a:extLst>
        </xdr:cNvPr>
        <xdr:cNvSpPr txBox="1">
          <a:spLocks noChangeArrowheads="1"/>
        </xdr:cNvSpPr>
      </xdr:nvSpPr>
      <xdr:spPr bwMode="auto">
        <a:xfrm>
          <a:off x="3867150" y="229838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107</xdr:row>
      <xdr:rowOff>101738</xdr:rowOff>
    </xdr:from>
    <xdr:to>
      <xdr:col>5</xdr:col>
      <xdr:colOff>124385</xdr:colOff>
      <xdr:row>111</xdr:row>
      <xdr:rowOff>68634</xdr:rowOff>
    </xdr:to>
    <xdr:sp macro="" textlink="">
      <xdr:nvSpPr>
        <xdr:cNvPr id="300070" name="Text Box 38" hidden="1">
          <a:extLst>
            <a:ext uri="{FF2B5EF4-FFF2-40B4-BE49-F238E27FC236}">
              <a16:creationId xmlns:a16="http://schemas.microsoft.com/office/drawing/2014/main" id="{E19ABFDF-539F-4B94-B64B-2AF8B8215533}"/>
            </a:ext>
          </a:extLst>
        </xdr:cNvPr>
        <xdr:cNvSpPr txBox="1">
          <a:spLocks noChangeArrowheads="1"/>
        </xdr:cNvSpPr>
      </xdr:nvSpPr>
      <xdr:spPr bwMode="auto">
        <a:xfrm>
          <a:off x="3867150" y="235553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126017</xdr:rowOff>
    </xdr:from>
    <xdr:to>
      <xdr:col>5</xdr:col>
      <xdr:colOff>124385</xdr:colOff>
      <xdr:row>110</xdr:row>
      <xdr:rowOff>68277</xdr:rowOff>
    </xdr:to>
    <xdr:sp macro="" textlink="">
      <xdr:nvSpPr>
        <xdr:cNvPr id="300069" name="Text Box 37" hidden="1">
          <a:extLst>
            <a:ext uri="{FF2B5EF4-FFF2-40B4-BE49-F238E27FC236}">
              <a16:creationId xmlns:a16="http://schemas.microsoft.com/office/drawing/2014/main" id="{52BB9A55-0A6C-4E74-9757-EEDC0230A7A5}"/>
            </a:ext>
          </a:extLst>
        </xdr:cNvPr>
        <xdr:cNvSpPr txBox="1">
          <a:spLocks noChangeArrowheads="1"/>
        </xdr:cNvSpPr>
      </xdr:nvSpPr>
      <xdr:spPr bwMode="auto">
        <a:xfrm>
          <a:off x="3867150" y="233648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300140" name="Text Box 108" hidden="1">
          <a:extLst>
            <a:ext uri="{FF2B5EF4-FFF2-40B4-BE49-F238E27FC236}">
              <a16:creationId xmlns:a16="http://schemas.microsoft.com/office/drawing/2014/main" id="{38C66A34-27C0-4A31-8D76-E77852569DE6}"/>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67076</xdr:rowOff>
    </xdr:from>
    <xdr:to>
      <xdr:col>5</xdr:col>
      <xdr:colOff>105335</xdr:colOff>
      <xdr:row>221</xdr:row>
      <xdr:rowOff>45644</xdr:rowOff>
    </xdr:to>
    <xdr:sp macro="" textlink="">
      <xdr:nvSpPr>
        <xdr:cNvPr id="300139" name="Text Box 107" hidden="1">
          <a:extLst>
            <a:ext uri="{FF2B5EF4-FFF2-40B4-BE49-F238E27FC236}">
              <a16:creationId xmlns:a16="http://schemas.microsoft.com/office/drawing/2014/main" id="{58C4CAB6-6814-4CEC-AF54-AB1374CD57F5}"/>
            </a:ext>
          </a:extLst>
        </xdr:cNvPr>
        <xdr:cNvSpPr txBox="1">
          <a:spLocks noChangeArrowheads="1"/>
        </xdr:cNvSpPr>
      </xdr:nvSpPr>
      <xdr:spPr bwMode="auto">
        <a:xfrm>
          <a:off x="3994150" y="40144700"/>
          <a:ext cx="13144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6367</xdr:rowOff>
    </xdr:from>
    <xdr:to>
      <xdr:col>5</xdr:col>
      <xdr:colOff>105335</xdr:colOff>
      <xdr:row>220</xdr:row>
      <xdr:rowOff>145922</xdr:rowOff>
    </xdr:to>
    <xdr:sp macro="" textlink="">
      <xdr:nvSpPr>
        <xdr:cNvPr id="300138" name="Text Box 106" hidden="1">
          <a:extLst>
            <a:ext uri="{FF2B5EF4-FFF2-40B4-BE49-F238E27FC236}">
              <a16:creationId xmlns:a16="http://schemas.microsoft.com/office/drawing/2014/main" id="{E896DD59-C8D7-4845-8240-56424F69F7B4}"/>
            </a:ext>
          </a:extLst>
        </xdr:cNvPr>
        <xdr:cNvSpPr txBox="1">
          <a:spLocks noChangeArrowheads="1"/>
        </xdr:cNvSpPr>
      </xdr:nvSpPr>
      <xdr:spPr bwMode="auto">
        <a:xfrm>
          <a:off x="3994150" y="40493950"/>
          <a:ext cx="1314450" cy="3816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150010</xdr:rowOff>
    </xdr:from>
    <xdr:to>
      <xdr:col>5</xdr:col>
      <xdr:colOff>105335</xdr:colOff>
      <xdr:row>222</xdr:row>
      <xdr:rowOff>45644</xdr:rowOff>
    </xdr:to>
    <xdr:sp macro="" textlink="">
      <xdr:nvSpPr>
        <xdr:cNvPr id="300137" name="Text Box 105" hidden="1">
          <a:extLst>
            <a:ext uri="{FF2B5EF4-FFF2-40B4-BE49-F238E27FC236}">
              <a16:creationId xmlns:a16="http://schemas.microsoft.com/office/drawing/2014/main" id="{075BBCD3-9147-4A20-AB44-F9DD873505D8}"/>
            </a:ext>
          </a:extLst>
        </xdr:cNvPr>
        <xdr:cNvSpPr txBox="1">
          <a:spLocks noChangeArrowheads="1"/>
        </xdr:cNvSpPr>
      </xdr:nvSpPr>
      <xdr:spPr bwMode="auto">
        <a:xfrm>
          <a:off x="3994150" y="41014650"/>
          <a:ext cx="1314450" cy="3562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150009</xdr:rowOff>
    </xdr:from>
    <xdr:to>
      <xdr:col>5</xdr:col>
      <xdr:colOff>105335</xdr:colOff>
      <xdr:row>209</xdr:row>
      <xdr:rowOff>153595</xdr:rowOff>
    </xdr:to>
    <xdr:sp macro="" textlink="">
      <xdr:nvSpPr>
        <xdr:cNvPr id="300136" name="Text Box 104" hidden="1">
          <a:extLst>
            <a:ext uri="{FF2B5EF4-FFF2-40B4-BE49-F238E27FC236}">
              <a16:creationId xmlns:a16="http://schemas.microsoft.com/office/drawing/2014/main" id="{623427C2-CB9E-4A06-8BD5-85B943819154}"/>
            </a:ext>
          </a:extLst>
        </xdr:cNvPr>
        <xdr:cNvSpPr txBox="1">
          <a:spLocks noChangeArrowheads="1"/>
        </xdr:cNvSpPr>
      </xdr:nvSpPr>
      <xdr:spPr bwMode="auto">
        <a:xfrm>
          <a:off x="3994150" y="41198800"/>
          <a:ext cx="1314450" cy="109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181</xdr:row>
      <xdr:rowOff>163119</xdr:rowOff>
    </xdr:from>
    <xdr:to>
      <xdr:col>5</xdr:col>
      <xdr:colOff>105335</xdr:colOff>
      <xdr:row>187</xdr:row>
      <xdr:rowOff>84538</xdr:rowOff>
    </xdr:to>
    <xdr:sp macro="" textlink="">
      <xdr:nvSpPr>
        <xdr:cNvPr id="300135" name="Text Box 103" hidden="1">
          <a:extLst>
            <a:ext uri="{FF2B5EF4-FFF2-40B4-BE49-F238E27FC236}">
              <a16:creationId xmlns:a16="http://schemas.microsoft.com/office/drawing/2014/main" id="{49F7F916-DCC8-43CB-8DD7-EC00D96056C1}"/>
            </a:ext>
          </a:extLst>
        </xdr:cNvPr>
        <xdr:cNvSpPr txBox="1">
          <a:spLocks noChangeArrowheads="1"/>
        </xdr:cNvSpPr>
      </xdr:nvSpPr>
      <xdr:spPr bwMode="auto">
        <a:xfrm>
          <a:off x="3994150" y="36925250"/>
          <a:ext cx="1314450"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20245</xdr:rowOff>
    </xdr:from>
    <xdr:to>
      <xdr:col>5</xdr:col>
      <xdr:colOff>105335</xdr:colOff>
      <xdr:row>188</xdr:row>
      <xdr:rowOff>83743</xdr:rowOff>
    </xdr:to>
    <xdr:sp macro="" textlink="">
      <xdr:nvSpPr>
        <xdr:cNvPr id="300134" name="Text Box 102" hidden="1">
          <a:extLst>
            <a:ext uri="{FF2B5EF4-FFF2-40B4-BE49-F238E27FC236}">
              <a16:creationId xmlns:a16="http://schemas.microsoft.com/office/drawing/2014/main" id="{A9B4626F-2285-46E4-A5EB-8D13E1093BA9}"/>
            </a:ext>
          </a:extLst>
        </xdr:cNvPr>
        <xdr:cNvSpPr txBox="1">
          <a:spLocks noChangeArrowheads="1"/>
        </xdr:cNvSpPr>
      </xdr:nvSpPr>
      <xdr:spPr bwMode="auto">
        <a:xfrm>
          <a:off x="3994150" y="37331650"/>
          <a:ext cx="13144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153978</xdr:rowOff>
    </xdr:from>
    <xdr:to>
      <xdr:col>5</xdr:col>
      <xdr:colOff>105335</xdr:colOff>
      <xdr:row>189</xdr:row>
      <xdr:rowOff>102001</xdr:rowOff>
    </xdr:to>
    <xdr:sp macro="" textlink="">
      <xdr:nvSpPr>
        <xdr:cNvPr id="300133" name="Text Box 101" hidden="1">
          <a:extLst>
            <a:ext uri="{FF2B5EF4-FFF2-40B4-BE49-F238E27FC236}">
              <a16:creationId xmlns:a16="http://schemas.microsoft.com/office/drawing/2014/main" id="{DC437AB9-8ABF-4A32-8580-8CC4B062683A}"/>
            </a:ext>
          </a:extLst>
        </xdr:cNvPr>
        <xdr:cNvSpPr txBox="1">
          <a:spLocks noChangeArrowheads="1"/>
        </xdr:cNvSpPr>
      </xdr:nvSpPr>
      <xdr:spPr bwMode="auto">
        <a:xfrm>
          <a:off x="3994150" y="37699950"/>
          <a:ext cx="13144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102385</xdr:rowOff>
    </xdr:from>
    <xdr:to>
      <xdr:col>5</xdr:col>
      <xdr:colOff>105335</xdr:colOff>
      <xdr:row>196</xdr:row>
      <xdr:rowOff>46439</xdr:rowOff>
    </xdr:to>
    <xdr:sp macro="" textlink="">
      <xdr:nvSpPr>
        <xdr:cNvPr id="300132" name="Text Box 100" hidden="1">
          <a:extLst>
            <a:ext uri="{FF2B5EF4-FFF2-40B4-BE49-F238E27FC236}">
              <a16:creationId xmlns:a16="http://schemas.microsoft.com/office/drawing/2014/main" id="{8FDFF0FB-C8E7-48A0-B16F-BFC915DF4B6F}"/>
            </a:ext>
          </a:extLst>
        </xdr:cNvPr>
        <xdr:cNvSpPr txBox="1">
          <a:spLocks noChangeArrowheads="1"/>
        </xdr:cNvSpPr>
      </xdr:nvSpPr>
      <xdr:spPr bwMode="auto">
        <a:xfrm>
          <a:off x="3994150" y="38068250"/>
          <a:ext cx="1314450" cy="1682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105335</xdr:colOff>
      <xdr:row>13</xdr:row>
      <xdr:rowOff>168275</xdr:rowOff>
    </xdr:to>
    <xdr:sp macro="" textlink="">
      <xdr:nvSpPr>
        <xdr:cNvPr id="300131" name="Text Box 99" hidden="1">
          <a:extLst>
            <a:ext uri="{FF2B5EF4-FFF2-40B4-BE49-F238E27FC236}">
              <a16:creationId xmlns:a16="http://schemas.microsoft.com/office/drawing/2014/main" id="{49165951-EDCA-4682-97B8-5C9FB5B4A1E8}"/>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51</xdr:row>
      <xdr:rowOff>141528</xdr:rowOff>
    </xdr:from>
    <xdr:to>
      <xdr:col>5</xdr:col>
      <xdr:colOff>124385</xdr:colOff>
      <xdr:row>54</xdr:row>
      <xdr:rowOff>30603</xdr:rowOff>
    </xdr:to>
    <xdr:sp macro="" textlink="">
      <xdr:nvSpPr>
        <xdr:cNvPr id="300130" name="Text Box 98" hidden="1">
          <a:extLst>
            <a:ext uri="{FF2B5EF4-FFF2-40B4-BE49-F238E27FC236}">
              <a16:creationId xmlns:a16="http://schemas.microsoft.com/office/drawing/2014/main" id="{02882E38-BC26-4930-9755-E23E5684D1FF}"/>
            </a:ext>
          </a:extLst>
        </xdr:cNvPr>
        <xdr:cNvSpPr txBox="1">
          <a:spLocks noChangeArrowheads="1"/>
        </xdr:cNvSpPr>
      </xdr:nvSpPr>
      <xdr:spPr bwMode="auto">
        <a:xfrm>
          <a:off x="4013200" y="107315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2933</xdr:rowOff>
    </xdr:from>
    <xdr:to>
      <xdr:col>5</xdr:col>
      <xdr:colOff>124385</xdr:colOff>
      <xdr:row>54</xdr:row>
      <xdr:rowOff>206601</xdr:rowOff>
    </xdr:to>
    <xdr:sp macro="" textlink="">
      <xdr:nvSpPr>
        <xdr:cNvPr id="300128" name="Text Box 96" hidden="1">
          <a:extLst>
            <a:ext uri="{FF2B5EF4-FFF2-40B4-BE49-F238E27FC236}">
              <a16:creationId xmlns:a16="http://schemas.microsoft.com/office/drawing/2014/main" id="{0135D526-0EFD-4B5F-9141-4FCE9BB65587}"/>
            </a:ext>
          </a:extLst>
        </xdr:cNvPr>
        <xdr:cNvSpPr txBox="1">
          <a:spLocks noChangeArrowheads="1"/>
        </xdr:cNvSpPr>
      </xdr:nvSpPr>
      <xdr:spPr bwMode="auto">
        <a:xfrm>
          <a:off x="4013200" y="10966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30603</xdr:rowOff>
    </xdr:from>
    <xdr:to>
      <xdr:col>5</xdr:col>
      <xdr:colOff>124385</xdr:colOff>
      <xdr:row>55</xdr:row>
      <xdr:rowOff>335628</xdr:rowOff>
    </xdr:to>
    <xdr:sp macro="" textlink="">
      <xdr:nvSpPr>
        <xdr:cNvPr id="300126" name="Text Box 94" hidden="1">
          <a:extLst>
            <a:ext uri="{FF2B5EF4-FFF2-40B4-BE49-F238E27FC236}">
              <a16:creationId xmlns:a16="http://schemas.microsoft.com/office/drawing/2014/main" id="{3176FBF5-BA1E-491B-AA18-15963A4667E3}"/>
            </a:ext>
          </a:extLst>
        </xdr:cNvPr>
        <xdr:cNvSpPr txBox="1">
          <a:spLocks noChangeArrowheads="1"/>
        </xdr:cNvSpPr>
      </xdr:nvSpPr>
      <xdr:spPr bwMode="auto">
        <a:xfrm>
          <a:off x="4013200" y="115252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206601</xdr:rowOff>
    </xdr:from>
    <xdr:to>
      <xdr:col>5</xdr:col>
      <xdr:colOff>124385</xdr:colOff>
      <xdr:row>56</xdr:row>
      <xdr:rowOff>155149</xdr:rowOff>
    </xdr:to>
    <xdr:sp macro="" textlink="">
      <xdr:nvSpPr>
        <xdr:cNvPr id="300124" name="Text Box 92" hidden="1">
          <a:extLst>
            <a:ext uri="{FF2B5EF4-FFF2-40B4-BE49-F238E27FC236}">
              <a16:creationId xmlns:a16="http://schemas.microsoft.com/office/drawing/2014/main" id="{A674E3A3-A515-4319-A233-75052BF29969}"/>
            </a:ext>
          </a:extLst>
        </xdr:cNvPr>
        <xdr:cNvSpPr txBox="1">
          <a:spLocks noChangeArrowheads="1"/>
        </xdr:cNvSpPr>
      </xdr:nvSpPr>
      <xdr:spPr bwMode="auto">
        <a:xfrm>
          <a:off x="4013200" y="1174750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390637</xdr:rowOff>
    </xdr:from>
    <xdr:to>
      <xdr:col>5</xdr:col>
      <xdr:colOff>124385</xdr:colOff>
      <xdr:row>56</xdr:row>
      <xdr:rowOff>317454</xdr:rowOff>
    </xdr:to>
    <xdr:sp macro="" textlink="">
      <xdr:nvSpPr>
        <xdr:cNvPr id="300122" name="Text Box 90" hidden="1">
          <a:extLst>
            <a:ext uri="{FF2B5EF4-FFF2-40B4-BE49-F238E27FC236}">
              <a16:creationId xmlns:a16="http://schemas.microsoft.com/office/drawing/2014/main" id="{0B346EC8-B51C-4398-A01F-7C6E455460A9}"/>
            </a:ext>
          </a:extLst>
        </xdr:cNvPr>
        <xdr:cNvSpPr txBox="1">
          <a:spLocks noChangeArrowheads="1"/>
        </xdr:cNvSpPr>
      </xdr:nvSpPr>
      <xdr:spPr bwMode="auto">
        <a:xfrm>
          <a:off x="4013200" y="1193165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37629</xdr:rowOff>
    </xdr:from>
    <xdr:to>
      <xdr:col>5</xdr:col>
      <xdr:colOff>124385</xdr:colOff>
      <xdr:row>73</xdr:row>
      <xdr:rowOff>44881</xdr:rowOff>
    </xdr:to>
    <xdr:sp macro="" textlink="">
      <xdr:nvSpPr>
        <xdr:cNvPr id="300120" name="Text Box 88" hidden="1">
          <a:extLst>
            <a:ext uri="{FF2B5EF4-FFF2-40B4-BE49-F238E27FC236}">
              <a16:creationId xmlns:a16="http://schemas.microsoft.com/office/drawing/2014/main" id="{945468BA-A230-4E8C-961D-FF4A2B658026}"/>
            </a:ext>
          </a:extLst>
        </xdr:cNvPr>
        <xdr:cNvSpPr txBox="1">
          <a:spLocks noChangeArrowheads="1"/>
        </xdr:cNvSpPr>
      </xdr:nvSpPr>
      <xdr:spPr bwMode="auto">
        <a:xfrm>
          <a:off x="4013200" y="156019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202373</xdr:rowOff>
    </xdr:from>
    <xdr:to>
      <xdr:col>5</xdr:col>
      <xdr:colOff>124385</xdr:colOff>
      <xdr:row>74</xdr:row>
      <xdr:rowOff>38019</xdr:rowOff>
    </xdr:to>
    <xdr:sp macro="" textlink="">
      <xdr:nvSpPr>
        <xdr:cNvPr id="300118" name="Text Box 86" hidden="1">
          <a:extLst>
            <a:ext uri="{FF2B5EF4-FFF2-40B4-BE49-F238E27FC236}">
              <a16:creationId xmlns:a16="http://schemas.microsoft.com/office/drawing/2014/main" id="{5C597347-32B1-4AC8-848F-3A45124595FD}"/>
            </a:ext>
          </a:extLst>
        </xdr:cNvPr>
        <xdr:cNvSpPr txBox="1">
          <a:spLocks noChangeArrowheads="1"/>
        </xdr:cNvSpPr>
      </xdr:nvSpPr>
      <xdr:spPr bwMode="auto">
        <a:xfrm>
          <a:off x="4013200" y="157861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370005</xdr:rowOff>
    </xdr:from>
    <xdr:to>
      <xdr:col>5</xdr:col>
      <xdr:colOff>124385</xdr:colOff>
      <xdr:row>75</xdr:row>
      <xdr:rowOff>29653</xdr:rowOff>
    </xdr:to>
    <xdr:sp macro="" textlink="">
      <xdr:nvSpPr>
        <xdr:cNvPr id="300116" name="Text Box 84" hidden="1">
          <a:extLst>
            <a:ext uri="{FF2B5EF4-FFF2-40B4-BE49-F238E27FC236}">
              <a16:creationId xmlns:a16="http://schemas.microsoft.com/office/drawing/2014/main" id="{FDE75D3B-80B5-4902-93B2-199A545F8258}"/>
            </a:ext>
          </a:extLst>
        </xdr:cNvPr>
        <xdr:cNvSpPr txBox="1">
          <a:spLocks noChangeArrowheads="1"/>
        </xdr:cNvSpPr>
      </xdr:nvSpPr>
      <xdr:spPr bwMode="auto">
        <a:xfrm>
          <a:off x="4013200" y="159702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171463</xdr:rowOff>
    </xdr:from>
    <xdr:to>
      <xdr:col>5</xdr:col>
      <xdr:colOff>124385</xdr:colOff>
      <xdr:row>76</xdr:row>
      <xdr:rowOff>29829</xdr:rowOff>
    </xdr:to>
    <xdr:sp macro="" textlink="">
      <xdr:nvSpPr>
        <xdr:cNvPr id="300114" name="Text Box 82" hidden="1">
          <a:extLst>
            <a:ext uri="{FF2B5EF4-FFF2-40B4-BE49-F238E27FC236}">
              <a16:creationId xmlns:a16="http://schemas.microsoft.com/office/drawing/2014/main" id="{03440DA4-955E-48A0-B3A2-3A69ACF75FE8}"/>
            </a:ext>
          </a:extLst>
        </xdr:cNvPr>
        <xdr:cNvSpPr txBox="1">
          <a:spLocks noChangeArrowheads="1"/>
        </xdr:cNvSpPr>
      </xdr:nvSpPr>
      <xdr:spPr bwMode="auto">
        <a:xfrm>
          <a:off x="4013200" y="161544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92</xdr:row>
      <xdr:rowOff>59635</xdr:rowOff>
    </xdr:from>
    <xdr:to>
      <xdr:col>5</xdr:col>
      <xdr:colOff>124385</xdr:colOff>
      <xdr:row>96</xdr:row>
      <xdr:rowOff>31261</xdr:rowOff>
    </xdr:to>
    <xdr:sp macro="" textlink="">
      <xdr:nvSpPr>
        <xdr:cNvPr id="300112" name="Text Box 80" hidden="1">
          <a:extLst>
            <a:ext uri="{FF2B5EF4-FFF2-40B4-BE49-F238E27FC236}">
              <a16:creationId xmlns:a16="http://schemas.microsoft.com/office/drawing/2014/main" id="{5EF2C906-EFF7-4289-9335-C6BFE7FF7815}"/>
            </a:ext>
          </a:extLst>
        </xdr:cNvPr>
        <xdr:cNvSpPr txBox="1">
          <a:spLocks noChangeArrowheads="1"/>
        </xdr:cNvSpPr>
      </xdr:nvSpPr>
      <xdr:spPr bwMode="auto">
        <a:xfrm>
          <a:off x="4013200" y="202565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93</xdr:row>
      <xdr:rowOff>50621</xdr:rowOff>
    </xdr:from>
    <xdr:to>
      <xdr:col>5</xdr:col>
      <xdr:colOff>124385</xdr:colOff>
      <xdr:row>96</xdr:row>
      <xdr:rowOff>171055</xdr:rowOff>
    </xdr:to>
    <xdr:sp macro="" textlink="">
      <xdr:nvSpPr>
        <xdr:cNvPr id="300110" name="Text Box 78" hidden="1">
          <a:extLst>
            <a:ext uri="{FF2B5EF4-FFF2-40B4-BE49-F238E27FC236}">
              <a16:creationId xmlns:a16="http://schemas.microsoft.com/office/drawing/2014/main" id="{C3818618-EC4F-4BEA-886B-9EED6FA6E6C3}"/>
            </a:ext>
          </a:extLst>
        </xdr:cNvPr>
        <xdr:cNvSpPr txBox="1">
          <a:spLocks noChangeArrowheads="1"/>
        </xdr:cNvSpPr>
      </xdr:nvSpPr>
      <xdr:spPr bwMode="auto">
        <a:xfrm>
          <a:off x="4013200" y="20440650"/>
          <a:ext cx="13144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94</xdr:row>
      <xdr:rowOff>76816</xdr:rowOff>
    </xdr:from>
    <xdr:to>
      <xdr:col>5</xdr:col>
      <xdr:colOff>124385</xdr:colOff>
      <xdr:row>97</xdr:row>
      <xdr:rowOff>112655</xdr:rowOff>
    </xdr:to>
    <xdr:sp macro="" textlink="">
      <xdr:nvSpPr>
        <xdr:cNvPr id="300108" name="Text Box 76" hidden="1">
          <a:extLst>
            <a:ext uri="{FF2B5EF4-FFF2-40B4-BE49-F238E27FC236}">
              <a16:creationId xmlns:a16="http://schemas.microsoft.com/office/drawing/2014/main" id="{5B8FFE5B-CC86-4099-B7D8-9A9701999521}"/>
            </a:ext>
          </a:extLst>
        </xdr:cNvPr>
        <xdr:cNvSpPr txBox="1">
          <a:spLocks noChangeArrowheads="1"/>
        </xdr:cNvSpPr>
      </xdr:nvSpPr>
      <xdr:spPr bwMode="auto">
        <a:xfrm>
          <a:off x="4013200" y="2062480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94</xdr:row>
      <xdr:rowOff>65534</xdr:rowOff>
    </xdr:from>
    <xdr:to>
      <xdr:col>5</xdr:col>
      <xdr:colOff>124385</xdr:colOff>
      <xdr:row>97</xdr:row>
      <xdr:rowOff>161127</xdr:rowOff>
    </xdr:to>
    <xdr:sp macro="" textlink="">
      <xdr:nvSpPr>
        <xdr:cNvPr id="300106" name="Text Box 74" hidden="1">
          <a:extLst>
            <a:ext uri="{FF2B5EF4-FFF2-40B4-BE49-F238E27FC236}">
              <a16:creationId xmlns:a16="http://schemas.microsoft.com/office/drawing/2014/main" id="{4D9CB830-1705-4F66-829B-5206664B81B3}"/>
            </a:ext>
          </a:extLst>
        </xdr:cNvPr>
        <xdr:cNvSpPr txBox="1">
          <a:spLocks noChangeArrowheads="1"/>
        </xdr:cNvSpPr>
      </xdr:nvSpPr>
      <xdr:spPr bwMode="auto">
        <a:xfrm>
          <a:off x="4013200" y="206057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300163" name="Text Box 131" hidden="1">
          <a:extLst>
            <a:ext uri="{FF2B5EF4-FFF2-40B4-BE49-F238E27FC236}">
              <a16:creationId xmlns:a16="http://schemas.microsoft.com/office/drawing/2014/main" id="{5FC51EFE-B5A7-49EF-9DA7-79E00A8B610D}"/>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50407</xdr:rowOff>
    </xdr:from>
    <xdr:to>
      <xdr:col>5</xdr:col>
      <xdr:colOff>105335</xdr:colOff>
      <xdr:row>221</xdr:row>
      <xdr:rowOff>25418</xdr:rowOff>
    </xdr:to>
    <xdr:sp macro="" textlink="">
      <xdr:nvSpPr>
        <xdr:cNvPr id="300162" name="Text Box 130" hidden="1">
          <a:extLst>
            <a:ext uri="{FF2B5EF4-FFF2-40B4-BE49-F238E27FC236}">
              <a16:creationId xmlns:a16="http://schemas.microsoft.com/office/drawing/2014/main" id="{11303ADD-0A57-46B9-92BE-56E7D36E75AC}"/>
            </a:ext>
          </a:extLst>
        </xdr:cNvPr>
        <xdr:cNvSpPr txBox="1">
          <a:spLocks noChangeArrowheads="1"/>
        </xdr:cNvSpPr>
      </xdr:nvSpPr>
      <xdr:spPr bwMode="auto">
        <a:xfrm>
          <a:off x="3994150" y="401383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155182</xdr:rowOff>
    </xdr:from>
    <xdr:to>
      <xdr:col>5</xdr:col>
      <xdr:colOff>105335</xdr:colOff>
      <xdr:row>220</xdr:row>
      <xdr:rowOff>122639</xdr:rowOff>
    </xdr:to>
    <xdr:sp macro="" textlink="">
      <xdr:nvSpPr>
        <xdr:cNvPr id="300161" name="Text Box 129" hidden="1">
          <a:extLst>
            <a:ext uri="{FF2B5EF4-FFF2-40B4-BE49-F238E27FC236}">
              <a16:creationId xmlns:a16="http://schemas.microsoft.com/office/drawing/2014/main" id="{8BAB0457-EDF8-4EF8-BB10-FAA02F246C3A}"/>
            </a:ext>
          </a:extLst>
        </xdr:cNvPr>
        <xdr:cNvSpPr txBox="1">
          <a:spLocks noChangeArrowheads="1"/>
        </xdr:cNvSpPr>
      </xdr:nvSpPr>
      <xdr:spPr bwMode="auto">
        <a:xfrm>
          <a:off x="3994150" y="404685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155182</xdr:rowOff>
    </xdr:from>
    <xdr:to>
      <xdr:col>5</xdr:col>
      <xdr:colOff>105335</xdr:colOff>
      <xdr:row>222</xdr:row>
      <xdr:rowOff>25417</xdr:rowOff>
    </xdr:to>
    <xdr:sp macro="" textlink="">
      <xdr:nvSpPr>
        <xdr:cNvPr id="300160" name="Text Box 128" hidden="1">
          <a:extLst>
            <a:ext uri="{FF2B5EF4-FFF2-40B4-BE49-F238E27FC236}">
              <a16:creationId xmlns:a16="http://schemas.microsoft.com/office/drawing/2014/main" id="{52FE8961-3689-4384-8C90-82320F42F33C}"/>
            </a:ext>
          </a:extLst>
        </xdr:cNvPr>
        <xdr:cNvSpPr txBox="1">
          <a:spLocks noChangeArrowheads="1"/>
        </xdr:cNvSpPr>
      </xdr:nvSpPr>
      <xdr:spPr bwMode="auto">
        <a:xfrm>
          <a:off x="3994150" y="410210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155182</xdr:rowOff>
    </xdr:from>
    <xdr:to>
      <xdr:col>5</xdr:col>
      <xdr:colOff>105335</xdr:colOff>
      <xdr:row>209</xdr:row>
      <xdr:rowOff>122638</xdr:rowOff>
    </xdr:to>
    <xdr:sp macro="" textlink="">
      <xdr:nvSpPr>
        <xdr:cNvPr id="300159" name="Text Box 127" hidden="1">
          <a:extLst>
            <a:ext uri="{FF2B5EF4-FFF2-40B4-BE49-F238E27FC236}">
              <a16:creationId xmlns:a16="http://schemas.microsoft.com/office/drawing/2014/main" id="{757330FA-8BA6-4D5B-BB34-B83E3E9286C7}"/>
            </a:ext>
          </a:extLst>
        </xdr:cNvPr>
        <xdr:cNvSpPr txBox="1">
          <a:spLocks noChangeArrowheads="1"/>
        </xdr:cNvSpPr>
      </xdr:nvSpPr>
      <xdr:spPr bwMode="auto">
        <a:xfrm>
          <a:off x="3994150" y="412051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181</xdr:row>
      <xdr:rowOff>122638</xdr:rowOff>
    </xdr:from>
    <xdr:to>
      <xdr:col>5</xdr:col>
      <xdr:colOff>105335</xdr:colOff>
      <xdr:row>187</xdr:row>
      <xdr:rowOff>84539</xdr:rowOff>
    </xdr:to>
    <xdr:sp macro="" textlink="">
      <xdr:nvSpPr>
        <xdr:cNvPr id="300158" name="Text Box 126" hidden="1">
          <a:extLst>
            <a:ext uri="{FF2B5EF4-FFF2-40B4-BE49-F238E27FC236}">
              <a16:creationId xmlns:a16="http://schemas.microsoft.com/office/drawing/2014/main" id="{A2D741AB-96E8-4C07-832D-F229F02B42FD}"/>
            </a:ext>
          </a:extLst>
        </xdr:cNvPr>
        <xdr:cNvSpPr txBox="1">
          <a:spLocks noChangeArrowheads="1"/>
        </xdr:cNvSpPr>
      </xdr:nvSpPr>
      <xdr:spPr bwMode="auto">
        <a:xfrm>
          <a:off x="3994150" y="368998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45645</xdr:rowOff>
    </xdr:from>
    <xdr:to>
      <xdr:col>5</xdr:col>
      <xdr:colOff>105335</xdr:colOff>
      <xdr:row>188</xdr:row>
      <xdr:rowOff>83743</xdr:rowOff>
    </xdr:to>
    <xdr:sp macro="" textlink="">
      <xdr:nvSpPr>
        <xdr:cNvPr id="300157" name="Text Box 125" hidden="1">
          <a:extLst>
            <a:ext uri="{FF2B5EF4-FFF2-40B4-BE49-F238E27FC236}">
              <a16:creationId xmlns:a16="http://schemas.microsoft.com/office/drawing/2014/main" id="{ADFB33F6-3A05-4E00-967D-96FA60E68E62}"/>
            </a:ext>
          </a:extLst>
        </xdr:cNvPr>
        <xdr:cNvSpPr txBox="1">
          <a:spLocks noChangeArrowheads="1"/>
        </xdr:cNvSpPr>
      </xdr:nvSpPr>
      <xdr:spPr bwMode="auto">
        <a:xfrm>
          <a:off x="3994150" y="37338000"/>
          <a:ext cx="1314450" cy="92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149626</xdr:rowOff>
    </xdr:from>
    <xdr:to>
      <xdr:col>5</xdr:col>
      <xdr:colOff>105335</xdr:colOff>
      <xdr:row>189</xdr:row>
      <xdr:rowOff>105176</xdr:rowOff>
    </xdr:to>
    <xdr:sp macro="" textlink="">
      <xdr:nvSpPr>
        <xdr:cNvPr id="300156" name="Text Box 124" hidden="1">
          <a:extLst>
            <a:ext uri="{FF2B5EF4-FFF2-40B4-BE49-F238E27FC236}">
              <a16:creationId xmlns:a16="http://schemas.microsoft.com/office/drawing/2014/main" id="{4972ADF8-134C-477C-A3CF-140B17884474}"/>
            </a:ext>
          </a:extLst>
        </xdr:cNvPr>
        <xdr:cNvSpPr txBox="1">
          <a:spLocks noChangeArrowheads="1"/>
        </xdr:cNvSpPr>
      </xdr:nvSpPr>
      <xdr:spPr bwMode="auto">
        <a:xfrm>
          <a:off x="3994150" y="37706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104382</xdr:rowOff>
    </xdr:from>
    <xdr:to>
      <xdr:col>5</xdr:col>
      <xdr:colOff>105335</xdr:colOff>
      <xdr:row>196</xdr:row>
      <xdr:rowOff>29386</xdr:rowOff>
    </xdr:to>
    <xdr:sp macro="" textlink="">
      <xdr:nvSpPr>
        <xdr:cNvPr id="300155" name="Text Box 123" hidden="1">
          <a:extLst>
            <a:ext uri="{FF2B5EF4-FFF2-40B4-BE49-F238E27FC236}">
              <a16:creationId xmlns:a16="http://schemas.microsoft.com/office/drawing/2014/main" id="{72AFF5F6-8541-459F-BB00-6F0F1B60882F}"/>
            </a:ext>
          </a:extLst>
        </xdr:cNvPr>
        <xdr:cNvSpPr txBox="1">
          <a:spLocks noChangeArrowheads="1"/>
        </xdr:cNvSpPr>
      </xdr:nvSpPr>
      <xdr:spPr bwMode="auto">
        <a:xfrm>
          <a:off x="3994150" y="38074600"/>
          <a:ext cx="131445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105335</xdr:colOff>
      <xdr:row>13</xdr:row>
      <xdr:rowOff>168275</xdr:rowOff>
    </xdr:to>
    <xdr:sp macro="" textlink="">
      <xdr:nvSpPr>
        <xdr:cNvPr id="300154" name="Text Box 122" hidden="1">
          <a:extLst>
            <a:ext uri="{FF2B5EF4-FFF2-40B4-BE49-F238E27FC236}">
              <a16:creationId xmlns:a16="http://schemas.microsoft.com/office/drawing/2014/main" id="{D343C7E4-BB51-4F2C-84F8-C29285C309D3}"/>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1828</xdr:rowOff>
    </xdr:from>
    <xdr:to>
      <xdr:col>5</xdr:col>
      <xdr:colOff>105335</xdr:colOff>
      <xdr:row>52</xdr:row>
      <xdr:rowOff>18809</xdr:rowOff>
    </xdr:to>
    <xdr:sp macro="" textlink="">
      <xdr:nvSpPr>
        <xdr:cNvPr id="300153" name="Text Box 121" hidden="1">
          <a:extLst>
            <a:ext uri="{FF2B5EF4-FFF2-40B4-BE49-F238E27FC236}">
              <a16:creationId xmlns:a16="http://schemas.microsoft.com/office/drawing/2014/main" id="{031F7546-36A8-417B-B27A-4E949A618587}"/>
            </a:ext>
          </a:extLst>
        </xdr:cNvPr>
        <xdr:cNvSpPr txBox="1">
          <a:spLocks noChangeArrowheads="1"/>
        </xdr:cNvSpPr>
      </xdr:nvSpPr>
      <xdr:spPr bwMode="auto">
        <a:xfrm>
          <a:off x="3994150" y="10617200"/>
          <a:ext cx="1314450" cy="19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2933</xdr:rowOff>
    </xdr:from>
    <xdr:to>
      <xdr:col>5</xdr:col>
      <xdr:colOff>105335</xdr:colOff>
      <xdr:row>53</xdr:row>
      <xdr:rowOff>264406</xdr:rowOff>
    </xdr:to>
    <xdr:sp macro="" textlink="">
      <xdr:nvSpPr>
        <xdr:cNvPr id="300152" name="Text Box 120" hidden="1">
          <a:extLst>
            <a:ext uri="{FF2B5EF4-FFF2-40B4-BE49-F238E27FC236}">
              <a16:creationId xmlns:a16="http://schemas.microsoft.com/office/drawing/2014/main" id="{8638A1AB-F3F5-447F-A0A3-B04791768E64}"/>
            </a:ext>
          </a:extLst>
        </xdr:cNvPr>
        <xdr:cNvSpPr txBox="1">
          <a:spLocks noChangeArrowheads="1"/>
        </xdr:cNvSpPr>
      </xdr:nvSpPr>
      <xdr:spPr bwMode="auto">
        <a:xfrm>
          <a:off x="3994150" y="10966450"/>
          <a:ext cx="131445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30603</xdr:rowOff>
    </xdr:from>
    <xdr:to>
      <xdr:col>5</xdr:col>
      <xdr:colOff>105335</xdr:colOff>
      <xdr:row>56</xdr:row>
      <xdr:rowOff>102295</xdr:rowOff>
    </xdr:to>
    <xdr:sp macro="" textlink="">
      <xdr:nvSpPr>
        <xdr:cNvPr id="300151" name="Text Box 119" hidden="1">
          <a:extLst>
            <a:ext uri="{FF2B5EF4-FFF2-40B4-BE49-F238E27FC236}">
              <a16:creationId xmlns:a16="http://schemas.microsoft.com/office/drawing/2014/main" id="{5C8A115F-6FA1-451F-BD5C-7B171D9EBA6F}"/>
            </a:ext>
          </a:extLst>
        </xdr:cNvPr>
        <xdr:cNvSpPr txBox="1">
          <a:spLocks noChangeArrowheads="1"/>
        </xdr:cNvSpPr>
      </xdr:nvSpPr>
      <xdr:spPr bwMode="auto">
        <a:xfrm>
          <a:off x="3994150" y="1152525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199603</xdr:rowOff>
    </xdr:from>
    <xdr:to>
      <xdr:col>5</xdr:col>
      <xdr:colOff>105335</xdr:colOff>
      <xdr:row>58</xdr:row>
      <xdr:rowOff>29711</xdr:rowOff>
    </xdr:to>
    <xdr:sp macro="" textlink="">
      <xdr:nvSpPr>
        <xdr:cNvPr id="300150" name="Text Box 118" hidden="1">
          <a:extLst>
            <a:ext uri="{FF2B5EF4-FFF2-40B4-BE49-F238E27FC236}">
              <a16:creationId xmlns:a16="http://schemas.microsoft.com/office/drawing/2014/main" id="{01492D36-B812-49BE-AF1F-F53ECA0D5B01}"/>
            </a:ext>
          </a:extLst>
        </xdr:cNvPr>
        <xdr:cNvSpPr txBox="1">
          <a:spLocks noChangeArrowheads="1"/>
        </xdr:cNvSpPr>
      </xdr:nvSpPr>
      <xdr:spPr bwMode="auto">
        <a:xfrm>
          <a:off x="3994150" y="117094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390637</xdr:rowOff>
    </xdr:from>
    <xdr:to>
      <xdr:col>5</xdr:col>
      <xdr:colOff>105335</xdr:colOff>
      <xdr:row>60</xdr:row>
      <xdr:rowOff>21654</xdr:rowOff>
    </xdr:to>
    <xdr:sp macro="" textlink="">
      <xdr:nvSpPr>
        <xdr:cNvPr id="300149" name="Text Box 117" hidden="1">
          <a:extLst>
            <a:ext uri="{FF2B5EF4-FFF2-40B4-BE49-F238E27FC236}">
              <a16:creationId xmlns:a16="http://schemas.microsoft.com/office/drawing/2014/main" id="{D1787A2E-D454-4951-9015-099D2FE99609}"/>
            </a:ext>
          </a:extLst>
        </xdr:cNvPr>
        <xdr:cNvSpPr txBox="1">
          <a:spLocks noChangeArrowheads="1"/>
        </xdr:cNvSpPr>
      </xdr:nvSpPr>
      <xdr:spPr bwMode="auto">
        <a:xfrm>
          <a:off x="3994150" y="11931650"/>
          <a:ext cx="13144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54407</xdr:rowOff>
    </xdr:from>
    <xdr:to>
      <xdr:col>5</xdr:col>
      <xdr:colOff>105335</xdr:colOff>
      <xdr:row>73</xdr:row>
      <xdr:rowOff>44881</xdr:rowOff>
    </xdr:to>
    <xdr:sp macro="" textlink="">
      <xdr:nvSpPr>
        <xdr:cNvPr id="300148" name="Text Box 116" hidden="1">
          <a:extLst>
            <a:ext uri="{FF2B5EF4-FFF2-40B4-BE49-F238E27FC236}">
              <a16:creationId xmlns:a16="http://schemas.microsoft.com/office/drawing/2014/main" id="{2549166D-1EE4-48A9-AB4F-DFDEAF6B9D1E}"/>
            </a:ext>
          </a:extLst>
        </xdr:cNvPr>
        <xdr:cNvSpPr txBox="1">
          <a:spLocks noChangeArrowheads="1"/>
        </xdr:cNvSpPr>
      </xdr:nvSpPr>
      <xdr:spPr bwMode="auto">
        <a:xfrm>
          <a:off x="3994150" y="155829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184117</xdr:rowOff>
    </xdr:from>
    <xdr:to>
      <xdr:col>5</xdr:col>
      <xdr:colOff>105335</xdr:colOff>
      <xdr:row>74</xdr:row>
      <xdr:rowOff>38019</xdr:rowOff>
    </xdr:to>
    <xdr:sp macro="" textlink="">
      <xdr:nvSpPr>
        <xdr:cNvPr id="300147" name="Text Box 115" hidden="1">
          <a:extLst>
            <a:ext uri="{FF2B5EF4-FFF2-40B4-BE49-F238E27FC236}">
              <a16:creationId xmlns:a16="http://schemas.microsoft.com/office/drawing/2014/main" id="{CB452094-E929-47CE-BE87-EF9E7FC09CC8}"/>
            </a:ext>
          </a:extLst>
        </xdr:cNvPr>
        <xdr:cNvSpPr txBox="1">
          <a:spLocks noChangeArrowheads="1"/>
        </xdr:cNvSpPr>
      </xdr:nvSpPr>
      <xdr:spPr bwMode="auto">
        <a:xfrm>
          <a:off x="3994150" y="157670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351749</xdr:rowOff>
    </xdr:from>
    <xdr:to>
      <xdr:col>5</xdr:col>
      <xdr:colOff>105335</xdr:colOff>
      <xdr:row>75</xdr:row>
      <xdr:rowOff>29653</xdr:rowOff>
    </xdr:to>
    <xdr:sp macro="" textlink="">
      <xdr:nvSpPr>
        <xdr:cNvPr id="300146" name="Text Box 114" hidden="1">
          <a:extLst>
            <a:ext uri="{FF2B5EF4-FFF2-40B4-BE49-F238E27FC236}">
              <a16:creationId xmlns:a16="http://schemas.microsoft.com/office/drawing/2014/main" id="{C0EC714C-A61A-4753-A6B1-18277BF14981}"/>
            </a:ext>
          </a:extLst>
        </xdr:cNvPr>
        <xdr:cNvSpPr txBox="1">
          <a:spLocks noChangeArrowheads="1"/>
        </xdr:cNvSpPr>
      </xdr:nvSpPr>
      <xdr:spPr bwMode="auto">
        <a:xfrm>
          <a:off x="3994150" y="15951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154411</xdr:rowOff>
    </xdr:from>
    <xdr:to>
      <xdr:col>5</xdr:col>
      <xdr:colOff>105335</xdr:colOff>
      <xdr:row>76</xdr:row>
      <xdr:rowOff>29829</xdr:rowOff>
    </xdr:to>
    <xdr:sp macro="" textlink="">
      <xdr:nvSpPr>
        <xdr:cNvPr id="300145" name="Text Box 113" hidden="1">
          <a:extLst>
            <a:ext uri="{FF2B5EF4-FFF2-40B4-BE49-F238E27FC236}">
              <a16:creationId xmlns:a16="http://schemas.microsoft.com/office/drawing/2014/main" id="{B3045FF9-E015-4CCE-B099-1A2CEE408061}"/>
            </a:ext>
          </a:extLst>
        </xdr:cNvPr>
        <xdr:cNvSpPr txBox="1">
          <a:spLocks noChangeArrowheads="1"/>
        </xdr:cNvSpPr>
      </xdr:nvSpPr>
      <xdr:spPr bwMode="auto">
        <a:xfrm>
          <a:off x="3994150" y="161353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39792</xdr:rowOff>
    </xdr:from>
    <xdr:to>
      <xdr:col>5</xdr:col>
      <xdr:colOff>105335</xdr:colOff>
      <xdr:row>96</xdr:row>
      <xdr:rowOff>95969</xdr:rowOff>
    </xdr:to>
    <xdr:sp macro="" textlink="">
      <xdr:nvSpPr>
        <xdr:cNvPr id="300144" name="Text Box 112" hidden="1">
          <a:extLst>
            <a:ext uri="{FF2B5EF4-FFF2-40B4-BE49-F238E27FC236}">
              <a16:creationId xmlns:a16="http://schemas.microsoft.com/office/drawing/2014/main" id="{5D03C6E5-05D5-416B-BEDA-C75901EB4969}"/>
            </a:ext>
          </a:extLst>
        </xdr:cNvPr>
        <xdr:cNvSpPr txBox="1">
          <a:spLocks noChangeArrowheads="1"/>
        </xdr:cNvSpPr>
      </xdr:nvSpPr>
      <xdr:spPr bwMode="auto">
        <a:xfrm>
          <a:off x="3994150" y="20237450"/>
          <a:ext cx="1314450" cy="889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49827</xdr:rowOff>
    </xdr:from>
    <xdr:to>
      <xdr:col>5</xdr:col>
      <xdr:colOff>105335</xdr:colOff>
      <xdr:row>96</xdr:row>
      <xdr:rowOff>95969</xdr:rowOff>
    </xdr:to>
    <xdr:sp macro="" textlink="">
      <xdr:nvSpPr>
        <xdr:cNvPr id="300143" name="Text Box 111" hidden="1">
          <a:extLst>
            <a:ext uri="{FF2B5EF4-FFF2-40B4-BE49-F238E27FC236}">
              <a16:creationId xmlns:a16="http://schemas.microsoft.com/office/drawing/2014/main" id="{E954E1BE-8ABB-40E1-8BA1-335B604FB26B}"/>
            </a:ext>
          </a:extLst>
        </xdr:cNvPr>
        <xdr:cNvSpPr txBox="1">
          <a:spLocks noChangeArrowheads="1"/>
        </xdr:cNvSpPr>
      </xdr:nvSpPr>
      <xdr:spPr bwMode="auto">
        <a:xfrm>
          <a:off x="3994150" y="20421600"/>
          <a:ext cx="13144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69672</xdr:rowOff>
    </xdr:from>
    <xdr:to>
      <xdr:col>5</xdr:col>
      <xdr:colOff>105335</xdr:colOff>
      <xdr:row>96</xdr:row>
      <xdr:rowOff>227118</xdr:rowOff>
    </xdr:to>
    <xdr:sp macro="" textlink="">
      <xdr:nvSpPr>
        <xdr:cNvPr id="300142" name="Text Box 110" hidden="1">
          <a:extLst>
            <a:ext uri="{FF2B5EF4-FFF2-40B4-BE49-F238E27FC236}">
              <a16:creationId xmlns:a16="http://schemas.microsoft.com/office/drawing/2014/main" id="{37B59FD8-C20C-4D92-B543-5E861AA06164}"/>
            </a:ext>
          </a:extLst>
        </xdr:cNvPr>
        <xdr:cNvSpPr txBox="1">
          <a:spLocks noChangeArrowheads="1"/>
        </xdr:cNvSpPr>
      </xdr:nvSpPr>
      <xdr:spPr bwMode="auto">
        <a:xfrm>
          <a:off x="3994150" y="20605750"/>
          <a:ext cx="131445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48801</xdr:rowOff>
    </xdr:from>
    <xdr:to>
      <xdr:col>5</xdr:col>
      <xdr:colOff>105335</xdr:colOff>
      <xdr:row>97</xdr:row>
      <xdr:rowOff>69600</xdr:rowOff>
    </xdr:to>
    <xdr:sp macro="" textlink="">
      <xdr:nvSpPr>
        <xdr:cNvPr id="300141" name="Text Box 109" hidden="1">
          <a:extLst>
            <a:ext uri="{FF2B5EF4-FFF2-40B4-BE49-F238E27FC236}">
              <a16:creationId xmlns:a16="http://schemas.microsoft.com/office/drawing/2014/main" id="{B6FF44E3-492B-435C-B780-DBD8B1B9DC70}"/>
            </a:ext>
          </a:extLst>
        </xdr:cNvPr>
        <xdr:cNvSpPr txBox="1">
          <a:spLocks noChangeArrowheads="1"/>
        </xdr:cNvSpPr>
      </xdr:nvSpPr>
      <xdr:spPr bwMode="auto">
        <a:xfrm>
          <a:off x="3994150" y="2057400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300186" name="Text Box 154" hidden="1">
          <a:extLst>
            <a:ext uri="{FF2B5EF4-FFF2-40B4-BE49-F238E27FC236}">
              <a16:creationId xmlns:a16="http://schemas.microsoft.com/office/drawing/2014/main" id="{7D335DC8-0572-46C7-8399-FA67069490C1}"/>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44851</xdr:rowOff>
    </xdr:from>
    <xdr:to>
      <xdr:col>5</xdr:col>
      <xdr:colOff>105335</xdr:colOff>
      <xdr:row>222</xdr:row>
      <xdr:rowOff>25417</xdr:rowOff>
    </xdr:to>
    <xdr:sp macro="" textlink="">
      <xdr:nvSpPr>
        <xdr:cNvPr id="300185" name="Text Box 153" hidden="1">
          <a:extLst>
            <a:ext uri="{FF2B5EF4-FFF2-40B4-BE49-F238E27FC236}">
              <a16:creationId xmlns:a16="http://schemas.microsoft.com/office/drawing/2014/main" id="{7817C20E-9289-4D5C-9AB4-0D28C84248F3}"/>
            </a:ext>
          </a:extLst>
        </xdr:cNvPr>
        <xdr:cNvSpPr txBox="1">
          <a:spLocks noChangeArrowheads="1"/>
        </xdr:cNvSpPr>
      </xdr:nvSpPr>
      <xdr:spPr bwMode="auto">
        <a:xfrm>
          <a:off x="3848100" y="41138475"/>
          <a:ext cx="12763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155182</xdr:rowOff>
    </xdr:from>
    <xdr:to>
      <xdr:col>5</xdr:col>
      <xdr:colOff>105335</xdr:colOff>
      <xdr:row>221</xdr:row>
      <xdr:rowOff>122638</xdr:rowOff>
    </xdr:to>
    <xdr:sp macro="" textlink="">
      <xdr:nvSpPr>
        <xdr:cNvPr id="300184" name="Text Box 152" hidden="1">
          <a:extLst>
            <a:ext uri="{FF2B5EF4-FFF2-40B4-BE49-F238E27FC236}">
              <a16:creationId xmlns:a16="http://schemas.microsoft.com/office/drawing/2014/main" id="{64159A84-6DBD-4972-87A8-70A5B75389B7}"/>
            </a:ext>
          </a:extLst>
        </xdr:cNvPr>
        <xdr:cNvSpPr txBox="1">
          <a:spLocks noChangeArrowheads="1"/>
        </xdr:cNvSpPr>
      </xdr:nvSpPr>
      <xdr:spPr bwMode="auto">
        <a:xfrm>
          <a:off x="3848100" y="41481375"/>
          <a:ext cx="1276350" cy="396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155182</xdr:rowOff>
    </xdr:from>
    <xdr:to>
      <xdr:col>5</xdr:col>
      <xdr:colOff>105335</xdr:colOff>
      <xdr:row>223</xdr:row>
      <xdr:rowOff>25418</xdr:rowOff>
    </xdr:to>
    <xdr:sp macro="" textlink="">
      <xdr:nvSpPr>
        <xdr:cNvPr id="300183" name="Text Box 151" hidden="1">
          <a:extLst>
            <a:ext uri="{FF2B5EF4-FFF2-40B4-BE49-F238E27FC236}">
              <a16:creationId xmlns:a16="http://schemas.microsoft.com/office/drawing/2014/main" id="{7A26B745-AA0B-4A61-9A0D-64E9AF7393C9}"/>
            </a:ext>
          </a:extLst>
        </xdr:cNvPr>
        <xdr:cNvSpPr txBox="1">
          <a:spLocks noChangeArrowheads="1"/>
        </xdr:cNvSpPr>
      </xdr:nvSpPr>
      <xdr:spPr bwMode="auto">
        <a:xfrm>
          <a:off x="3848100" y="42052875"/>
          <a:ext cx="127635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155183</xdr:rowOff>
    </xdr:from>
    <xdr:to>
      <xdr:col>5</xdr:col>
      <xdr:colOff>105335</xdr:colOff>
      <xdr:row>210</xdr:row>
      <xdr:rowOff>122638</xdr:rowOff>
    </xdr:to>
    <xdr:sp macro="" textlink="">
      <xdr:nvSpPr>
        <xdr:cNvPr id="300182" name="Text Box 150" hidden="1">
          <a:extLst>
            <a:ext uri="{FF2B5EF4-FFF2-40B4-BE49-F238E27FC236}">
              <a16:creationId xmlns:a16="http://schemas.microsoft.com/office/drawing/2014/main" id="{3DD44C58-C1CF-4611-A02F-70376414B574}"/>
            </a:ext>
          </a:extLst>
        </xdr:cNvPr>
        <xdr:cNvSpPr txBox="1">
          <a:spLocks noChangeArrowheads="1"/>
        </xdr:cNvSpPr>
      </xdr:nvSpPr>
      <xdr:spPr bwMode="auto">
        <a:xfrm>
          <a:off x="3848100" y="42243375"/>
          <a:ext cx="12763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182</xdr:row>
      <xdr:rowOff>123432</xdr:rowOff>
    </xdr:from>
    <xdr:to>
      <xdr:col>5</xdr:col>
      <xdr:colOff>105335</xdr:colOff>
      <xdr:row>188</xdr:row>
      <xdr:rowOff>44849</xdr:rowOff>
    </xdr:to>
    <xdr:sp macro="" textlink="">
      <xdr:nvSpPr>
        <xdr:cNvPr id="300181" name="Text Box 149" hidden="1">
          <a:extLst>
            <a:ext uri="{FF2B5EF4-FFF2-40B4-BE49-F238E27FC236}">
              <a16:creationId xmlns:a16="http://schemas.microsoft.com/office/drawing/2014/main" id="{787EFC1A-0432-406B-8676-E8B2B79773FB}"/>
            </a:ext>
          </a:extLst>
        </xdr:cNvPr>
        <xdr:cNvSpPr txBox="1">
          <a:spLocks noChangeArrowheads="1"/>
        </xdr:cNvSpPr>
      </xdr:nvSpPr>
      <xdr:spPr bwMode="auto">
        <a:xfrm>
          <a:off x="3848100" y="37785675"/>
          <a:ext cx="127635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8451</xdr:rowOff>
    </xdr:from>
    <xdr:to>
      <xdr:col>5</xdr:col>
      <xdr:colOff>105335</xdr:colOff>
      <xdr:row>189</xdr:row>
      <xdr:rowOff>67076</xdr:rowOff>
    </xdr:to>
    <xdr:sp macro="" textlink="">
      <xdr:nvSpPr>
        <xdr:cNvPr id="300180" name="Text Box 148" hidden="1">
          <a:extLst>
            <a:ext uri="{FF2B5EF4-FFF2-40B4-BE49-F238E27FC236}">
              <a16:creationId xmlns:a16="http://schemas.microsoft.com/office/drawing/2014/main" id="{B159C490-05FE-44C6-AB18-872C83BE1829}"/>
            </a:ext>
          </a:extLst>
        </xdr:cNvPr>
        <xdr:cNvSpPr txBox="1">
          <a:spLocks noChangeArrowheads="1"/>
        </xdr:cNvSpPr>
      </xdr:nvSpPr>
      <xdr:spPr bwMode="auto">
        <a:xfrm>
          <a:off x="3848100" y="38242875"/>
          <a:ext cx="1276350" cy="95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153595</xdr:rowOff>
    </xdr:from>
    <xdr:to>
      <xdr:col>5</xdr:col>
      <xdr:colOff>105335</xdr:colOff>
      <xdr:row>190</xdr:row>
      <xdr:rowOff>64695</xdr:rowOff>
    </xdr:to>
    <xdr:sp macro="" textlink="">
      <xdr:nvSpPr>
        <xdr:cNvPr id="300179" name="Text Box 147" hidden="1">
          <a:extLst>
            <a:ext uri="{FF2B5EF4-FFF2-40B4-BE49-F238E27FC236}">
              <a16:creationId xmlns:a16="http://schemas.microsoft.com/office/drawing/2014/main" id="{91ECDA2E-3AAB-4E3C-9E22-269D26FBCE75}"/>
            </a:ext>
          </a:extLst>
        </xdr:cNvPr>
        <xdr:cNvSpPr txBox="1">
          <a:spLocks noChangeArrowheads="1"/>
        </xdr:cNvSpPr>
      </xdr:nvSpPr>
      <xdr:spPr bwMode="auto">
        <a:xfrm>
          <a:off x="3848100" y="386238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83743</xdr:rowOff>
    </xdr:from>
    <xdr:to>
      <xdr:col>5</xdr:col>
      <xdr:colOff>105335</xdr:colOff>
      <xdr:row>197</xdr:row>
      <xdr:rowOff>29386</xdr:rowOff>
    </xdr:to>
    <xdr:sp macro="" textlink="">
      <xdr:nvSpPr>
        <xdr:cNvPr id="300178" name="Text Box 146" hidden="1">
          <a:extLst>
            <a:ext uri="{FF2B5EF4-FFF2-40B4-BE49-F238E27FC236}">
              <a16:creationId xmlns:a16="http://schemas.microsoft.com/office/drawing/2014/main" id="{8FEAFFF0-EAFC-4F83-A14C-D30830CBD65F}"/>
            </a:ext>
          </a:extLst>
        </xdr:cNvPr>
        <xdr:cNvSpPr txBox="1">
          <a:spLocks noChangeArrowheads="1"/>
        </xdr:cNvSpPr>
      </xdr:nvSpPr>
      <xdr:spPr bwMode="auto">
        <a:xfrm>
          <a:off x="3848100" y="39004875"/>
          <a:ext cx="1276350" cy="171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105335</xdr:colOff>
      <xdr:row>13</xdr:row>
      <xdr:rowOff>168275</xdr:rowOff>
    </xdr:to>
    <xdr:sp macro="" textlink="">
      <xdr:nvSpPr>
        <xdr:cNvPr id="300177" name="Text Box 145" hidden="1">
          <a:extLst>
            <a:ext uri="{FF2B5EF4-FFF2-40B4-BE49-F238E27FC236}">
              <a16:creationId xmlns:a16="http://schemas.microsoft.com/office/drawing/2014/main" id="{49E1267C-F12A-4407-97DA-03037EEC5E1E}"/>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47392</xdr:rowOff>
    </xdr:from>
    <xdr:to>
      <xdr:col>5</xdr:col>
      <xdr:colOff>105335</xdr:colOff>
      <xdr:row>53</xdr:row>
      <xdr:rowOff>370855</xdr:rowOff>
    </xdr:to>
    <xdr:sp macro="" textlink="">
      <xdr:nvSpPr>
        <xdr:cNvPr id="300176" name="Text Box 144" hidden="1">
          <a:extLst>
            <a:ext uri="{FF2B5EF4-FFF2-40B4-BE49-F238E27FC236}">
              <a16:creationId xmlns:a16="http://schemas.microsoft.com/office/drawing/2014/main" id="{F2B56962-4DAE-45BB-B439-206271EF856C}"/>
            </a:ext>
          </a:extLst>
        </xdr:cNvPr>
        <xdr:cNvSpPr txBox="1">
          <a:spLocks noChangeArrowheads="1"/>
        </xdr:cNvSpPr>
      </xdr:nvSpPr>
      <xdr:spPr bwMode="auto">
        <a:xfrm>
          <a:off x="3848100" y="11039475"/>
          <a:ext cx="1276350" cy="34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370855</xdr:rowOff>
    </xdr:from>
    <xdr:to>
      <xdr:col>5</xdr:col>
      <xdr:colOff>105335</xdr:colOff>
      <xdr:row>53</xdr:row>
      <xdr:rowOff>469467</xdr:rowOff>
    </xdr:to>
    <xdr:sp macro="" textlink="">
      <xdr:nvSpPr>
        <xdr:cNvPr id="300175" name="Text Box 143" hidden="1">
          <a:extLst>
            <a:ext uri="{FF2B5EF4-FFF2-40B4-BE49-F238E27FC236}">
              <a16:creationId xmlns:a16="http://schemas.microsoft.com/office/drawing/2014/main" id="{8DFC739B-B5A4-45F8-86B8-EF9F5B8F86B9}"/>
            </a:ext>
          </a:extLst>
        </xdr:cNvPr>
        <xdr:cNvSpPr txBox="1">
          <a:spLocks noChangeArrowheads="1"/>
        </xdr:cNvSpPr>
      </xdr:nvSpPr>
      <xdr:spPr bwMode="auto">
        <a:xfrm>
          <a:off x="3848100" y="11382375"/>
          <a:ext cx="1276350" cy="104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199603</xdr:rowOff>
    </xdr:from>
    <xdr:to>
      <xdr:col>5</xdr:col>
      <xdr:colOff>105335</xdr:colOff>
      <xdr:row>56</xdr:row>
      <xdr:rowOff>298259</xdr:rowOff>
    </xdr:to>
    <xdr:sp macro="" textlink="">
      <xdr:nvSpPr>
        <xdr:cNvPr id="300174" name="Text Box 142" hidden="1">
          <a:extLst>
            <a:ext uri="{FF2B5EF4-FFF2-40B4-BE49-F238E27FC236}">
              <a16:creationId xmlns:a16="http://schemas.microsoft.com/office/drawing/2014/main" id="{B0AD930A-69A8-4E39-B0EF-7935D16E9D1A}"/>
            </a:ext>
          </a:extLst>
        </xdr:cNvPr>
        <xdr:cNvSpPr txBox="1">
          <a:spLocks noChangeArrowheads="1"/>
        </xdr:cNvSpPr>
      </xdr:nvSpPr>
      <xdr:spPr bwMode="auto">
        <a:xfrm>
          <a:off x="3848100" y="117538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360590</xdr:rowOff>
    </xdr:from>
    <xdr:to>
      <xdr:col>5</xdr:col>
      <xdr:colOff>105335</xdr:colOff>
      <xdr:row>58</xdr:row>
      <xdr:rowOff>145101</xdr:rowOff>
    </xdr:to>
    <xdr:sp macro="" textlink="">
      <xdr:nvSpPr>
        <xdr:cNvPr id="300173" name="Text Box 141" hidden="1">
          <a:extLst>
            <a:ext uri="{FF2B5EF4-FFF2-40B4-BE49-F238E27FC236}">
              <a16:creationId xmlns:a16="http://schemas.microsoft.com/office/drawing/2014/main" id="{24FAB9A6-BA8D-40DF-B3E3-84AF9F0AE6F0}"/>
            </a:ext>
          </a:extLst>
        </xdr:cNvPr>
        <xdr:cNvSpPr txBox="1">
          <a:spLocks noChangeArrowheads="1"/>
        </xdr:cNvSpPr>
      </xdr:nvSpPr>
      <xdr:spPr bwMode="auto">
        <a:xfrm>
          <a:off x="3848100" y="11944350"/>
          <a:ext cx="1276350" cy="1381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179893</xdr:rowOff>
    </xdr:from>
    <xdr:to>
      <xdr:col>5</xdr:col>
      <xdr:colOff>105335</xdr:colOff>
      <xdr:row>60</xdr:row>
      <xdr:rowOff>182190</xdr:rowOff>
    </xdr:to>
    <xdr:sp macro="" textlink="">
      <xdr:nvSpPr>
        <xdr:cNvPr id="300172" name="Text Box 140" hidden="1">
          <a:extLst>
            <a:ext uri="{FF2B5EF4-FFF2-40B4-BE49-F238E27FC236}">
              <a16:creationId xmlns:a16="http://schemas.microsoft.com/office/drawing/2014/main" id="{E2D28B84-888E-4655-8B0F-C7CC26EC4E9C}"/>
            </a:ext>
          </a:extLst>
        </xdr:cNvPr>
        <xdr:cNvSpPr txBox="1">
          <a:spLocks noChangeArrowheads="1"/>
        </xdr:cNvSpPr>
      </xdr:nvSpPr>
      <xdr:spPr bwMode="auto">
        <a:xfrm>
          <a:off x="3848100" y="12192000"/>
          <a:ext cx="1276350" cy="153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184117</xdr:rowOff>
    </xdr:from>
    <xdr:to>
      <xdr:col>5</xdr:col>
      <xdr:colOff>105335</xdr:colOff>
      <xdr:row>74</xdr:row>
      <xdr:rowOff>38019</xdr:rowOff>
    </xdr:to>
    <xdr:sp macro="" textlink="">
      <xdr:nvSpPr>
        <xdr:cNvPr id="300171" name="Text Box 139" hidden="1">
          <a:extLst>
            <a:ext uri="{FF2B5EF4-FFF2-40B4-BE49-F238E27FC236}">
              <a16:creationId xmlns:a16="http://schemas.microsoft.com/office/drawing/2014/main" id="{265EF26C-9A18-4919-BFBD-9DB62C1DA74C}"/>
            </a:ext>
          </a:extLst>
        </xdr:cNvPr>
        <xdr:cNvSpPr txBox="1">
          <a:spLocks noChangeArrowheads="1"/>
        </xdr:cNvSpPr>
      </xdr:nvSpPr>
      <xdr:spPr bwMode="auto">
        <a:xfrm>
          <a:off x="3848100" y="158972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351749</xdr:rowOff>
    </xdr:from>
    <xdr:to>
      <xdr:col>5</xdr:col>
      <xdr:colOff>105335</xdr:colOff>
      <xdr:row>75</xdr:row>
      <xdr:rowOff>29653</xdr:rowOff>
    </xdr:to>
    <xdr:sp macro="" textlink="">
      <xdr:nvSpPr>
        <xdr:cNvPr id="300170" name="Text Box 138" hidden="1">
          <a:extLst>
            <a:ext uri="{FF2B5EF4-FFF2-40B4-BE49-F238E27FC236}">
              <a16:creationId xmlns:a16="http://schemas.microsoft.com/office/drawing/2014/main" id="{F2951846-6E73-4A22-B379-405CB7411D62}"/>
            </a:ext>
          </a:extLst>
        </xdr:cNvPr>
        <xdr:cNvSpPr txBox="1">
          <a:spLocks noChangeArrowheads="1"/>
        </xdr:cNvSpPr>
      </xdr:nvSpPr>
      <xdr:spPr bwMode="auto">
        <a:xfrm>
          <a:off x="3848100" y="160877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154411</xdr:rowOff>
    </xdr:from>
    <xdr:to>
      <xdr:col>5</xdr:col>
      <xdr:colOff>105335</xdr:colOff>
      <xdr:row>76</xdr:row>
      <xdr:rowOff>29829</xdr:rowOff>
    </xdr:to>
    <xdr:sp macro="" textlink="">
      <xdr:nvSpPr>
        <xdr:cNvPr id="300169" name="Text Box 137" hidden="1">
          <a:extLst>
            <a:ext uri="{FF2B5EF4-FFF2-40B4-BE49-F238E27FC236}">
              <a16:creationId xmlns:a16="http://schemas.microsoft.com/office/drawing/2014/main" id="{A2655596-A238-4D5A-882C-DBF44CED545A}"/>
            </a:ext>
          </a:extLst>
        </xdr:cNvPr>
        <xdr:cNvSpPr txBox="1">
          <a:spLocks noChangeArrowheads="1"/>
        </xdr:cNvSpPr>
      </xdr:nvSpPr>
      <xdr:spPr bwMode="auto">
        <a:xfrm>
          <a:off x="3848100" y="162782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125842</xdr:rowOff>
    </xdr:from>
    <xdr:to>
      <xdr:col>5</xdr:col>
      <xdr:colOff>105335</xdr:colOff>
      <xdr:row>77</xdr:row>
      <xdr:rowOff>50349</xdr:rowOff>
    </xdr:to>
    <xdr:sp macro="" textlink="">
      <xdr:nvSpPr>
        <xdr:cNvPr id="300168" name="Text Box 136" hidden="1">
          <a:extLst>
            <a:ext uri="{FF2B5EF4-FFF2-40B4-BE49-F238E27FC236}">
              <a16:creationId xmlns:a16="http://schemas.microsoft.com/office/drawing/2014/main" id="{62B212E0-400C-4C28-B416-F520FFA76BB7}"/>
            </a:ext>
          </a:extLst>
        </xdr:cNvPr>
        <xdr:cNvSpPr txBox="1">
          <a:spLocks noChangeArrowheads="1"/>
        </xdr:cNvSpPr>
      </xdr:nvSpPr>
      <xdr:spPr bwMode="auto">
        <a:xfrm>
          <a:off x="3848100" y="164687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49827</xdr:rowOff>
    </xdr:from>
    <xdr:to>
      <xdr:col>5</xdr:col>
      <xdr:colOff>105335</xdr:colOff>
      <xdr:row>97</xdr:row>
      <xdr:rowOff>103977</xdr:rowOff>
    </xdr:to>
    <xdr:sp macro="" textlink="">
      <xdr:nvSpPr>
        <xdr:cNvPr id="300167" name="Text Box 135" hidden="1">
          <a:extLst>
            <a:ext uri="{FF2B5EF4-FFF2-40B4-BE49-F238E27FC236}">
              <a16:creationId xmlns:a16="http://schemas.microsoft.com/office/drawing/2014/main" id="{6D19925F-5AAB-4507-BD73-36EED6014229}"/>
            </a:ext>
          </a:extLst>
        </xdr:cNvPr>
        <xdr:cNvSpPr txBox="1">
          <a:spLocks noChangeArrowheads="1"/>
        </xdr:cNvSpPr>
      </xdr:nvSpPr>
      <xdr:spPr bwMode="auto">
        <a:xfrm>
          <a:off x="3848100" y="20678775"/>
          <a:ext cx="1276350" cy="95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69672</xdr:rowOff>
    </xdr:from>
    <xdr:to>
      <xdr:col>5</xdr:col>
      <xdr:colOff>105335</xdr:colOff>
      <xdr:row>97</xdr:row>
      <xdr:rowOff>103977</xdr:rowOff>
    </xdr:to>
    <xdr:sp macro="" textlink="">
      <xdr:nvSpPr>
        <xdr:cNvPr id="300166" name="Text Box 134" hidden="1">
          <a:extLst>
            <a:ext uri="{FF2B5EF4-FFF2-40B4-BE49-F238E27FC236}">
              <a16:creationId xmlns:a16="http://schemas.microsoft.com/office/drawing/2014/main" id="{A669C438-4134-412C-9C85-FF1ADE3A954C}"/>
            </a:ext>
          </a:extLst>
        </xdr:cNvPr>
        <xdr:cNvSpPr txBox="1">
          <a:spLocks noChangeArrowheads="1"/>
        </xdr:cNvSpPr>
      </xdr:nvSpPr>
      <xdr:spPr bwMode="auto">
        <a:xfrm>
          <a:off x="3848100" y="20869275"/>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9732</xdr:rowOff>
    </xdr:from>
    <xdr:to>
      <xdr:col>5</xdr:col>
      <xdr:colOff>105335</xdr:colOff>
      <xdr:row>97</xdr:row>
      <xdr:rowOff>102390</xdr:rowOff>
    </xdr:to>
    <xdr:sp macro="" textlink="">
      <xdr:nvSpPr>
        <xdr:cNvPr id="300165" name="Text Box 133" hidden="1">
          <a:extLst>
            <a:ext uri="{FF2B5EF4-FFF2-40B4-BE49-F238E27FC236}">
              <a16:creationId xmlns:a16="http://schemas.microsoft.com/office/drawing/2014/main" id="{A3238887-8DE3-466D-AA6C-8325B7333505}"/>
            </a:ext>
          </a:extLst>
        </xdr:cNvPr>
        <xdr:cNvSpPr txBox="1">
          <a:spLocks noChangeArrowheads="1"/>
        </xdr:cNvSpPr>
      </xdr:nvSpPr>
      <xdr:spPr bwMode="auto">
        <a:xfrm>
          <a:off x="3848100" y="21059775"/>
          <a:ext cx="1276350" cy="61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228573</xdr:rowOff>
    </xdr:from>
    <xdr:to>
      <xdr:col>5</xdr:col>
      <xdr:colOff>105335</xdr:colOff>
      <xdr:row>97</xdr:row>
      <xdr:rowOff>229950</xdr:rowOff>
    </xdr:to>
    <xdr:sp macro="" textlink="">
      <xdr:nvSpPr>
        <xdr:cNvPr id="300164" name="Text Box 132" hidden="1">
          <a:extLst>
            <a:ext uri="{FF2B5EF4-FFF2-40B4-BE49-F238E27FC236}">
              <a16:creationId xmlns:a16="http://schemas.microsoft.com/office/drawing/2014/main" id="{034A9325-B1E8-4168-BE79-A6D894C6B7CF}"/>
            </a:ext>
          </a:extLst>
        </xdr:cNvPr>
        <xdr:cNvSpPr txBox="1">
          <a:spLocks noChangeArrowheads="1"/>
        </xdr:cNvSpPr>
      </xdr:nvSpPr>
      <xdr:spPr bwMode="auto">
        <a:xfrm>
          <a:off x="3848100" y="21021675"/>
          <a:ext cx="1276350" cy="733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525190</xdr:colOff>
      <xdr:row>8</xdr:row>
      <xdr:rowOff>76200</xdr:rowOff>
    </xdr:from>
    <xdr:to>
      <xdr:col>21</xdr:col>
      <xdr:colOff>448991</xdr:colOff>
      <xdr:row>12</xdr:row>
      <xdr:rowOff>92075</xdr:rowOff>
    </xdr:to>
    <xdr:sp macro="" textlink="">
      <xdr:nvSpPr>
        <xdr:cNvPr id="300187" name="Text Box 155" hidden="1">
          <a:extLst>
            <a:ext uri="{FF2B5EF4-FFF2-40B4-BE49-F238E27FC236}">
              <a16:creationId xmlns:a16="http://schemas.microsoft.com/office/drawing/2014/main" id="{342BBCE1-6545-4617-9C75-9F51804FF4A1}"/>
            </a:ext>
          </a:extLst>
        </xdr:cNvPr>
        <xdr:cNvSpPr txBox="1">
          <a:spLocks noChangeArrowheads="1"/>
        </xdr:cNvSpPr>
      </xdr:nvSpPr>
      <xdr:spPr bwMode="auto">
        <a:xfrm>
          <a:off x="17192625" y="2476500"/>
          <a:ext cx="14478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13</xdr:row>
      <xdr:rowOff>130175</xdr:rowOff>
    </xdr:from>
    <xdr:to>
      <xdr:col>21</xdr:col>
      <xdr:colOff>277541</xdr:colOff>
      <xdr:row>17</xdr:row>
      <xdr:rowOff>168275</xdr:rowOff>
    </xdr:to>
    <xdr:sp macro="" textlink="">
      <xdr:nvSpPr>
        <xdr:cNvPr id="300188" name="Text Box 156" hidden="1">
          <a:extLst>
            <a:ext uri="{FF2B5EF4-FFF2-40B4-BE49-F238E27FC236}">
              <a16:creationId xmlns:a16="http://schemas.microsoft.com/office/drawing/2014/main" id="{E1A16396-85F9-4121-BDD2-9FD5192C8013}"/>
            </a:ext>
          </a:extLst>
        </xdr:cNvPr>
        <xdr:cNvSpPr txBox="1">
          <a:spLocks noChangeArrowheads="1"/>
        </xdr:cNvSpPr>
      </xdr:nvSpPr>
      <xdr:spPr bwMode="auto">
        <a:xfrm>
          <a:off x="17154525" y="34575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24</xdr:row>
      <xdr:rowOff>57649</xdr:rowOff>
    </xdr:from>
    <xdr:to>
      <xdr:col>21</xdr:col>
      <xdr:colOff>277541</xdr:colOff>
      <xdr:row>28</xdr:row>
      <xdr:rowOff>120820</xdr:rowOff>
    </xdr:to>
    <xdr:sp macro="" textlink="">
      <xdr:nvSpPr>
        <xdr:cNvPr id="300189" name="Text Box 157" hidden="1">
          <a:extLst>
            <a:ext uri="{FF2B5EF4-FFF2-40B4-BE49-F238E27FC236}">
              <a16:creationId xmlns:a16="http://schemas.microsoft.com/office/drawing/2014/main" id="{B72126FC-B130-4C94-959E-3307E1A10C21}"/>
            </a:ext>
          </a:extLst>
        </xdr:cNvPr>
        <xdr:cNvSpPr txBox="1">
          <a:spLocks noChangeArrowheads="1"/>
        </xdr:cNvSpPr>
      </xdr:nvSpPr>
      <xdr:spPr bwMode="auto">
        <a:xfrm>
          <a:off x="17154525" y="5867400"/>
          <a:ext cx="13144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117</xdr:row>
      <xdr:rowOff>114435</xdr:rowOff>
    </xdr:from>
    <xdr:to>
      <xdr:col>21</xdr:col>
      <xdr:colOff>277541</xdr:colOff>
      <xdr:row>121</xdr:row>
      <xdr:rowOff>144069</xdr:rowOff>
    </xdr:to>
    <xdr:sp macro="" textlink="">
      <xdr:nvSpPr>
        <xdr:cNvPr id="300196" name="Text Box 164" hidden="1">
          <a:extLst>
            <a:ext uri="{FF2B5EF4-FFF2-40B4-BE49-F238E27FC236}">
              <a16:creationId xmlns:a16="http://schemas.microsoft.com/office/drawing/2014/main" id="{DFC68AE1-8461-4AAB-A7FA-65D4CA4D36B9}"/>
            </a:ext>
          </a:extLst>
        </xdr:cNvPr>
        <xdr:cNvSpPr txBox="1">
          <a:spLocks noChangeArrowheads="1"/>
        </xdr:cNvSpPr>
      </xdr:nvSpPr>
      <xdr:spPr bwMode="auto">
        <a:xfrm>
          <a:off x="17154525" y="255936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312347" name="Text Box 27" hidden="1">
          <a:extLst>
            <a:ext uri="{FF2B5EF4-FFF2-40B4-BE49-F238E27FC236}">
              <a16:creationId xmlns:a16="http://schemas.microsoft.com/office/drawing/2014/main" id="{24B7A5F1-FD00-49CE-A402-05693900F39D}"/>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25418</xdr:rowOff>
    </xdr:from>
    <xdr:to>
      <xdr:col>5</xdr:col>
      <xdr:colOff>105335</xdr:colOff>
      <xdr:row>247</xdr:row>
      <xdr:rowOff>25418</xdr:rowOff>
    </xdr:to>
    <xdr:sp macro="" textlink="">
      <xdr:nvSpPr>
        <xdr:cNvPr id="312346" name="Text Box 26" hidden="1">
          <a:extLst>
            <a:ext uri="{FF2B5EF4-FFF2-40B4-BE49-F238E27FC236}">
              <a16:creationId xmlns:a16="http://schemas.microsoft.com/office/drawing/2014/main" id="{90F7B677-0BE3-4769-A802-33C3FFF98E71}"/>
            </a:ext>
          </a:extLst>
        </xdr:cNvPr>
        <xdr:cNvSpPr txBox="1">
          <a:spLocks noChangeArrowheads="1"/>
        </xdr:cNvSpPr>
      </xdr:nvSpPr>
      <xdr:spPr bwMode="auto">
        <a:xfrm>
          <a:off x="3994150" y="449262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155182</xdr:rowOff>
    </xdr:from>
    <xdr:to>
      <xdr:col>5</xdr:col>
      <xdr:colOff>105335</xdr:colOff>
      <xdr:row>246</xdr:row>
      <xdr:rowOff>122638</xdr:rowOff>
    </xdr:to>
    <xdr:sp macro="" textlink="">
      <xdr:nvSpPr>
        <xdr:cNvPr id="312345" name="Text Box 25" hidden="1">
          <a:extLst>
            <a:ext uri="{FF2B5EF4-FFF2-40B4-BE49-F238E27FC236}">
              <a16:creationId xmlns:a16="http://schemas.microsoft.com/office/drawing/2014/main" id="{87DCCA14-7AEF-488C-AFE5-84EF0A52B32A}"/>
            </a:ext>
          </a:extLst>
        </xdr:cNvPr>
        <xdr:cNvSpPr txBox="1">
          <a:spLocks noChangeArrowheads="1"/>
        </xdr:cNvSpPr>
      </xdr:nvSpPr>
      <xdr:spPr bwMode="auto">
        <a:xfrm>
          <a:off x="3994150" y="452564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155182</xdr:rowOff>
    </xdr:from>
    <xdr:to>
      <xdr:col>5</xdr:col>
      <xdr:colOff>105335</xdr:colOff>
      <xdr:row>248</xdr:row>
      <xdr:rowOff>25417</xdr:rowOff>
    </xdr:to>
    <xdr:sp macro="" textlink="">
      <xdr:nvSpPr>
        <xdr:cNvPr id="312344" name="Text Box 24" hidden="1">
          <a:extLst>
            <a:ext uri="{FF2B5EF4-FFF2-40B4-BE49-F238E27FC236}">
              <a16:creationId xmlns:a16="http://schemas.microsoft.com/office/drawing/2014/main" id="{CEBEC7BE-1570-47A7-981B-4A18CD024042}"/>
            </a:ext>
          </a:extLst>
        </xdr:cNvPr>
        <xdr:cNvSpPr txBox="1">
          <a:spLocks noChangeArrowheads="1"/>
        </xdr:cNvSpPr>
      </xdr:nvSpPr>
      <xdr:spPr bwMode="auto">
        <a:xfrm>
          <a:off x="3994150" y="458089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155182</xdr:rowOff>
    </xdr:from>
    <xdr:to>
      <xdr:col>5</xdr:col>
      <xdr:colOff>105335</xdr:colOff>
      <xdr:row>235</xdr:row>
      <xdr:rowOff>122639</xdr:rowOff>
    </xdr:to>
    <xdr:sp macro="" textlink="">
      <xdr:nvSpPr>
        <xdr:cNvPr id="312343" name="Text Box 23" hidden="1">
          <a:extLst>
            <a:ext uri="{FF2B5EF4-FFF2-40B4-BE49-F238E27FC236}">
              <a16:creationId xmlns:a16="http://schemas.microsoft.com/office/drawing/2014/main" id="{2EB2FC6E-05DD-4265-97BF-2D7B293A1A1B}"/>
            </a:ext>
          </a:extLst>
        </xdr:cNvPr>
        <xdr:cNvSpPr txBox="1">
          <a:spLocks noChangeArrowheads="1"/>
        </xdr:cNvSpPr>
      </xdr:nvSpPr>
      <xdr:spPr bwMode="auto">
        <a:xfrm>
          <a:off x="3994150" y="459930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84538</xdr:rowOff>
    </xdr:from>
    <xdr:to>
      <xdr:col>5</xdr:col>
      <xdr:colOff>105335</xdr:colOff>
      <xdr:row>212</xdr:row>
      <xdr:rowOff>122638</xdr:rowOff>
    </xdr:to>
    <xdr:sp macro="" textlink="">
      <xdr:nvSpPr>
        <xdr:cNvPr id="312342" name="Text Box 22" hidden="1">
          <a:extLst>
            <a:ext uri="{FF2B5EF4-FFF2-40B4-BE49-F238E27FC236}">
              <a16:creationId xmlns:a16="http://schemas.microsoft.com/office/drawing/2014/main" id="{10CC6170-32F4-4FC7-BA21-342EC3EB44E9}"/>
            </a:ext>
          </a:extLst>
        </xdr:cNvPr>
        <xdr:cNvSpPr txBox="1">
          <a:spLocks noChangeArrowheads="1"/>
        </xdr:cNvSpPr>
      </xdr:nvSpPr>
      <xdr:spPr bwMode="auto">
        <a:xfrm>
          <a:off x="3994150" y="416877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155182</xdr:rowOff>
    </xdr:from>
    <xdr:to>
      <xdr:col>5</xdr:col>
      <xdr:colOff>105335</xdr:colOff>
      <xdr:row>213</xdr:row>
      <xdr:rowOff>155182</xdr:rowOff>
    </xdr:to>
    <xdr:sp macro="" textlink="">
      <xdr:nvSpPr>
        <xdr:cNvPr id="312341" name="Text Box 21" hidden="1">
          <a:extLst>
            <a:ext uri="{FF2B5EF4-FFF2-40B4-BE49-F238E27FC236}">
              <a16:creationId xmlns:a16="http://schemas.microsoft.com/office/drawing/2014/main" id="{9E1DFC1B-5E0C-4098-9606-13C2A8F7658A}"/>
            </a:ext>
          </a:extLst>
        </xdr:cNvPr>
        <xdr:cNvSpPr txBox="1">
          <a:spLocks noChangeArrowheads="1"/>
        </xdr:cNvSpPr>
      </xdr:nvSpPr>
      <xdr:spPr bwMode="auto">
        <a:xfrm>
          <a:off x="3994150" y="42125900"/>
          <a:ext cx="1314450" cy="92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155182</xdr:rowOff>
    </xdr:from>
    <xdr:to>
      <xdr:col>5</xdr:col>
      <xdr:colOff>105335</xdr:colOff>
      <xdr:row>215</xdr:row>
      <xdr:rowOff>25418</xdr:rowOff>
    </xdr:to>
    <xdr:sp macro="" textlink="">
      <xdr:nvSpPr>
        <xdr:cNvPr id="312340" name="Text Box 20" hidden="1">
          <a:extLst>
            <a:ext uri="{FF2B5EF4-FFF2-40B4-BE49-F238E27FC236}">
              <a16:creationId xmlns:a16="http://schemas.microsoft.com/office/drawing/2014/main" id="{377D7A44-1B1E-4E94-AD5A-DCAC89A3F208}"/>
            </a:ext>
          </a:extLst>
        </xdr:cNvPr>
        <xdr:cNvSpPr txBox="1">
          <a:spLocks noChangeArrowheads="1"/>
        </xdr:cNvSpPr>
      </xdr:nvSpPr>
      <xdr:spPr bwMode="auto">
        <a:xfrm>
          <a:off x="3994150" y="424942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155182</xdr:rowOff>
    </xdr:from>
    <xdr:to>
      <xdr:col>5</xdr:col>
      <xdr:colOff>105335</xdr:colOff>
      <xdr:row>221</xdr:row>
      <xdr:rowOff>155182</xdr:rowOff>
    </xdr:to>
    <xdr:sp macro="" textlink="">
      <xdr:nvSpPr>
        <xdr:cNvPr id="312339" name="Text Box 19" hidden="1">
          <a:extLst>
            <a:ext uri="{FF2B5EF4-FFF2-40B4-BE49-F238E27FC236}">
              <a16:creationId xmlns:a16="http://schemas.microsoft.com/office/drawing/2014/main" id="{E0FCF23C-E105-40FC-86A8-5E96813A6BAE}"/>
            </a:ext>
          </a:extLst>
        </xdr:cNvPr>
        <xdr:cNvSpPr txBox="1">
          <a:spLocks noChangeArrowheads="1"/>
        </xdr:cNvSpPr>
      </xdr:nvSpPr>
      <xdr:spPr bwMode="auto">
        <a:xfrm>
          <a:off x="3994150" y="42862500"/>
          <a:ext cx="131445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105335</xdr:colOff>
      <xdr:row>13</xdr:row>
      <xdr:rowOff>168275</xdr:rowOff>
    </xdr:to>
    <xdr:sp macro="" textlink="">
      <xdr:nvSpPr>
        <xdr:cNvPr id="312338" name="Text Box 18" hidden="1">
          <a:extLst>
            <a:ext uri="{FF2B5EF4-FFF2-40B4-BE49-F238E27FC236}">
              <a16:creationId xmlns:a16="http://schemas.microsoft.com/office/drawing/2014/main" id="{DA728862-80AD-4483-A29F-A7A162307DA2}"/>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172257</xdr:rowOff>
    </xdr:from>
    <xdr:to>
      <xdr:col>5</xdr:col>
      <xdr:colOff>105335</xdr:colOff>
      <xdr:row>75</xdr:row>
      <xdr:rowOff>106413</xdr:rowOff>
    </xdr:to>
    <xdr:sp macro="" textlink="">
      <xdr:nvSpPr>
        <xdr:cNvPr id="312337" name="Text Box 17" hidden="1">
          <a:extLst>
            <a:ext uri="{FF2B5EF4-FFF2-40B4-BE49-F238E27FC236}">
              <a16:creationId xmlns:a16="http://schemas.microsoft.com/office/drawing/2014/main" id="{CCCD26B6-3D83-4717-AA41-51504AAF6AFF}"/>
            </a:ext>
          </a:extLst>
        </xdr:cNvPr>
        <xdr:cNvSpPr txBox="1">
          <a:spLocks noChangeArrowheads="1"/>
        </xdr:cNvSpPr>
      </xdr:nvSpPr>
      <xdr:spPr bwMode="auto">
        <a:xfrm>
          <a:off x="3994150" y="16198850"/>
          <a:ext cx="1314450" cy="69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172257</xdr:rowOff>
    </xdr:from>
    <xdr:to>
      <xdr:col>5</xdr:col>
      <xdr:colOff>105335</xdr:colOff>
      <xdr:row>77</xdr:row>
      <xdr:rowOff>30392</xdr:rowOff>
    </xdr:to>
    <xdr:sp macro="" textlink="">
      <xdr:nvSpPr>
        <xdr:cNvPr id="312336" name="Text Box 16" hidden="1">
          <a:extLst>
            <a:ext uri="{FF2B5EF4-FFF2-40B4-BE49-F238E27FC236}">
              <a16:creationId xmlns:a16="http://schemas.microsoft.com/office/drawing/2014/main" id="{A7C4382E-86A3-4046-8E7C-15086E743C9F}"/>
            </a:ext>
          </a:extLst>
        </xdr:cNvPr>
        <xdr:cNvSpPr txBox="1">
          <a:spLocks noChangeArrowheads="1"/>
        </xdr:cNvSpPr>
      </xdr:nvSpPr>
      <xdr:spPr bwMode="auto">
        <a:xfrm>
          <a:off x="3994150" y="161988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101797</xdr:rowOff>
    </xdr:from>
    <xdr:to>
      <xdr:col>5</xdr:col>
      <xdr:colOff>105335</xdr:colOff>
      <xdr:row>77</xdr:row>
      <xdr:rowOff>121892</xdr:rowOff>
    </xdr:to>
    <xdr:sp macro="" textlink="">
      <xdr:nvSpPr>
        <xdr:cNvPr id="312335" name="Text Box 15" hidden="1">
          <a:extLst>
            <a:ext uri="{FF2B5EF4-FFF2-40B4-BE49-F238E27FC236}">
              <a16:creationId xmlns:a16="http://schemas.microsoft.com/office/drawing/2014/main" id="{B3546F50-B39A-416B-94A1-422D11D6C82A}"/>
            </a:ext>
          </a:extLst>
        </xdr:cNvPr>
        <xdr:cNvSpPr txBox="1">
          <a:spLocks noChangeArrowheads="1"/>
        </xdr:cNvSpPr>
      </xdr:nvSpPr>
      <xdr:spPr bwMode="auto">
        <a:xfrm>
          <a:off x="3994150" y="1631315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121321</xdr:rowOff>
    </xdr:from>
    <xdr:to>
      <xdr:col>5</xdr:col>
      <xdr:colOff>105335</xdr:colOff>
      <xdr:row>79</xdr:row>
      <xdr:rowOff>87458</xdr:rowOff>
    </xdr:to>
    <xdr:sp macro="" textlink="">
      <xdr:nvSpPr>
        <xdr:cNvPr id="312334" name="Text Box 14" hidden="1">
          <a:extLst>
            <a:ext uri="{FF2B5EF4-FFF2-40B4-BE49-F238E27FC236}">
              <a16:creationId xmlns:a16="http://schemas.microsoft.com/office/drawing/2014/main" id="{F218059C-462B-471B-B2C8-716D8B59A3EA}"/>
            </a:ext>
          </a:extLst>
        </xdr:cNvPr>
        <xdr:cNvSpPr txBox="1">
          <a:spLocks noChangeArrowheads="1"/>
        </xdr:cNvSpPr>
      </xdr:nvSpPr>
      <xdr:spPr bwMode="auto">
        <a:xfrm>
          <a:off x="3994150" y="164973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64743</xdr:rowOff>
    </xdr:from>
    <xdr:to>
      <xdr:col>5</xdr:col>
      <xdr:colOff>105335</xdr:colOff>
      <xdr:row>85</xdr:row>
      <xdr:rowOff>31221</xdr:rowOff>
    </xdr:to>
    <xdr:sp macro="" textlink="">
      <xdr:nvSpPr>
        <xdr:cNvPr id="312333" name="Text Box 13" hidden="1">
          <a:extLst>
            <a:ext uri="{FF2B5EF4-FFF2-40B4-BE49-F238E27FC236}">
              <a16:creationId xmlns:a16="http://schemas.microsoft.com/office/drawing/2014/main" id="{252B37E3-4EF9-4736-8F7D-29CF0FFDF632}"/>
            </a:ext>
          </a:extLst>
        </xdr:cNvPr>
        <xdr:cNvSpPr txBox="1">
          <a:spLocks noChangeArrowheads="1"/>
        </xdr:cNvSpPr>
      </xdr:nvSpPr>
      <xdr:spPr bwMode="auto">
        <a:xfrm>
          <a:off x="3994150" y="17195800"/>
          <a:ext cx="1314450" cy="170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159912</xdr:rowOff>
    </xdr:from>
    <xdr:to>
      <xdr:col>5</xdr:col>
      <xdr:colOff>105335</xdr:colOff>
      <xdr:row>96</xdr:row>
      <xdr:rowOff>132715</xdr:rowOff>
    </xdr:to>
    <xdr:sp macro="" textlink="">
      <xdr:nvSpPr>
        <xdr:cNvPr id="312332" name="Text Box 12" hidden="1">
          <a:extLst>
            <a:ext uri="{FF2B5EF4-FFF2-40B4-BE49-F238E27FC236}">
              <a16:creationId xmlns:a16="http://schemas.microsoft.com/office/drawing/2014/main" id="{7EC3AE11-B17A-4F23-875C-8057673863A1}"/>
            </a:ext>
          </a:extLst>
        </xdr:cNvPr>
        <xdr:cNvSpPr txBox="1">
          <a:spLocks noChangeArrowheads="1"/>
        </xdr:cNvSpPr>
      </xdr:nvSpPr>
      <xdr:spPr bwMode="auto">
        <a:xfrm>
          <a:off x="3994150" y="20370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145871</xdr:rowOff>
    </xdr:from>
    <xdr:to>
      <xdr:col>5</xdr:col>
      <xdr:colOff>105335</xdr:colOff>
      <xdr:row>97</xdr:row>
      <xdr:rowOff>45841</xdr:rowOff>
    </xdr:to>
    <xdr:sp macro="" textlink="">
      <xdr:nvSpPr>
        <xdr:cNvPr id="312331" name="Text Box 11" hidden="1">
          <a:extLst>
            <a:ext uri="{FF2B5EF4-FFF2-40B4-BE49-F238E27FC236}">
              <a16:creationId xmlns:a16="http://schemas.microsoft.com/office/drawing/2014/main" id="{B3AA88FA-DC57-47BA-A3C6-D9147E95F6E2}"/>
            </a:ext>
          </a:extLst>
        </xdr:cNvPr>
        <xdr:cNvSpPr txBox="1">
          <a:spLocks noChangeArrowheads="1"/>
        </xdr:cNvSpPr>
      </xdr:nvSpPr>
      <xdr:spPr bwMode="auto">
        <a:xfrm>
          <a:off x="3994150" y="205549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181591</xdr:rowOff>
    </xdr:from>
    <xdr:to>
      <xdr:col>5</xdr:col>
      <xdr:colOff>105335</xdr:colOff>
      <xdr:row>98</xdr:row>
      <xdr:rowOff>6784</xdr:rowOff>
    </xdr:to>
    <xdr:sp macro="" textlink="">
      <xdr:nvSpPr>
        <xdr:cNvPr id="312330" name="Text Box 10" hidden="1">
          <a:extLst>
            <a:ext uri="{FF2B5EF4-FFF2-40B4-BE49-F238E27FC236}">
              <a16:creationId xmlns:a16="http://schemas.microsoft.com/office/drawing/2014/main" id="{84DFF8CB-6854-40A1-A05F-9B3D6D17187F}"/>
            </a:ext>
          </a:extLst>
        </xdr:cNvPr>
        <xdr:cNvSpPr txBox="1">
          <a:spLocks noChangeArrowheads="1"/>
        </xdr:cNvSpPr>
      </xdr:nvSpPr>
      <xdr:spPr bwMode="auto">
        <a:xfrm>
          <a:off x="3994150" y="207391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83623</xdr:rowOff>
    </xdr:from>
    <xdr:to>
      <xdr:col>5</xdr:col>
      <xdr:colOff>105335</xdr:colOff>
      <xdr:row>99</xdr:row>
      <xdr:rowOff>8754</xdr:rowOff>
    </xdr:to>
    <xdr:sp macro="" textlink="">
      <xdr:nvSpPr>
        <xdr:cNvPr id="312329" name="Text Box 9" hidden="1">
          <a:extLst>
            <a:ext uri="{FF2B5EF4-FFF2-40B4-BE49-F238E27FC236}">
              <a16:creationId xmlns:a16="http://schemas.microsoft.com/office/drawing/2014/main" id="{C4E0B211-9B7F-4B48-AC2A-D6C1FAD35617}"/>
            </a:ext>
          </a:extLst>
        </xdr:cNvPr>
        <xdr:cNvSpPr txBox="1">
          <a:spLocks noChangeArrowheads="1"/>
        </xdr:cNvSpPr>
      </xdr:nvSpPr>
      <xdr:spPr bwMode="auto">
        <a:xfrm>
          <a:off x="3994150" y="209232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124698</xdr:rowOff>
    </xdr:from>
    <xdr:to>
      <xdr:col>5</xdr:col>
      <xdr:colOff>105335</xdr:colOff>
      <xdr:row>121</xdr:row>
      <xdr:rowOff>125548</xdr:rowOff>
    </xdr:to>
    <xdr:sp macro="" textlink="">
      <xdr:nvSpPr>
        <xdr:cNvPr id="312328" name="Text Box 8" hidden="1">
          <a:extLst>
            <a:ext uri="{FF2B5EF4-FFF2-40B4-BE49-F238E27FC236}">
              <a16:creationId xmlns:a16="http://schemas.microsoft.com/office/drawing/2014/main" id="{866AAD52-1FFD-44F0-9CAA-D29FEACF3BC9}"/>
            </a:ext>
          </a:extLst>
        </xdr:cNvPr>
        <xdr:cNvSpPr txBox="1">
          <a:spLocks noChangeArrowheads="1"/>
        </xdr:cNvSpPr>
      </xdr:nvSpPr>
      <xdr:spPr bwMode="auto">
        <a:xfrm>
          <a:off x="3994150" y="25025350"/>
          <a:ext cx="1314450" cy="96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114435</xdr:rowOff>
    </xdr:from>
    <xdr:to>
      <xdr:col>5</xdr:col>
      <xdr:colOff>105335</xdr:colOff>
      <xdr:row>121</xdr:row>
      <xdr:rowOff>125548</xdr:rowOff>
    </xdr:to>
    <xdr:sp macro="" textlink="">
      <xdr:nvSpPr>
        <xdr:cNvPr id="312327" name="Text Box 7" hidden="1">
          <a:extLst>
            <a:ext uri="{FF2B5EF4-FFF2-40B4-BE49-F238E27FC236}">
              <a16:creationId xmlns:a16="http://schemas.microsoft.com/office/drawing/2014/main" id="{B3E2ED39-5CF3-4144-9BBE-D680989986B7}"/>
            </a:ext>
          </a:extLst>
        </xdr:cNvPr>
        <xdr:cNvSpPr txBox="1">
          <a:spLocks noChangeArrowheads="1"/>
        </xdr:cNvSpPr>
      </xdr:nvSpPr>
      <xdr:spPr bwMode="auto">
        <a:xfrm>
          <a:off x="3994150" y="252095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68134</xdr:rowOff>
    </xdr:from>
    <xdr:to>
      <xdr:col>5</xdr:col>
      <xdr:colOff>105335</xdr:colOff>
      <xdr:row>121</xdr:row>
      <xdr:rowOff>125548</xdr:rowOff>
    </xdr:to>
    <xdr:sp macro="" textlink="">
      <xdr:nvSpPr>
        <xdr:cNvPr id="312326" name="Text Box 6" hidden="1">
          <a:extLst>
            <a:ext uri="{FF2B5EF4-FFF2-40B4-BE49-F238E27FC236}">
              <a16:creationId xmlns:a16="http://schemas.microsoft.com/office/drawing/2014/main" id="{D621EBD7-4FD6-42A9-B56F-07785B99FDCE}"/>
            </a:ext>
          </a:extLst>
        </xdr:cNvPr>
        <xdr:cNvSpPr txBox="1">
          <a:spLocks noChangeArrowheads="1"/>
        </xdr:cNvSpPr>
      </xdr:nvSpPr>
      <xdr:spPr bwMode="auto">
        <a:xfrm>
          <a:off x="3994150" y="25393650"/>
          <a:ext cx="1314450" cy="596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47496</xdr:rowOff>
    </xdr:from>
    <xdr:to>
      <xdr:col>5</xdr:col>
      <xdr:colOff>105335</xdr:colOff>
      <xdr:row>121</xdr:row>
      <xdr:rowOff>125548</xdr:rowOff>
    </xdr:to>
    <xdr:sp macro="" textlink="">
      <xdr:nvSpPr>
        <xdr:cNvPr id="312325" name="Text Box 5" hidden="1">
          <a:extLst>
            <a:ext uri="{FF2B5EF4-FFF2-40B4-BE49-F238E27FC236}">
              <a16:creationId xmlns:a16="http://schemas.microsoft.com/office/drawing/2014/main" id="{C60A3970-7BA3-4252-9EC3-15C3FD244C28}"/>
            </a:ext>
          </a:extLst>
        </xdr:cNvPr>
        <xdr:cNvSpPr txBox="1">
          <a:spLocks noChangeArrowheads="1"/>
        </xdr:cNvSpPr>
      </xdr:nvSpPr>
      <xdr:spPr bwMode="auto">
        <a:xfrm>
          <a:off x="3994150" y="25361900"/>
          <a:ext cx="1314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24</xdr:row>
      <xdr:rowOff>57649</xdr:rowOff>
    </xdr:from>
    <xdr:to>
      <xdr:col>21</xdr:col>
      <xdr:colOff>277541</xdr:colOff>
      <xdr:row>28</xdr:row>
      <xdr:rowOff>120820</xdr:rowOff>
    </xdr:to>
    <xdr:sp macro="" textlink="">
      <xdr:nvSpPr>
        <xdr:cNvPr id="312322" name="Text Box 2" hidden="1">
          <a:extLst>
            <a:ext uri="{FF2B5EF4-FFF2-40B4-BE49-F238E27FC236}">
              <a16:creationId xmlns:a16="http://schemas.microsoft.com/office/drawing/2014/main" id="{C3534DDB-508C-41FE-B150-11F7E31A5E2B}"/>
            </a:ext>
          </a:extLst>
        </xdr:cNvPr>
        <xdr:cNvSpPr txBox="1">
          <a:spLocks noChangeArrowheads="1"/>
        </xdr:cNvSpPr>
      </xdr:nvSpPr>
      <xdr:spPr bwMode="auto">
        <a:xfrm>
          <a:off x="17526000" y="57785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142</xdr:row>
      <xdr:rowOff>48846</xdr:rowOff>
    </xdr:from>
    <xdr:to>
      <xdr:col>21</xdr:col>
      <xdr:colOff>277541</xdr:colOff>
      <xdr:row>146</xdr:row>
      <xdr:rowOff>86947</xdr:rowOff>
    </xdr:to>
    <xdr:sp macro="" textlink="">
      <xdr:nvSpPr>
        <xdr:cNvPr id="312321" name="Text Box 1" hidden="1">
          <a:extLst>
            <a:ext uri="{FF2B5EF4-FFF2-40B4-BE49-F238E27FC236}">
              <a16:creationId xmlns:a16="http://schemas.microsoft.com/office/drawing/2014/main" id="{F7A85577-42A2-48D6-953F-4F95ED7B7DCB}"/>
            </a:ext>
          </a:extLst>
        </xdr:cNvPr>
        <xdr:cNvSpPr txBox="1">
          <a:spLocks noChangeArrowheads="1"/>
        </xdr:cNvSpPr>
      </xdr:nvSpPr>
      <xdr:spPr bwMode="auto">
        <a:xfrm>
          <a:off x="17526000" y="29794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506140</xdr:colOff>
      <xdr:row>30</xdr:row>
      <xdr:rowOff>65088</xdr:rowOff>
    </xdr:from>
    <xdr:to>
      <xdr:col>21</xdr:col>
      <xdr:colOff>201708</xdr:colOff>
      <xdr:row>35</xdr:row>
      <xdr:rowOff>1587</xdr:rowOff>
    </xdr:to>
    <xdr:sp macro="" textlink="">
      <xdr:nvSpPr>
        <xdr:cNvPr id="312352" name="Text Box 32" hidden="1">
          <a:extLst>
            <a:ext uri="{FF2B5EF4-FFF2-40B4-BE49-F238E27FC236}">
              <a16:creationId xmlns:a16="http://schemas.microsoft.com/office/drawing/2014/main" id="{C3B50093-3956-44EE-AEC7-FA28E6561D97}"/>
            </a:ext>
          </a:extLst>
        </xdr:cNvPr>
        <xdr:cNvSpPr txBox="1">
          <a:spLocks noChangeArrowheads="1"/>
        </xdr:cNvSpPr>
      </xdr:nvSpPr>
      <xdr:spPr bwMode="auto">
        <a:xfrm>
          <a:off x="17564100" y="6845300"/>
          <a:ext cx="125730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31</xdr:row>
      <xdr:rowOff>83344</xdr:rowOff>
    </xdr:from>
    <xdr:to>
      <xdr:col>16</xdr:col>
      <xdr:colOff>201709</xdr:colOff>
      <xdr:row>36</xdr:row>
      <xdr:rowOff>1587</xdr:rowOff>
    </xdr:to>
    <xdr:sp macro="" textlink="">
      <xdr:nvSpPr>
        <xdr:cNvPr id="312353" name="Text Box 33" hidden="1">
          <a:extLst>
            <a:ext uri="{FF2B5EF4-FFF2-40B4-BE49-F238E27FC236}">
              <a16:creationId xmlns:a16="http://schemas.microsoft.com/office/drawing/2014/main" id="{36EC1BD6-6892-4A76-9A40-6AB759BF6AED}"/>
            </a:ext>
          </a:extLst>
        </xdr:cNvPr>
        <xdr:cNvSpPr txBox="1">
          <a:spLocks noChangeArrowheads="1"/>
        </xdr:cNvSpPr>
      </xdr:nvSpPr>
      <xdr:spPr bwMode="auto">
        <a:xfrm>
          <a:off x="13677900" y="7029450"/>
          <a:ext cx="125730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312380" name="Text Box 60" hidden="1">
          <a:extLst>
            <a:ext uri="{FF2B5EF4-FFF2-40B4-BE49-F238E27FC236}">
              <a16:creationId xmlns:a16="http://schemas.microsoft.com/office/drawing/2014/main" id="{53624875-A8CA-4383-B3E5-1DCB6657BB78}"/>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9543</xdr:rowOff>
    </xdr:from>
    <xdr:to>
      <xdr:col>5</xdr:col>
      <xdr:colOff>105335</xdr:colOff>
      <xdr:row>243</xdr:row>
      <xdr:rowOff>9544</xdr:rowOff>
    </xdr:to>
    <xdr:sp macro="" textlink="">
      <xdr:nvSpPr>
        <xdr:cNvPr id="312379" name="Text Box 59" hidden="1">
          <a:extLst>
            <a:ext uri="{FF2B5EF4-FFF2-40B4-BE49-F238E27FC236}">
              <a16:creationId xmlns:a16="http://schemas.microsoft.com/office/drawing/2014/main" id="{3FA73798-BCAE-40BD-B929-BDAAA4E266D8}"/>
            </a:ext>
          </a:extLst>
        </xdr:cNvPr>
        <xdr:cNvSpPr txBox="1">
          <a:spLocks noChangeArrowheads="1"/>
        </xdr:cNvSpPr>
      </xdr:nvSpPr>
      <xdr:spPr bwMode="auto">
        <a:xfrm>
          <a:off x="3994150" y="441769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155182</xdr:rowOff>
    </xdr:from>
    <xdr:to>
      <xdr:col>5</xdr:col>
      <xdr:colOff>105335</xdr:colOff>
      <xdr:row>242</xdr:row>
      <xdr:rowOff>125813</xdr:rowOff>
    </xdr:to>
    <xdr:sp macro="" textlink="">
      <xdr:nvSpPr>
        <xdr:cNvPr id="312378" name="Text Box 58" hidden="1">
          <a:extLst>
            <a:ext uri="{FF2B5EF4-FFF2-40B4-BE49-F238E27FC236}">
              <a16:creationId xmlns:a16="http://schemas.microsoft.com/office/drawing/2014/main" id="{373B89C6-EA34-4523-89DC-4A7C805F5286}"/>
            </a:ext>
          </a:extLst>
        </xdr:cNvPr>
        <xdr:cNvSpPr txBox="1">
          <a:spLocks noChangeArrowheads="1"/>
        </xdr:cNvSpPr>
      </xdr:nvSpPr>
      <xdr:spPr bwMode="auto">
        <a:xfrm>
          <a:off x="3994150" y="445071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155182</xdr:rowOff>
    </xdr:from>
    <xdr:to>
      <xdr:col>5</xdr:col>
      <xdr:colOff>105335</xdr:colOff>
      <xdr:row>244</xdr:row>
      <xdr:rowOff>9542</xdr:rowOff>
    </xdr:to>
    <xdr:sp macro="" textlink="">
      <xdr:nvSpPr>
        <xdr:cNvPr id="312377" name="Text Box 57" hidden="1">
          <a:extLst>
            <a:ext uri="{FF2B5EF4-FFF2-40B4-BE49-F238E27FC236}">
              <a16:creationId xmlns:a16="http://schemas.microsoft.com/office/drawing/2014/main" id="{66236043-EF53-4FB0-A0FF-3434B5AF95E0}"/>
            </a:ext>
          </a:extLst>
        </xdr:cNvPr>
        <xdr:cNvSpPr txBox="1">
          <a:spLocks noChangeArrowheads="1"/>
        </xdr:cNvSpPr>
      </xdr:nvSpPr>
      <xdr:spPr bwMode="auto">
        <a:xfrm>
          <a:off x="3994150" y="450596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155182</xdr:rowOff>
    </xdr:from>
    <xdr:to>
      <xdr:col>5</xdr:col>
      <xdr:colOff>105335</xdr:colOff>
      <xdr:row>231</xdr:row>
      <xdr:rowOff>125814</xdr:rowOff>
    </xdr:to>
    <xdr:sp macro="" textlink="">
      <xdr:nvSpPr>
        <xdr:cNvPr id="312376" name="Text Box 56" hidden="1">
          <a:extLst>
            <a:ext uri="{FF2B5EF4-FFF2-40B4-BE49-F238E27FC236}">
              <a16:creationId xmlns:a16="http://schemas.microsoft.com/office/drawing/2014/main" id="{FBDDAAEF-CC92-4ABF-8C0E-87D2136BD04C}"/>
            </a:ext>
          </a:extLst>
        </xdr:cNvPr>
        <xdr:cNvSpPr txBox="1">
          <a:spLocks noChangeArrowheads="1"/>
        </xdr:cNvSpPr>
      </xdr:nvSpPr>
      <xdr:spPr bwMode="auto">
        <a:xfrm>
          <a:off x="3994150" y="452437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87713</xdr:rowOff>
    </xdr:from>
    <xdr:to>
      <xdr:col>5</xdr:col>
      <xdr:colOff>105335</xdr:colOff>
      <xdr:row>208</xdr:row>
      <xdr:rowOff>125813</xdr:rowOff>
    </xdr:to>
    <xdr:sp macro="" textlink="">
      <xdr:nvSpPr>
        <xdr:cNvPr id="312375" name="Text Box 55" hidden="1">
          <a:extLst>
            <a:ext uri="{FF2B5EF4-FFF2-40B4-BE49-F238E27FC236}">
              <a16:creationId xmlns:a16="http://schemas.microsoft.com/office/drawing/2014/main" id="{9671EAD1-CF55-4CE8-878D-59C2C34AAF02}"/>
            </a:ext>
          </a:extLst>
        </xdr:cNvPr>
        <xdr:cNvSpPr txBox="1">
          <a:spLocks noChangeArrowheads="1"/>
        </xdr:cNvSpPr>
      </xdr:nvSpPr>
      <xdr:spPr bwMode="auto">
        <a:xfrm>
          <a:off x="3994150" y="409384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155183</xdr:rowOff>
    </xdr:from>
    <xdr:to>
      <xdr:col>5</xdr:col>
      <xdr:colOff>105335</xdr:colOff>
      <xdr:row>209</xdr:row>
      <xdr:rowOff>164707</xdr:rowOff>
    </xdr:to>
    <xdr:sp macro="" textlink="">
      <xdr:nvSpPr>
        <xdr:cNvPr id="312374" name="Text Box 54" hidden="1">
          <a:extLst>
            <a:ext uri="{FF2B5EF4-FFF2-40B4-BE49-F238E27FC236}">
              <a16:creationId xmlns:a16="http://schemas.microsoft.com/office/drawing/2014/main" id="{B8CB7696-6CBD-4D4B-939D-2D3592DFBA48}"/>
            </a:ext>
          </a:extLst>
        </xdr:cNvPr>
        <xdr:cNvSpPr txBox="1">
          <a:spLocks noChangeArrowheads="1"/>
        </xdr:cNvSpPr>
      </xdr:nvSpPr>
      <xdr:spPr bwMode="auto">
        <a:xfrm>
          <a:off x="3994150" y="413766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155182</xdr:rowOff>
    </xdr:from>
    <xdr:to>
      <xdr:col>5</xdr:col>
      <xdr:colOff>105335</xdr:colOff>
      <xdr:row>211</xdr:row>
      <xdr:rowOff>9544</xdr:rowOff>
    </xdr:to>
    <xdr:sp macro="" textlink="">
      <xdr:nvSpPr>
        <xdr:cNvPr id="312373" name="Text Box 53" hidden="1">
          <a:extLst>
            <a:ext uri="{FF2B5EF4-FFF2-40B4-BE49-F238E27FC236}">
              <a16:creationId xmlns:a16="http://schemas.microsoft.com/office/drawing/2014/main" id="{F5DC6244-C4CA-4CD9-B958-B537659060E9}"/>
            </a:ext>
          </a:extLst>
        </xdr:cNvPr>
        <xdr:cNvSpPr txBox="1">
          <a:spLocks noChangeArrowheads="1"/>
        </xdr:cNvSpPr>
      </xdr:nvSpPr>
      <xdr:spPr bwMode="auto">
        <a:xfrm>
          <a:off x="3994150" y="41744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155182</xdr:rowOff>
    </xdr:from>
    <xdr:to>
      <xdr:col>5</xdr:col>
      <xdr:colOff>105335</xdr:colOff>
      <xdr:row>217</xdr:row>
      <xdr:rowOff>164707</xdr:rowOff>
    </xdr:to>
    <xdr:sp macro="" textlink="">
      <xdr:nvSpPr>
        <xdr:cNvPr id="312372" name="Text Box 52" hidden="1">
          <a:extLst>
            <a:ext uri="{FF2B5EF4-FFF2-40B4-BE49-F238E27FC236}">
              <a16:creationId xmlns:a16="http://schemas.microsoft.com/office/drawing/2014/main" id="{C5E945D5-3986-4643-8B19-D5EF73FA79D0}"/>
            </a:ext>
          </a:extLst>
        </xdr:cNvPr>
        <xdr:cNvSpPr txBox="1">
          <a:spLocks noChangeArrowheads="1"/>
        </xdr:cNvSpPr>
      </xdr:nvSpPr>
      <xdr:spPr bwMode="auto">
        <a:xfrm>
          <a:off x="3994150" y="421132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47975</xdr:rowOff>
    </xdr:from>
    <xdr:to>
      <xdr:col>5</xdr:col>
      <xdr:colOff>105335</xdr:colOff>
      <xdr:row>71</xdr:row>
      <xdr:rowOff>143329</xdr:rowOff>
    </xdr:to>
    <xdr:sp macro="" textlink="">
      <xdr:nvSpPr>
        <xdr:cNvPr id="312370" name="Text Box 50" hidden="1">
          <a:extLst>
            <a:ext uri="{FF2B5EF4-FFF2-40B4-BE49-F238E27FC236}">
              <a16:creationId xmlns:a16="http://schemas.microsoft.com/office/drawing/2014/main" id="{51B3F5F0-03CB-446F-BAC8-7D93232BA013}"/>
            </a:ext>
          </a:extLst>
        </xdr:cNvPr>
        <xdr:cNvSpPr txBox="1">
          <a:spLocks noChangeArrowheads="1"/>
        </xdr:cNvSpPr>
      </xdr:nvSpPr>
      <xdr:spPr bwMode="auto">
        <a:xfrm>
          <a:off x="3994150" y="15449550"/>
          <a:ext cx="1314450" cy="69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47975</xdr:rowOff>
    </xdr:from>
    <xdr:to>
      <xdr:col>5</xdr:col>
      <xdr:colOff>105335</xdr:colOff>
      <xdr:row>73</xdr:row>
      <xdr:rowOff>7164</xdr:rowOff>
    </xdr:to>
    <xdr:sp macro="" textlink="">
      <xdr:nvSpPr>
        <xdr:cNvPr id="312369" name="Text Box 49" hidden="1">
          <a:extLst>
            <a:ext uri="{FF2B5EF4-FFF2-40B4-BE49-F238E27FC236}">
              <a16:creationId xmlns:a16="http://schemas.microsoft.com/office/drawing/2014/main" id="{4E27CBC6-FA75-43E0-B44B-AC1D7EF341E6}"/>
            </a:ext>
          </a:extLst>
        </xdr:cNvPr>
        <xdr:cNvSpPr txBox="1">
          <a:spLocks noChangeArrowheads="1"/>
        </xdr:cNvSpPr>
      </xdr:nvSpPr>
      <xdr:spPr bwMode="auto">
        <a:xfrm>
          <a:off x="3994150" y="154495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154103</xdr:rowOff>
    </xdr:from>
    <xdr:to>
      <xdr:col>5</xdr:col>
      <xdr:colOff>105335</xdr:colOff>
      <xdr:row>73</xdr:row>
      <xdr:rowOff>145367</xdr:rowOff>
    </xdr:to>
    <xdr:sp macro="" textlink="">
      <xdr:nvSpPr>
        <xdr:cNvPr id="312368" name="Text Box 48" hidden="1">
          <a:extLst>
            <a:ext uri="{FF2B5EF4-FFF2-40B4-BE49-F238E27FC236}">
              <a16:creationId xmlns:a16="http://schemas.microsoft.com/office/drawing/2014/main" id="{44734B09-1C6B-41DD-848B-1823D2D6C72D}"/>
            </a:ext>
          </a:extLst>
        </xdr:cNvPr>
        <xdr:cNvSpPr txBox="1">
          <a:spLocks noChangeArrowheads="1"/>
        </xdr:cNvSpPr>
      </xdr:nvSpPr>
      <xdr:spPr bwMode="auto">
        <a:xfrm>
          <a:off x="3994150" y="155638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106388</xdr:rowOff>
    </xdr:from>
    <xdr:to>
      <xdr:col>5</xdr:col>
      <xdr:colOff>105335</xdr:colOff>
      <xdr:row>77</xdr:row>
      <xdr:rowOff>7784</xdr:rowOff>
    </xdr:to>
    <xdr:sp macro="" textlink="">
      <xdr:nvSpPr>
        <xdr:cNvPr id="312367" name="Text Box 47" hidden="1">
          <a:extLst>
            <a:ext uri="{FF2B5EF4-FFF2-40B4-BE49-F238E27FC236}">
              <a16:creationId xmlns:a16="http://schemas.microsoft.com/office/drawing/2014/main" id="{3887D86D-B178-43D9-9133-AACC3A09759A}"/>
            </a:ext>
          </a:extLst>
        </xdr:cNvPr>
        <xdr:cNvSpPr txBox="1">
          <a:spLocks noChangeArrowheads="1"/>
        </xdr:cNvSpPr>
      </xdr:nvSpPr>
      <xdr:spPr bwMode="auto">
        <a:xfrm>
          <a:off x="3994150" y="157480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63931</xdr:rowOff>
    </xdr:from>
    <xdr:to>
      <xdr:col>5</xdr:col>
      <xdr:colOff>105335</xdr:colOff>
      <xdr:row>81</xdr:row>
      <xdr:rowOff>27964</xdr:rowOff>
    </xdr:to>
    <xdr:sp macro="" textlink="">
      <xdr:nvSpPr>
        <xdr:cNvPr id="312366" name="Text Box 46" hidden="1">
          <a:extLst>
            <a:ext uri="{FF2B5EF4-FFF2-40B4-BE49-F238E27FC236}">
              <a16:creationId xmlns:a16="http://schemas.microsoft.com/office/drawing/2014/main" id="{481989A4-E870-45A7-9E09-1B67AC6AC4DB}"/>
            </a:ext>
          </a:extLst>
        </xdr:cNvPr>
        <xdr:cNvSpPr txBox="1">
          <a:spLocks noChangeArrowheads="1"/>
        </xdr:cNvSpPr>
      </xdr:nvSpPr>
      <xdr:spPr bwMode="auto">
        <a:xfrm>
          <a:off x="3994150" y="16446500"/>
          <a:ext cx="1314450" cy="172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12170</xdr:rowOff>
    </xdr:from>
    <xdr:to>
      <xdr:col>5</xdr:col>
      <xdr:colOff>105335</xdr:colOff>
      <xdr:row>93</xdr:row>
      <xdr:rowOff>49827</xdr:rowOff>
    </xdr:to>
    <xdr:sp macro="" textlink="">
      <xdr:nvSpPr>
        <xdr:cNvPr id="312365" name="Text Box 45" hidden="1">
          <a:extLst>
            <a:ext uri="{FF2B5EF4-FFF2-40B4-BE49-F238E27FC236}">
              <a16:creationId xmlns:a16="http://schemas.microsoft.com/office/drawing/2014/main" id="{63F665F0-FF13-40B1-8042-24C19FF5E7CA}"/>
            </a:ext>
          </a:extLst>
        </xdr:cNvPr>
        <xdr:cNvSpPr txBox="1">
          <a:spLocks noChangeArrowheads="1"/>
        </xdr:cNvSpPr>
      </xdr:nvSpPr>
      <xdr:spPr bwMode="auto">
        <a:xfrm>
          <a:off x="3994150" y="1962150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160820</xdr:rowOff>
    </xdr:from>
    <xdr:to>
      <xdr:col>5</xdr:col>
      <xdr:colOff>105335</xdr:colOff>
      <xdr:row>94</xdr:row>
      <xdr:rowOff>69672</xdr:rowOff>
    </xdr:to>
    <xdr:sp macro="" textlink="">
      <xdr:nvSpPr>
        <xdr:cNvPr id="312364" name="Text Box 44" hidden="1">
          <a:extLst>
            <a:ext uri="{FF2B5EF4-FFF2-40B4-BE49-F238E27FC236}">
              <a16:creationId xmlns:a16="http://schemas.microsoft.com/office/drawing/2014/main" id="{BE88554A-90A8-42E3-859D-AE3FB0BF1FC4}"/>
            </a:ext>
          </a:extLst>
        </xdr:cNvPr>
        <xdr:cNvSpPr txBox="1">
          <a:spLocks noChangeArrowheads="1"/>
        </xdr:cNvSpPr>
      </xdr:nvSpPr>
      <xdr:spPr bwMode="auto">
        <a:xfrm>
          <a:off x="3994150" y="1980565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149769</xdr:rowOff>
    </xdr:from>
    <xdr:to>
      <xdr:col>5</xdr:col>
      <xdr:colOff>105335</xdr:colOff>
      <xdr:row>95</xdr:row>
      <xdr:rowOff>9732</xdr:rowOff>
    </xdr:to>
    <xdr:sp macro="" textlink="">
      <xdr:nvSpPr>
        <xdr:cNvPr id="312363" name="Text Box 43" hidden="1">
          <a:extLst>
            <a:ext uri="{FF2B5EF4-FFF2-40B4-BE49-F238E27FC236}">
              <a16:creationId xmlns:a16="http://schemas.microsoft.com/office/drawing/2014/main" id="{E4D59710-5CE5-48DA-A30F-D9724E10D4CD}"/>
            </a:ext>
          </a:extLst>
        </xdr:cNvPr>
        <xdr:cNvSpPr txBox="1">
          <a:spLocks noChangeArrowheads="1"/>
        </xdr:cNvSpPr>
      </xdr:nvSpPr>
      <xdr:spPr bwMode="auto">
        <a:xfrm>
          <a:off x="3994150" y="1998980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143716</xdr:rowOff>
    </xdr:from>
    <xdr:to>
      <xdr:col>5</xdr:col>
      <xdr:colOff>105335</xdr:colOff>
      <xdr:row>95</xdr:row>
      <xdr:rowOff>189574</xdr:rowOff>
    </xdr:to>
    <xdr:sp macro="" textlink="">
      <xdr:nvSpPr>
        <xdr:cNvPr id="312362" name="Text Box 42" hidden="1">
          <a:extLst>
            <a:ext uri="{FF2B5EF4-FFF2-40B4-BE49-F238E27FC236}">
              <a16:creationId xmlns:a16="http://schemas.microsoft.com/office/drawing/2014/main" id="{D35225BE-8C92-4CE8-BB2C-A325CB0F4E63}"/>
            </a:ext>
          </a:extLst>
        </xdr:cNvPr>
        <xdr:cNvSpPr txBox="1">
          <a:spLocks noChangeArrowheads="1"/>
        </xdr:cNvSpPr>
      </xdr:nvSpPr>
      <xdr:spPr bwMode="auto">
        <a:xfrm>
          <a:off x="3994150" y="2017395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144042</xdr:rowOff>
    </xdr:from>
    <xdr:to>
      <xdr:col>5</xdr:col>
      <xdr:colOff>105335</xdr:colOff>
      <xdr:row>117</xdr:row>
      <xdr:rowOff>144744</xdr:rowOff>
    </xdr:to>
    <xdr:sp macro="" textlink="">
      <xdr:nvSpPr>
        <xdr:cNvPr id="312361" name="Text Box 41" hidden="1">
          <a:extLst>
            <a:ext uri="{FF2B5EF4-FFF2-40B4-BE49-F238E27FC236}">
              <a16:creationId xmlns:a16="http://schemas.microsoft.com/office/drawing/2014/main" id="{47139516-3EDA-4C7C-89C0-CEF4FF83C015}"/>
            </a:ext>
          </a:extLst>
        </xdr:cNvPr>
        <xdr:cNvSpPr txBox="1">
          <a:spLocks noChangeArrowheads="1"/>
        </xdr:cNvSpPr>
      </xdr:nvSpPr>
      <xdr:spPr bwMode="auto">
        <a:xfrm>
          <a:off x="3994150" y="24276050"/>
          <a:ext cx="13144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125493</xdr:rowOff>
    </xdr:from>
    <xdr:to>
      <xdr:col>5</xdr:col>
      <xdr:colOff>105335</xdr:colOff>
      <xdr:row>117</xdr:row>
      <xdr:rowOff>144744</xdr:rowOff>
    </xdr:to>
    <xdr:sp macro="" textlink="">
      <xdr:nvSpPr>
        <xdr:cNvPr id="312360" name="Text Box 40" hidden="1">
          <a:extLst>
            <a:ext uri="{FF2B5EF4-FFF2-40B4-BE49-F238E27FC236}">
              <a16:creationId xmlns:a16="http://schemas.microsoft.com/office/drawing/2014/main" id="{3969DDE0-8CEA-4E63-B6CA-C84325F4E0D0}"/>
            </a:ext>
          </a:extLst>
        </xdr:cNvPr>
        <xdr:cNvSpPr txBox="1">
          <a:spLocks noChangeArrowheads="1"/>
        </xdr:cNvSpPr>
      </xdr:nvSpPr>
      <xdr:spPr bwMode="auto">
        <a:xfrm>
          <a:off x="3994150" y="244602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123111</xdr:rowOff>
    </xdr:from>
    <xdr:to>
      <xdr:col>5</xdr:col>
      <xdr:colOff>105335</xdr:colOff>
      <xdr:row>117</xdr:row>
      <xdr:rowOff>144744</xdr:rowOff>
    </xdr:to>
    <xdr:sp macro="" textlink="">
      <xdr:nvSpPr>
        <xdr:cNvPr id="312359" name="Text Box 39" hidden="1">
          <a:extLst>
            <a:ext uri="{FF2B5EF4-FFF2-40B4-BE49-F238E27FC236}">
              <a16:creationId xmlns:a16="http://schemas.microsoft.com/office/drawing/2014/main" id="{B284DA57-3D67-453E-9B06-7B25BF3F5B78}"/>
            </a:ext>
          </a:extLst>
        </xdr:cNvPr>
        <xdr:cNvSpPr txBox="1">
          <a:spLocks noChangeArrowheads="1"/>
        </xdr:cNvSpPr>
      </xdr:nvSpPr>
      <xdr:spPr bwMode="auto">
        <a:xfrm>
          <a:off x="3994150" y="24644350"/>
          <a:ext cx="1314450" cy="60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67932</xdr:rowOff>
    </xdr:from>
    <xdr:to>
      <xdr:col>5</xdr:col>
      <xdr:colOff>105335</xdr:colOff>
      <xdr:row>117</xdr:row>
      <xdr:rowOff>144744</xdr:rowOff>
    </xdr:to>
    <xdr:sp macro="" textlink="">
      <xdr:nvSpPr>
        <xdr:cNvPr id="312358" name="Text Box 38" hidden="1">
          <a:extLst>
            <a:ext uri="{FF2B5EF4-FFF2-40B4-BE49-F238E27FC236}">
              <a16:creationId xmlns:a16="http://schemas.microsoft.com/office/drawing/2014/main" id="{89699A45-0B0B-49D4-B74E-DF88C2859BEB}"/>
            </a:ext>
          </a:extLst>
        </xdr:cNvPr>
        <xdr:cNvSpPr txBox="1">
          <a:spLocks noChangeArrowheads="1"/>
        </xdr:cNvSpPr>
      </xdr:nvSpPr>
      <xdr:spPr bwMode="auto">
        <a:xfrm>
          <a:off x="3994150" y="24612600"/>
          <a:ext cx="1314450" cy="63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20</xdr:row>
      <xdr:rowOff>63826</xdr:rowOff>
    </xdr:from>
    <xdr:to>
      <xdr:col>21</xdr:col>
      <xdr:colOff>277541</xdr:colOff>
      <xdr:row>24</xdr:row>
      <xdr:rowOff>73524</xdr:rowOff>
    </xdr:to>
    <xdr:sp macro="" textlink="">
      <xdr:nvSpPr>
        <xdr:cNvPr id="312357" name="Text Box 37" hidden="1">
          <a:extLst>
            <a:ext uri="{FF2B5EF4-FFF2-40B4-BE49-F238E27FC236}">
              <a16:creationId xmlns:a16="http://schemas.microsoft.com/office/drawing/2014/main" id="{2BC2CE78-6C5C-4DF0-9894-3CB3E614EEAA}"/>
            </a:ext>
          </a:extLst>
        </xdr:cNvPr>
        <xdr:cNvSpPr txBox="1">
          <a:spLocks noChangeArrowheads="1"/>
        </xdr:cNvSpPr>
      </xdr:nvSpPr>
      <xdr:spPr bwMode="auto">
        <a:xfrm>
          <a:off x="17526000" y="5029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138</xdr:row>
      <xdr:rowOff>29003</xdr:rowOff>
    </xdr:from>
    <xdr:to>
      <xdr:col>21</xdr:col>
      <xdr:colOff>277541</xdr:colOff>
      <xdr:row>142</xdr:row>
      <xdr:rowOff>58371</xdr:rowOff>
    </xdr:to>
    <xdr:sp macro="" textlink="">
      <xdr:nvSpPr>
        <xdr:cNvPr id="312356" name="Text Box 36" hidden="1">
          <a:extLst>
            <a:ext uri="{FF2B5EF4-FFF2-40B4-BE49-F238E27FC236}">
              <a16:creationId xmlns:a16="http://schemas.microsoft.com/office/drawing/2014/main" id="{86805420-FE8C-4984-B483-B20003062D2E}"/>
            </a:ext>
          </a:extLst>
        </xdr:cNvPr>
        <xdr:cNvSpPr txBox="1">
          <a:spLocks noChangeArrowheads="1"/>
        </xdr:cNvSpPr>
      </xdr:nvSpPr>
      <xdr:spPr bwMode="auto">
        <a:xfrm>
          <a:off x="17526000" y="290449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506140</xdr:colOff>
      <xdr:row>26</xdr:row>
      <xdr:rowOff>31454</xdr:rowOff>
    </xdr:from>
    <xdr:to>
      <xdr:col>21</xdr:col>
      <xdr:colOff>201708</xdr:colOff>
      <xdr:row>30</xdr:row>
      <xdr:rowOff>125413</xdr:rowOff>
    </xdr:to>
    <xdr:sp macro="" textlink="">
      <xdr:nvSpPr>
        <xdr:cNvPr id="312355" name="Text Box 35" hidden="1">
          <a:extLst>
            <a:ext uri="{FF2B5EF4-FFF2-40B4-BE49-F238E27FC236}">
              <a16:creationId xmlns:a16="http://schemas.microsoft.com/office/drawing/2014/main" id="{DE0F2A7B-0539-49AB-9D3F-EB0C72E34AB9}"/>
            </a:ext>
          </a:extLst>
        </xdr:cNvPr>
        <xdr:cNvSpPr txBox="1">
          <a:spLocks noChangeArrowheads="1"/>
        </xdr:cNvSpPr>
      </xdr:nvSpPr>
      <xdr:spPr bwMode="auto">
        <a:xfrm>
          <a:off x="17564100" y="6115050"/>
          <a:ext cx="12573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27</xdr:row>
      <xdr:rowOff>45975</xdr:rowOff>
    </xdr:from>
    <xdr:to>
      <xdr:col>16</xdr:col>
      <xdr:colOff>201709</xdr:colOff>
      <xdr:row>31</xdr:row>
      <xdr:rowOff>143669</xdr:rowOff>
    </xdr:to>
    <xdr:sp macro="" textlink="">
      <xdr:nvSpPr>
        <xdr:cNvPr id="312354" name="Text Box 34" hidden="1">
          <a:extLst>
            <a:ext uri="{FF2B5EF4-FFF2-40B4-BE49-F238E27FC236}">
              <a16:creationId xmlns:a16="http://schemas.microsoft.com/office/drawing/2014/main" id="{DD7C907B-85BF-425F-A2FD-F17C61AB290C}"/>
            </a:ext>
          </a:extLst>
        </xdr:cNvPr>
        <xdr:cNvSpPr txBox="1">
          <a:spLocks noChangeArrowheads="1"/>
        </xdr:cNvSpPr>
      </xdr:nvSpPr>
      <xdr:spPr bwMode="auto">
        <a:xfrm>
          <a:off x="13677900" y="6299200"/>
          <a:ext cx="12573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312406" name="Text Box 86" hidden="1">
          <a:extLst>
            <a:ext uri="{FF2B5EF4-FFF2-40B4-BE49-F238E27FC236}">
              <a16:creationId xmlns:a16="http://schemas.microsoft.com/office/drawing/2014/main" id="{311C77C6-9F40-423A-7B6A-10ECF8774BA7}"/>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64695</xdr:rowOff>
    </xdr:from>
    <xdr:to>
      <xdr:col>5</xdr:col>
      <xdr:colOff>105335</xdr:colOff>
      <xdr:row>220</xdr:row>
      <xdr:rowOff>50408</xdr:rowOff>
    </xdr:to>
    <xdr:sp macro="" textlink="">
      <xdr:nvSpPr>
        <xdr:cNvPr id="312405" name="Text Box 85" hidden="1">
          <a:extLst>
            <a:ext uri="{FF2B5EF4-FFF2-40B4-BE49-F238E27FC236}">
              <a16:creationId xmlns:a16="http://schemas.microsoft.com/office/drawing/2014/main" id="{2193B999-E7D5-1093-C534-6AB0289CA23C}"/>
            </a:ext>
          </a:extLst>
        </xdr:cNvPr>
        <xdr:cNvSpPr txBox="1">
          <a:spLocks noChangeArrowheads="1"/>
        </xdr:cNvSpPr>
      </xdr:nvSpPr>
      <xdr:spPr bwMode="auto">
        <a:xfrm>
          <a:off x="3994150" y="397192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25418</xdr:rowOff>
    </xdr:from>
    <xdr:to>
      <xdr:col>5</xdr:col>
      <xdr:colOff>105335</xdr:colOff>
      <xdr:row>219</xdr:row>
      <xdr:rowOff>149626</xdr:rowOff>
    </xdr:to>
    <xdr:sp macro="" textlink="">
      <xdr:nvSpPr>
        <xdr:cNvPr id="312404" name="Text Box 84" hidden="1">
          <a:extLst>
            <a:ext uri="{FF2B5EF4-FFF2-40B4-BE49-F238E27FC236}">
              <a16:creationId xmlns:a16="http://schemas.microsoft.com/office/drawing/2014/main" id="{DE04D550-AB70-3411-E6A3-38CADB6CE996}"/>
            </a:ext>
          </a:extLst>
        </xdr:cNvPr>
        <xdr:cNvSpPr txBox="1">
          <a:spLocks noChangeArrowheads="1"/>
        </xdr:cNvSpPr>
      </xdr:nvSpPr>
      <xdr:spPr bwMode="auto">
        <a:xfrm>
          <a:off x="3994150" y="4005580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10336</xdr:rowOff>
    </xdr:from>
    <xdr:to>
      <xdr:col>5</xdr:col>
      <xdr:colOff>105335</xdr:colOff>
      <xdr:row>221</xdr:row>
      <xdr:rowOff>50407</xdr:rowOff>
    </xdr:to>
    <xdr:sp macro="" textlink="">
      <xdr:nvSpPr>
        <xdr:cNvPr id="312403" name="Text Box 83" hidden="1">
          <a:extLst>
            <a:ext uri="{FF2B5EF4-FFF2-40B4-BE49-F238E27FC236}">
              <a16:creationId xmlns:a16="http://schemas.microsoft.com/office/drawing/2014/main" id="{8501CE79-5C60-B93D-350B-BC474F21CCE2}"/>
            </a:ext>
          </a:extLst>
        </xdr:cNvPr>
        <xdr:cNvSpPr txBox="1">
          <a:spLocks noChangeArrowheads="1"/>
        </xdr:cNvSpPr>
      </xdr:nvSpPr>
      <xdr:spPr bwMode="auto">
        <a:xfrm>
          <a:off x="3994150" y="406082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10337</xdr:rowOff>
    </xdr:from>
    <xdr:to>
      <xdr:col>5</xdr:col>
      <xdr:colOff>105335</xdr:colOff>
      <xdr:row>208</xdr:row>
      <xdr:rowOff>149626</xdr:rowOff>
    </xdr:to>
    <xdr:sp macro="" textlink="">
      <xdr:nvSpPr>
        <xdr:cNvPr id="312402" name="Text Box 82" hidden="1">
          <a:extLst>
            <a:ext uri="{FF2B5EF4-FFF2-40B4-BE49-F238E27FC236}">
              <a16:creationId xmlns:a16="http://schemas.microsoft.com/office/drawing/2014/main" id="{A3B20700-3A7F-F771-F362-1333A77D4788}"/>
            </a:ext>
          </a:extLst>
        </xdr:cNvPr>
        <xdr:cNvSpPr txBox="1">
          <a:spLocks noChangeArrowheads="1"/>
        </xdr:cNvSpPr>
      </xdr:nvSpPr>
      <xdr:spPr bwMode="auto">
        <a:xfrm>
          <a:off x="3994150" y="4079240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180</xdr:row>
      <xdr:rowOff>84538</xdr:rowOff>
    </xdr:from>
    <xdr:to>
      <xdr:col>5</xdr:col>
      <xdr:colOff>105335</xdr:colOff>
      <xdr:row>186</xdr:row>
      <xdr:rowOff>124226</xdr:rowOff>
    </xdr:to>
    <xdr:sp macro="" textlink="">
      <xdr:nvSpPr>
        <xdr:cNvPr id="312401" name="Text Box 81" hidden="1">
          <a:extLst>
            <a:ext uri="{FF2B5EF4-FFF2-40B4-BE49-F238E27FC236}">
              <a16:creationId xmlns:a16="http://schemas.microsoft.com/office/drawing/2014/main" id="{90C7049E-6B68-93CD-AC6B-2B8FA25F18B9}"/>
            </a:ext>
          </a:extLst>
        </xdr:cNvPr>
        <xdr:cNvSpPr txBox="1">
          <a:spLocks noChangeArrowheads="1"/>
        </xdr:cNvSpPr>
      </xdr:nvSpPr>
      <xdr:spPr bwMode="auto">
        <a:xfrm>
          <a:off x="3994150" y="364807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182</xdr:row>
      <xdr:rowOff>163914</xdr:rowOff>
    </xdr:from>
    <xdr:to>
      <xdr:col>5</xdr:col>
      <xdr:colOff>105335</xdr:colOff>
      <xdr:row>187</xdr:row>
      <xdr:rowOff>122639</xdr:rowOff>
    </xdr:to>
    <xdr:sp macro="" textlink="">
      <xdr:nvSpPr>
        <xdr:cNvPr id="312400" name="Text Box 80" hidden="1">
          <a:extLst>
            <a:ext uri="{FF2B5EF4-FFF2-40B4-BE49-F238E27FC236}">
              <a16:creationId xmlns:a16="http://schemas.microsoft.com/office/drawing/2014/main" id="{98490EBA-CBA5-0FF7-0741-72E920D2FEF3}"/>
            </a:ext>
          </a:extLst>
        </xdr:cNvPr>
        <xdr:cNvSpPr txBox="1">
          <a:spLocks noChangeArrowheads="1"/>
        </xdr:cNvSpPr>
      </xdr:nvSpPr>
      <xdr:spPr bwMode="auto">
        <a:xfrm>
          <a:off x="3994150" y="369252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8451</xdr:rowOff>
    </xdr:from>
    <xdr:to>
      <xdr:col>5</xdr:col>
      <xdr:colOff>105335</xdr:colOff>
      <xdr:row>188</xdr:row>
      <xdr:rowOff>125020</xdr:rowOff>
    </xdr:to>
    <xdr:sp macro="" textlink="">
      <xdr:nvSpPr>
        <xdr:cNvPr id="312399" name="Text Box 79" hidden="1">
          <a:extLst>
            <a:ext uri="{FF2B5EF4-FFF2-40B4-BE49-F238E27FC236}">
              <a16:creationId xmlns:a16="http://schemas.microsoft.com/office/drawing/2014/main" id="{9954C361-C187-1CC2-E2F8-9E76CFA83CD6}"/>
            </a:ext>
          </a:extLst>
        </xdr:cNvPr>
        <xdr:cNvSpPr txBox="1">
          <a:spLocks noChangeArrowheads="1"/>
        </xdr:cNvSpPr>
      </xdr:nvSpPr>
      <xdr:spPr bwMode="auto">
        <a:xfrm>
          <a:off x="3994150" y="372935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153595</xdr:rowOff>
    </xdr:from>
    <xdr:to>
      <xdr:col>5</xdr:col>
      <xdr:colOff>105335</xdr:colOff>
      <xdr:row>195</xdr:row>
      <xdr:rowOff>67077</xdr:rowOff>
    </xdr:to>
    <xdr:sp macro="" textlink="">
      <xdr:nvSpPr>
        <xdr:cNvPr id="312398" name="Text Box 78" hidden="1">
          <a:extLst>
            <a:ext uri="{FF2B5EF4-FFF2-40B4-BE49-F238E27FC236}">
              <a16:creationId xmlns:a16="http://schemas.microsoft.com/office/drawing/2014/main" id="{0F454F12-2AFE-F47C-C852-D20A73F9C149}"/>
            </a:ext>
          </a:extLst>
        </xdr:cNvPr>
        <xdr:cNvSpPr txBox="1">
          <a:spLocks noChangeArrowheads="1"/>
        </xdr:cNvSpPr>
      </xdr:nvSpPr>
      <xdr:spPr bwMode="auto">
        <a:xfrm>
          <a:off x="3994150" y="376618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49</xdr:row>
      <xdr:rowOff>94458</xdr:rowOff>
    </xdr:from>
    <xdr:to>
      <xdr:col>5</xdr:col>
      <xdr:colOff>105335</xdr:colOff>
      <xdr:row>53</xdr:row>
      <xdr:rowOff>39455</xdr:rowOff>
    </xdr:to>
    <xdr:sp macro="" textlink="">
      <xdr:nvSpPr>
        <xdr:cNvPr id="312397" name="Text Box 77" hidden="1">
          <a:extLst>
            <a:ext uri="{FF2B5EF4-FFF2-40B4-BE49-F238E27FC236}">
              <a16:creationId xmlns:a16="http://schemas.microsoft.com/office/drawing/2014/main" id="{98F37360-62A5-F4DC-A167-A6E66ED9599A}"/>
            </a:ext>
          </a:extLst>
        </xdr:cNvPr>
        <xdr:cNvSpPr txBox="1">
          <a:spLocks noChangeArrowheads="1"/>
        </xdr:cNvSpPr>
      </xdr:nvSpPr>
      <xdr:spPr bwMode="auto">
        <a:xfrm>
          <a:off x="3994150" y="10325100"/>
          <a:ext cx="131445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49</xdr:row>
      <xdr:rowOff>94458</xdr:rowOff>
    </xdr:from>
    <xdr:to>
      <xdr:col>5</xdr:col>
      <xdr:colOff>105335</xdr:colOff>
      <xdr:row>53</xdr:row>
      <xdr:rowOff>295603</xdr:rowOff>
    </xdr:to>
    <xdr:sp macro="" textlink="">
      <xdr:nvSpPr>
        <xdr:cNvPr id="312396" name="Text Box 76" hidden="1">
          <a:extLst>
            <a:ext uri="{FF2B5EF4-FFF2-40B4-BE49-F238E27FC236}">
              <a16:creationId xmlns:a16="http://schemas.microsoft.com/office/drawing/2014/main" id="{43E4FE32-7592-CFE7-178A-5B11895ED830}"/>
            </a:ext>
          </a:extLst>
        </xdr:cNvPr>
        <xdr:cNvSpPr txBox="1">
          <a:spLocks noChangeArrowheads="1"/>
        </xdr:cNvSpPr>
      </xdr:nvSpPr>
      <xdr:spPr bwMode="auto">
        <a:xfrm>
          <a:off x="3994150" y="10325100"/>
          <a:ext cx="13144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50006</xdr:rowOff>
    </xdr:from>
    <xdr:to>
      <xdr:col>5</xdr:col>
      <xdr:colOff>105335</xdr:colOff>
      <xdr:row>54</xdr:row>
      <xdr:rowOff>126066</xdr:rowOff>
    </xdr:to>
    <xdr:sp macro="" textlink="">
      <xdr:nvSpPr>
        <xdr:cNvPr id="312395" name="Text Box 75" hidden="1">
          <a:extLst>
            <a:ext uri="{FF2B5EF4-FFF2-40B4-BE49-F238E27FC236}">
              <a16:creationId xmlns:a16="http://schemas.microsoft.com/office/drawing/2014/main" id="{77AF5DCB-7825-9E3A-399E-19ADE4D21A56}"/>
            </a:ext>
          </a:extLst>
        </xdr:cNvPr>
        <xdr:cNvSpPr txBox="1">
          <a:spLocks noChangeArrowheads="1"/>
        </xdr:cNvSpPr>
      </xdr:nvSpPr>
      <xdr:spPr bwMode="auto">
        <a:xfrm>
          <a:off x="3994150" y="10636250"/>
          <a:ext cx="1314450" cy="96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58505</xdr:rowOff>
    </xdr:from>
    <xdr:to>
      <xdr:col>5</xdr:col>
      <xdr:colOff>105335</xdr:colOff>
      <xdr:row>56</xdr:row>
      <xdr:rowOff>83271</xdr:rowOff>
    </xdr:to>
    <xdr:sp macro="" textlink="">
      <xdr:nvSpPr>
        <xdr:cNvPr id="312394" name="Text Box 74" hidden="1">
          <a:extLst>
            <a:ext uri="{FF2B5EF4-FFF2-40B4-BE49-F238E27FC236}">
              <a16:creationId xmlns:a16="http://schemas.microsoft.com/office/drawing/2014/main" id="{FB5DFABC-373E-46A6-DDF3-A15C6D4FD20F}"/>
            </a:ext>
          </a:extLst>
        </xdr:cNvPr>
        <xdr:cNvSpPr txBox="1">
          <a:spLocks noChangeArrowheads="1"/>
        </xdr:cNvSpPr>
      </xdr:nvSpPr>
      <xdr:spPr bwMode="auto">
        <a:xfrm>
          <a:off x="3994150" y="11023600"/>
          <a:ext cx="1314450" cy="1358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245495</xdr:rowOff>
    </xdr:from>
    <xdr:to>
      <xdr:col>5</xdr:col>
      <xdr:colOff>105335</xdr:colOff>
      <xdr:row>60</xdr:row>
      <xdr:rowOff>107343</xdr:rowOff>
    </xdr:to>
    <xdr:sp macro="" textlink="">
      <xdr:nvSpPr>
        <xdr:cNvPr id="312393" name="Text Box 73" hidden="1">
          <a:extLst>
            <a:ext uri="{FF2B5EF4-FFF2-40B4-BE49-F238E27FC236}">
              <a16:creationId xmlns:a16="http://schemas.microsoft.com/office/drawing/2014/main" id="{0BE90657-0D9E-5190-6236-AF48B5D6DF8F}"/>
            </a:ext>
          </a:extLst>
        </xdr:cNvPr>
        <xdr:cNvSpPr txBox="1">
          <a:spLocks noChangeArrowheads="1"/>
        </xdr:cNvSpPr>
      </xdr:nvSpPr>
      <xdr:spPr bwMode="auto">
        <a:xfrm>
          <a:off x="3994150" y="11734800"/>
          <a:ext cx="1314450" cy="171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29325</xdr:rowOff>
    </xdr:from>
    <xdr:to>
      <xdr:col>5</xdr:col>
      <xdr:colOff>105335</xdr:colOff>
      <xdr:row>70</xdr:row>
      <xdr:rowOff>372386</xdr:rowOff>
    </xdr:to>
    <xdr:sp macro="" textlink="">
      <xdr:nvSpPr>
        <xdr:cNvPr id="312392" name="Text Box 72" hidden="1">
          <a:extLst>
            <a:ext uri="{FF2B5EF4-FFF2-40B4-BE49-F238E27FC236}">
              <a16:creationId xmlns:a16="http://schemas.microsoft.com/office/drawing/2014/main" id="{C60C22F5-8DE9-89EF-BA05-39741D5B7272}"/>
            </a:ext>
          </a:extLst>
        </xdr:cNvPr>
        <xdr:cNvSpPr txBox="1">
          <a:spLocks noChangeArrowheads="1"/>
        </xdr:cNvSpPr>
      </xdr:nvSpPr>
      <xdr:spPr bwMode="auto">
        <a:xfrm>
          <a:off x="3994150" y="149669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10379</xdr:rowOff>
    </xdr:from>
    <xdr:to>
      <xdr:col>5</xdr:col>
      <xdr:colOff>105335</xdr:colOff>
      <xdr:row>71</xdr:row>
      <xdr:rowOff>173050</xdr:rowOff>
    </xdr:to>
    <xdr:sp macro="" textlink="">
      <xdr:nvSpPr>
        <xdr:cNvPr id="312391" name="Text Box 71" hidden="1">
          <a:extLst>
            <a:ext uri="{FF2B5EF4-FFF2-40B4-BE49-F238E27FC236}">
              <a16:creationId xmlns:a16="http://schemas.microsoft.com/office/drawing/2014/main" id="{1A46EF72-6EBE-A59D-E316-A4FA5CE17515}"/>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162834</xdr:rowOff>
    </xdr:from>
    <xdr:to>
      <xdr:col>5</xdr:col>
      <xdr:colOff>105335</xdr:colOff>
      <xdr:row>73</xdr:row>
      <xdr:rowOff>6370</xdr:rowOff>
    </xdr:to>
    <xdr:sp macro="" textlink="">
      <xdr:nvSpPr>
        <xdr:cNvPr id="312390" name="Text Box 70" hidden="1">
          <a:extLst>
            <a:ext uri="{FF2B5EF4-FFF2-40B4-BE49-F238E27FC236}">
              <a16:creationId xmlns:a16="http://schemas.microsoft.com/office/drawing/2014/main" id="{A721BE0A-2A7A-1CAA-A955-53D4B8CF7098}"/>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102419</xdr:rowOff>
    </xdr:from>
    <xdr:to>
      <xdr:col>5</xdr:col>
      <xdr:colOff>105335</xdr:colOff>
      <xdr:row>74</xdr:row>
      <xdr:rowOff>12628</xdr:rowOff>
    </xdr:to>
    <xdr:sp macro="" textlink="">
      <xdr:nvSpPr>
        <xdr:cNvPr id="312389" name="Text Box 69" hidden="1">
          <a:extLst>
            <a:ext uri="{FF2B5EF4-FFF2-40B4-BE49-F238E27FC236}">
              <a16:creationId xmlns:a16="http://schemas.microsoft.com/office/drawing/2014/main" id="{D8A1B67A-6D3D-FFD2-D48D-2EA120363997}"/>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12681</xdr:rowOff>
    </xdr:from>
    <xdr:to>
      <xdr:col>5</xdr:col>
      <xdr:colOff>105335</xdr:colOff>
      <xdr:row>95</xdr:row>
      <xdr:rowOff>171084</xdr:rowOff>
    </xdr:to>
    <xdr:sp macro="" textlink="">
      <xdr:nvSpPr>
        <xdr:cNvPr id="312388" name="Text Box 68" hidden="1">
          <a:extLst>
            <a:ext uri="{FF2B5EF4-FFF2-40B4-BE49-F238E27FC236}">
              <a16:creationId xmlns:a16="http://schemas.microsoft.com/office/drawing/2014/main" id="{54179F96-58E8-7AD3-51F6-8FDE00422009}"/>
            </a:ext>
          </a:extLst>
        </xdr:cNvPr>
        <xdr:cNvSpPr txBox="1">
          <a:spLocks noChangeArrowheads="1"/>
        </xdr:cNvSpPr>
      </xdr:nvSpPr>
      <xdr:spPr bwMode="auto">
        <a:xfrm>
          <a:off x="3994150" y="1978660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9940</xdr:rowOff>
    </xdr:from>
    <xdr:to>
      <xdr:col>5</xdr:col>
      <xdr:colOff>105335</xdr:colOff>
      <xdr:row>95</xdr:row>
      <xdr:rowOff>171084</xdr:rowOff>
    </xdr:to>
    <xdr:sp macro="" textlink="">
      <xdr:nvSpPr>
        <xdr:cNvPr id="312387" name="Text Box 67" hidden="1">
          <a:extLst>
            <a:ext uri="{FF2B5EF4-FFF2-40B4-BE49-F238E27FC236}">
              <a16:creationId xmlns:a16="http://schemas.microsoft.com/office/drawing/2014/main" id="{4AF25F54-5739-DB06-373D-4134376AB0F4}"/>
            </a:ext>
          </a:extLst>
        </xdr:cNvPr>
        <xdr:cNvSpPr txBox="1">
          <a:spLocks noChangeArrowheads="1"/>
        </xdr:cNvSpPr>
      </xdr:nvSpPr>
      <xdr:spPr bwMode="auto">
        <a:xfrm>
          <a:off x="3994150" y="199707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171599</xdr:rowOff>
    </xdr:from>
    <xdr:to>
      <xdr:col>5</xdr:col>
      <xdr:colOff>105335</xdr:colOff>
      <xdr:row>95</xdr:row>
      <xdr:rowOff>171084</xdr:rowOff>
    </xdr:to>
    <xdr:sp macro="" textlink="">
      <xdr:nvSpPr>
        <xdr:cNvPr id="312386" name="Text Box 66" hidden="1">
          <a:extLst>
            <a:ext uri="{FF2B5EF4-FFF2-40B4-BE49-F238E27FC236}">
              <a16:creationId xmlns:a16="http://schemas.microsoft.com/office/drawing/2014/main" id="{16CA8962-80AA-AF99-990C-794F405503EA}"/>
            </a:ext>
          </a:extLst>
        </xdr:cNvPr>
        <xdr:cNvSpPr txBox="1">
          <a:spLocks noChangeArrowheads="1"/>
        </xdr:cNvSpPr>
      </xdr:nvSpPr>
      <xdr:spPr bwMode="auto">
        <a:xfrm>
          <a:off x="3994150" y="2015490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144566</xdr:rowOff>
    </xdr:from>
    <xdr:to>
      <xdr:col>5</xdr:col>
      <xdr:colOff>105335</xdr:colOff>
      <xdr:row>95</xdr:row>
      <xdr:rowOff>171084</xdr:rowOff>
    </xdr:to>
    <xdr:sp macro="" textlink="">
      <xdr:nvSpPr>
        <xdr:cNvPr id="312385" name="Text Box 65" hidden="1">
          <a:extLst>
            <a:ext uri="{FF2B5EF4-FFF2-40B4-BE49-F238E27FC236}">
              <a16:creationId xmlns:a16="http://schemas.microsoft.com/office/drawing/2014/main" id="{78224BFF-B2D9-E2D5-AE6A-90755DB2D7D2}"/>
            </a:ext>
          </a:extLst>
        </xdr:cNvPr>
        <xdr:cNvSpPr txBox="1">
          <a:spLocks noChangeArrowheads="1"/>
        </xdr:cNvSpPr>
      </xdr:nvSpPr>
      <xdr:spPr bwMode="auto">
        <a:xfrm>
          <a:off x="3994150" y="2011680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115</xdr:row>
      <xdr:rowOff>122318</xdr:rowOff>
    </xdr:from>
    <xdr:to>
      <xdr:col>21</xdr:col>
      <xdr:colOff>277541</xdr:colOff>
      <xdr:row>119</xdr:row>
      <xdr:rowOff>154536</xdr:rowOff>
    </xdr:to>
    <xdr:sp macro="" textlink="">
      <xdr:nvSpPr>
        <xdr:cNvPr id="312383" name="Text Box 63" hidden="1">
          <a:extLst>
            <a:ext uri="{FF2B5EF4-FFF2-40B4-BE49-F238E27FC236}">
              <a16:creationId xmlns:a16="http://schemas.microsoft.com/office/drawing/2014/main" id="{C8E89293-D42B-9139-1E51-BCEED87A48C8}"/>
            </a:ext>
          </a:extLst>
        </xdr:cNvPr>
        <xdr:cNvSpPr txBox="1">
          <a:spLocks noChangeArrowheads="1"/>
        </xdr:cNvSpPr>
      </xdr:nvSpPr>
      <xdr:spPr bwMode="auto">
        <a:xfrm>
          <a:off x="17526000" y="24587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14</xdr:row>
      <xdr:rowOff>95250</xdr:rowOff>
    </xdr:from>
    <xdr:to>
      <xdr:col>22</xdr:col>
      <xdr:colOff>448990</xdr:colOff>
      <xdr:row>18</xdr:row>
      <xdr:rowOff>92868</xdr:rowOff>
    </xdr:to>
    <xdr:sp macro="" textlink="">
      <xdr:nvSpPr>
        <xdr:cNvPr id="312407" name="Text Box 87" hidden="1">
          <a:extLst>
            <a:ext uri="{FF2B5EF4-FFF2-40B4-BE49-F238E27FC236}">
              <a16:creationId xmlns:a16="http://schemas.microsoft.com/office/drawing/2014/main" id="{5FB0B8AF-8E9A-5382-A0C9-F96B4F1CF81E}"/>
            </a:ext>
          </a:extLst>
        </xdr:cNvPr>
        <xdr:cNvSpPr txBox="1">
          <a:spLocks noChangeArrowheads="1"/>
        </xdr:cNvSpPr>
      </xdr:nvSpPr>
      <xdr:spPr bwMode="auto">
        <a:xfrm>
          <a:off x="18351500" y="35560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22</xdr:row>
      <xdr:rowOff>31454</xdr:rowOff>
    </xdr:from>
    <xdr:to>
      <xdr:col>22</xdr:col>
      <xdr:colOff>448990</xdr:colOff>
      <xdr:row>26</xdr:row>
      <xdr:rowOff>66379</xdr:rowOff>
    </xdr:to>
    <xdr:sp macro="" textlink="">
      <xdr:nvSpPr>
        <xdr:cNvPr id="312408" name="Text Box 88" hidden="1">
          <a:extLst>
            <a:ext uri="{FF2B5EF4-FFF2-40B4-BE49-F238E27FC236}">
              <a16:creationId xmlns:a16="http://schemas.microsoft.com/office/drawing/2014/main" id="{743065B2-ED9E-4814-9DF9-9436A3C9D184}"/>
            </a:ext>
          </a:extLst>
        </xdr:cNvPr>
        <xdr:cNvSpPr txBox="1">
          <a:spLocks noChangeArrowheads="1"/>
        </xdr:cNvSpPr>
      </xdr:nvSpPr>
      <xdr:spPr bwMode="auto">
        <a:xfrm>
          <a:off x="18351500" y="537845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119</xdr:row>
      <xdr:rowOff>125817</xdr:rowOff>
    </xdr:from>
    <xdr:to>
      <xdr:col>22</xdr:col>
      <xdr:colOff>448990</xdr:colOff>
      <xdr:row>123</xdr:row>
      <xdr:rowOff>84832</xdr:rowOff>
    </xdr:to>
    <xdr:sp macro="" textlink="">
      <xdr:nvSpPr>
        <xdr:cNvPr id="312452" name="Text Box 132" hidden="1">
          <a:extLst>
            <a:ext uri="{FF2B5EF4-FFF2-40B4-BE49-F238E27FC236}">
              <a16:creationId xmlns:a16="http://schemas.microsoft.com/office/drawing/2014/main" id="{4712543A-9159-D352-6632-85DD6A71BE06}"/>
            </a:ext>
          </a:extLst>
        </xdr:cNvPr>
        <xdr:cNvSpPr txBox="1">
          <a:spLocks noChangeArrowheads="1"/>
        </xdr:cNvSpPr>
      </xdr:nvSpPr>
      <xdr:spPr bwMode="auto">
        <a:xfrm>
          <a:off x="18351500" y="25342850"/>
          <a:ext cx="14414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312478" name="Text Box 158" hidden="1">
          <a:extLst>
            <a:ext uri="{FF2B5EF4-FFF2-40B4-BE49-F238E27FC236}">
              <a16:creationId xmlns:a16="http://schemas.microsoft.com/office/drawing/2014/main" id="{845267AF-BF8B-CB2C-3BA3-985A3DFEEB65}"/>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46438</xdr:rowOff>
    </xdr:from>
    <xdr:to>
      <xdr:col>5</xdr:col>
      <xdr:colOff>105335</xdr:colOff>
      <xdr:row>221</xdr:row>
      <xdr:rowOff>50407</xdr:rowOff>
    </xdr:to>
    <xdr:sp macro="" textlink="">
      <xdr:nvSpPr>
        <xdr:cNvPr id="312477" name="Text Box 157" hidden="1">
          <a:extLst>
            <a:ext uri="{FF2B5EF4-FFF2-40B4-BE49-F238E27FC236}">
              <a16:creationId xmlns:a16="http://schemas.microsoft.com/office/drawing/2014/main" id="{C534468E-2626-8EFA-AE62-5DC39719B638}"/>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10336</xdr:rowOff>
    </xdr:from>
    <xdr:to>
      <xdr:col>5</xdr:col>
      <xdr:colOff>105335</xdr:colOff>
      <xdr:row>220</xdr:row>
      <xdr:rowOff>149627</xdr:rowOff>
    </xdr:to>
    <xdr:sp macro="" textlink="">
      <xdr:nvSpPr>
        <xdr:cNvPr id="312476" name="Text Box 156" hidden="1">
          <a:extLst>
            <a:ext uri="{FF2B5EF4-FFF2-40B4-BE49-F238E27FC236}">
              <a16:creationId xmlns:a16="http://schemas.microsoft.com/office/drawing/2014/main" id="{3C064C7C-C04B-B960-6EB2-BB90768E40C2}"/>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10337</xdr:rowOff>
    </xdr:from>
    <xdr:to>
      <xdr:col>5</xdr:col>
      <xdr:colOff>105335</xdr:colOff>
      <xdr:row>222</xdr:row>
      <xdr:rowOff>50407</xdr:rowOff>
    </xdr:to>
    <xdr:sp macro="" textlink="">
      <xdr:nvSpPr>
        <xdr:cNvPr id="312475" name="Text Box 155" hidden="1">
          <a:extLst>
            <a:ext uri="{FF2B5EF4-FFF2-40B4-BE49-F238E27FC236}">
              <a16:creationId xmlns:a16="http://schemas.microsoft.com/office/drawing/2014/main" id="{73BB9345-E304-089F-6193-57C3A5F58509}"/>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10337</xdr:rowOff>
    </xdr:from>
    <xdr:to>
      <xdr:col>5</xdr:col>
      <xdr:colOff>105335</xdr:colOff>
      <xdr:row>209</xdr:row>
      <xdr:rowOff>149626</xdr:rowOff>
    </xdr:to>
    <xdr:sp macro="" textlink="">
      <xdr:nvSpPr>
        <xdr:cNvPr id="312474" name="Text Box 154" hidden="1">
          <a:extLst>
            <a:ext uri="{FF2B5EF4-FFF2-40B4-BE49-F238E27FC236}">
              <a16:creationId xmlns:a16="http://schemas.microsoft.com/office/drawing/2014/main" id="{39B8AF94-BDBC-8C76-CE23-D87D28437683}"/>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181</xdr:row>
      <xdr:rowOff>84538</xdr:rowOff>
    </xdr:from>
    <xdr:to>
      <xdr:col>5</xdr:col>
      <xdr:colOff>105335</xdr:colOff>
      <xdr:row>187</xdr:row>
      <xdr:rowOff>65489</xdr:rowOff>
    </xdr:to>
    <xdr:sp macro="" textlink="">
      <xdr:nvSpPr>
        <xdr:cNvPr id="312473" name="Text Box 153" hidden="1">
          <a:extLst>
            <a:ext uri="{FF2B5EF4-FFF2-40B4-BE49-F238E27FC236}">
              <a16:creationId xmlns:a16="http://schemas.microsoft.com/office/drawing/2014/main" id="{1E8377F0-0A5C-81E2-F72F-C5CC0054A490}"/>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7955</xdr:rowOff>
    </xdr:from>
    <xdr:to>
      <xdr:col>5</xdr:col>
      <xdr:colOff>105335</xdr:colOff>
      <xdr:row>188</xdr:row>
      <xdr:rowOff>125927</xdr:rowOff>
    </xdr:to>
    <xdr:sp macro="" textlink="">
      <xdr:nvSpPr>
        <xdr:cNvPr id="312472" name="Text Box 152" hidden="1">
          <a:extLst>
            <a:ext uri="{FF2B5EF4-FFF2-40B4-BE49-F238E27FC236}">
              <a16:creationId xmlns:a16="http://schemas.microsoft.com/office/drawing/2014/main" id="{976A5749-690B-4C07-224A-C60A67D4B537}"/>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149626</xdr:rowOff>
    </xdr:from>
    <xdr:to>
      <xdr:col>5</xdr:col>
      <xdr:colOff>105335</xdr:colOff>
      <xdr:row>189</xdr:row>
      <xdr:rowOff>103589</xdr:rowOff>
    </xdr:to>
    <xdr:sp macro="" textlink="">
      <xdr:nvSpPr>
        <xdr:cNvPr id="312471" name="Text Box 151" hidden="1">
          <a:extLst>
            <a:ext uri="{FF2B5EF4-FFF2-40B4-BE49-F238E27FC236}">
              <a16:creationId xmlns:a16="http://schemas.microsoft.com/office/drawing/2014/main" id="{8185C859-B82E-6C2E-4423-385430DB3227}"/>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103589</xdr:rowOff>
    </xdr:from>
    <xdr:to>
      <xdr:col>5</xdr:col>
      <xdr:colOff>105335</xdr:colOff>
      <xdr:row>196</xdr:row>
      <xdr:rowOff>67076</xdr:rowOff>
    </xdr:to>
    <xdr:sp macro="" textlink="">
      <xdr:nvSpPr>
        <xdr:cNvPr id="312470" name="Text Box 150" hidden="1">
          <a:extLst>
            <a:ext uri="{FF2B5EF4-FFF2-40B4-BE49-F238E27FC236}">
              <a16:creationId xmlns:a16="http://schemas.microsoft.com/office/drawing/2014/main" id="{B58EC60B-4C67-760F-130A-5474FB471022}"/>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103981</xdr:rowOff>
    </xdr:from>
    <xdr:to>
      <xdr:col>5</xdr:col>
      <xdr:colOff>105335</xdr:colOff>
      <xdr:row>53</xdr:row>
      <xdr:rowOff>313065</xdr:rowOff>
    </xdr:to>
    <xdr:sp macro="" textlink="">
      <xdr:nvSpPr>
        <xdr:cNvPr id="312469" name="Text Box 149" hidden="1">
          <a:extLst>
            <a:ext uri="{FF2B5EF4-FFF2-40B4-BE49-F238E27FC236}">
              <a16:creationId xmlns:a16="http://schemas.microsoft.com/office/drawing/2014/main" id="{1F4201A8-0053-A269-9098-DBBA9106F362}"/>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103981</xdr:rowOff>
    </xdr:from>
    <xdr:to>
      <xdr:col>5</xdr:col>
      <xdr:colOff>105335</xdr:colOff>
      <xdr:row>55</xdr:row>
      <xdr:rowOff>7256</xdr:rowOff>
    </xdr:to>
    <xdr:sp macro="" textlink="">
      <xdr:nvSpPr>
        <xdr:cNvPr id="312468" name="Text Box 148" hidden="1">
          <a:extLst>
            <a:ext uri="{FF2B5EF4-FFF2-40B4-BE49-F238E27FC236}">
              <a16:creationId xmlns:a16="http://schemas.microsoft.com/office/drawing/2014/main" id="{52485202-0A48-1D63-4A6D-5F684F4EF241}"/>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236865</xdr:rowOff>
    </xdr:from>
    <xdr:to>
      <xdr:col>5</xdr:col>
      <xdr:colOff>105335</xdr:colOff>
      <xdr:row>55</xdr:row>
      <xdr:rowOff>303110</xdr:rowOff>
    </xdr:to>
    <xdr:sp macro="" textlink="">
      <xdr:nvSpPr>
        <xdr:cNvPr id="312467" name="Text Box 147" hidden="1">
          <a:extLst>
            <a:ext uri="{FF2B5EF4-FFF2-40B4-BE49-F238E27FC236}">
              <a16:creationId xmlns:a16="http://schemas.microsoft.com/office/drawing/2014/main" id="{E682F73F-77D1-060E-4F5B-852C269F3631}"/>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274965</xdr:rowOff>
    </xdr:from>
    <xdr:to>
      <xdr:col>5</xdr:col>
      <xdr:colOff>105335</xdr:colOff>
      <xdr:row>57</xdr:row>
      <xdr:rowOff>199573</xdr:rowOff>
    </xdr:to>
    <xdr:sp macro="" textlink="">
      <xdr:nvSpPr>
        <xdr:cNvPr id="312466" name="Text Box 146" hidden="1">
          <a:extLst>
            <a:ext uri="{FF2B5EF4-FFF2-40B4-BE49-F238E27FC236}">
              <a16:creationId xmlns:a16="http://schemas.microsoft.com/office/drawing/2014/main" id="{1C1D455E-40B1-9967-304D-6776DD78CF27}"/>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26306</xdr:rowOff>
    </xdr:from>
    <xdr:to>
      <xdr:col>5</xdr:col>
      <xdr:colOff>105335</xdr:colOff>
      <xdr:row>61</xdr:row>
      <xdr:rowOff>106045</xdr:rowOff>
    </xdr:to>
    <xdr:sp macro="" textlink="">
      <xdr:nvSpPr>
        <xdr:cNvPr id="312465" name="Text Box 145" hidden="1">
          <a:extLst>
            <a:ext uri="{FF2B5EF4-FFF2-40B4-BE49-F238E27FC236}">
              <a16:creationId xmlns:a16="http://schemas.microsoft.com/office/drawing/2014/main" id="{8C945AA5-162D-AC38-34C9-D2D0B368ED04}"/>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10379</xdr:rowOff>
    </xdr:from>
    <xdr:to>
      <xdr:col>5</xdr:col>
      <xdr:colOff>105335</xdr:colOff>
      <xdr:row>71</xdr:row>
      <xdr:rowOff>173050</xdr:rowOff>
    </xdr:to>
    <xdr:sp macro="" textlink="">
      <xdr:nvSpPr>
        <xdr:cNvPr id="312464" name="Text Box 144" hidden="1">
          <a:extLst>
            <a:ext uri="{FF2B5EF4-FFF2-40B4-BE49-F238E27FC236}">
              <a16:creationId xmlns:a16="http://schemas.microsoft.com/office/drawing/2014/main" id="{BBE51AC7-D972-50CF-9BD5-AC3F15A7F693}"/>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162834</xdr:rowOff>
    </xdr:from>
    <xdr:to>
      <xdr:col>5</xdr:col>
      <xdr:colOff>105335</xdr:colOff>
      <xdr:row>73</xdr:row>
      <xdr:rowOff>6370</xdr:rowOff>
    </xdr:to>
    <xdr:sp macro="" textlink="">
      <xdr:nvSpPr>
        <xdr:cNvPr id="312463" name="Text Box 143" hidden="1">
          <a:extLst>
            <a:ext uri="{FF2B5EF4-FFF2-40B4-BE49-F238E27FC236}">
              <a16:creationId xmlns:a16="http://schemas.microsoft.com/office/drawing/2014/main" id="{E2061A42-ADE5-F57C-2817-B1F895E02F7E}"/>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102419</xdr:rowOff>
    </xdr:from>
    <xdr:to>
      <xdr:col>5</xdr:col>
      <xdr:colOff>105335</xdr:colOff>
      <xdr:row>74</xdr:row>
      <xdr:rowOff>12628</xdr:rowOff>
    </xdr:to>
    <xdr:sp macro="" textlink="">
      <xdr:nvSpPr>
        <xdr:cNvPr id="312462" name="Text Box 142" hidden="1">
          <a:extLst>
            <a:ext uri="{FF2B5EF4-FFF2-40B4-BE49-F238E27FC236}">
              <a16:creationId xmlns:a16="http://schemas.microsoft.com/office/drawing/2014/main" id="{8F453C92-FCF0-4D18-51E0-DE894F5E5DF9}"/>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275662</xdr:rowOff>
    </xdr:from>
    <xdr:to>
      <xdr:col>5</xdr:col>
      <xdr:colOff>105335</xdr:colOff>
      <xdr:row>75</xdr:row>
      <xdr:rowOff>44734</xdr:rowOff>
    </xdr:to>
    <xdr:sp macro="" textlink="">
      <xdr:nvSpPr>
        <xdr:cNvPr id="312461" name="Text Box 141" hidden="1">
          <a:extLst>
            <a:ext uri="{FF2B5EF4-FFF2-40B4-BE49-F238E27FC236}">
              <a16:creationId xmlns:a16="http://schemas.microsoft.com/office/drawing/2014/main" id="{D1CFB6AB-F62C-4861-5253-59152F41259A}"/>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9940</xdr:rowOff>
    </xdr:from>
    <xdr:to>
      <xdr:col>5</xdr:col>
      <xdr:colOff>105335</xdr:colOff>
      <xdr:row>96</xdr:row>
      <xdr:rowOff>114225</xdr:rowOff>
    </xdr:to>
    <xdr:sp macro="" textlink="">
      <xdr:nvSpPr>
        <xdr:cNvPr id="312460" name="Text Box 140" hidden="1">
          <a:extLst>
            <a:ext uri="{FF2B5EF4-FFF2-40B4-BE49-F238E27FC236}">
              <a16:creationId xmlns:a16="http://schemas.microsoft.com/office/drawing/2014/main" id="{6D348F64-9BD5-E0B9-2E72-F172C9BB3625}"/>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171599</xdr:rowOff>
    </xdr:from>
    <xdr:to>
      <xdr:col>5</xdr:col>
      <xdr:colOff>105335</xdr:colOff>
      <xdr:row>96</xdr:row>
      <xdr:rowOff>114225</xdr:rowOff>
    </xdr:to>
    <xdr:sp macro="" textlink="">
      <xdr:nvSpPr>
        <xdr:cNvPr id="312459" name="Text Box 139" hidden="1">
          <a:extLst>
            <a:ext uri="{FF2B5EF4-FFF2-40B4-BE49-F238E27FC236}">
              <a16:creationId xmlns:a16="http://schemas.microsoft.com/office/drawing/2014/main" id="{2818E02D-DA51-199A-1C2E-09234F60242F}"/>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10933</xdr:rowOff>
    </xdr:from>
    <xdr:to>
      <xdr:col>5</xdr:col>
      <xdr:colOff>105335</xdr:colOff>
      <xdr:row>96</xdr:row>
      <xdr:rowOff>114225</xdr:rowOff>
    </xdr:to>
    <xdr:sp macro="" textlink="">
      <xdr:nvSpPr>
        <xdr:cNvPr id="312458" name="Text Box 138" hidden="1">
          <a:extLst>
            <a:ext uri="{FF2B5EF4-FFF2-40B4-BE49-F238E27FC236}">
              <a16:creationId xmlns:a16="http://schemas.microsoft.com/office/drawing/2014/main" id="{417BF8A8-CED5-FF4D-C4FD-BF0BF89E7A48}"/>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126027</xdr:rowOff>
    </xdr:from>
    <xdr:to>
      <xdr:col>5</xdr:col>
      <xdr:colOff>105335</xdr:colOff>
      <xdr:row>96</xdr:row>
      <xdr:rowOff>114225</xdr:rowOff>
    </xdr:to>
    <xdr:sp macro="" textlink="">
      <xdr:nvSpPr>
        <xdr:cNvPr id="312457" name="Text Box 137" hidden="1">
          <a:extLst>
            <a:ext uri="{FF2B5EF4-FFF2-40B4-BE49-F238E27FC236}">
              <a16:creationId xmlns:a16="http://schemas.microsoft.com/office/drawing/2014/main" id="{803C42D5-C5CC-1851-DE36-1629EE010267}"/>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116</xdr:row>
      <xdr:rowOff>86982</xdr:rowOff>
    </xdr:from>
    <xdr:to>
      <xdr:col>21</xdr:col>
      <xdr:colOff>277541</xdr:colOff>
      <xdr:row>120</xdr:row>
      <xdr:rowOff>154534</xdr:rowOff>
    </xdr:to>
    <xdr:sp macro="" textlink="">
      <xdr:nvSpPr>
        <xdr:cNvPr id="312456" name="Text Box 136" hidden="1">
          <a:extLst>
            <a:ext uri="{FF2B5EF4-FFF2-40B4-BE49-F238E27FC236}">
              <a16:creationId xmlns:a16="http://schemas.microsoft.com/office/drawing/2014/main" id="{1B7361AC-F063-C0BC-C9FD-2ED3940D34FD}"/>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14</xdr:row>
      <xdr:rowOff>95250</xdr:rowOff>
    </xdr:from>
    <xdr:to>
      <xdr:col>22</xdr:col>
      <xdr:colOff>448990</xdr:colOff>
      <xdr:row>18</xdr:row>
      <xdr:rowOff>86518</xdr:rowOff>
    </xdr:to>
    <xdr:sp macro="" textlink="">
      <xdr:nvSpPr>
        <xdr:cNvPr id="312455" name="Text Box 135" hidden="1">
          <a:extLst>
            <a:ext uri="{FF2B5EF4-FFF2-40B4-BE49-F238E27FC236}">
              <a16:creationId xmlns:a16="http://schemas.microsoft.com/office/drawing/2014/main" id="{7AF7C879-429A-9C1A-B63C-9032FC37A07B}"/>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23</xdr:row>
      <xdr:rowOff>16373</xdr:rowOff>
    </xdr:from>
    <xdr:to>
      <xdr:col>22</xdr:col>
      <xdr:colOff>448990</xdr:colOff>
      <xdr:row>27</xdr:row>
      <xdr:rowOff>65025</xdr:rowOff>
    </xdr:to>
    <xdr:sp macro="" textlink="">
      <xdr:nvSpPr>
        <xdr:cNvPr id="312454" name="Text Box 134" hidden="1">
          <a:extLst>
            <a:ext uri="{FF2B5EF4-FFF2-40B4-BE49-F238E27FC236}">
              <a16:creationId xmlns:a16="http://schemas.microsoft.com/office/drawing/2014/main" id="{25F6315A-DE7C-AE21-9B36-57BDBE98B5C3}"/>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120</xdr:row>
      <xdr:rowOff>125813</xdr:rowOff>
    </xdr:from>
    <xdr:to>
      <xdr:col>22</xdr:col>
      <xdr:colOff>448990</xdr:colOff>
      <xdr:row>124</xdr:row>
      <xdr:rowOff>84831</xdr:rowOff>
    </xdr:to>
    <xdr:sp macro="" textlink="">
      <xdr:nvSpPr>
        <xdr:cNvPr id="312453" name="Text Box 133" hidden="1">
          <a:extLst>
            <a:ext uri="{FF2B5EF4-FFF2-40B4-BE49-F238E27FC236}">
              <a16:creationId xmlns:a16="http://schemas.microsoft.com/office/drawing/2014/main" id="{D35B94F4-CAC4-28F5-F853-621B706E9E0C}"/>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375860" name="Text Box 52" hidden="1">
          <a:extLst>
            <a:ext uri="{FF2B5EF4-FFF2-40B4-BE49-F238E27FC236}">
              <a16:creationId xmlns:a16="http://schemas.microsoft.com/office/drawing/2014/main" id="{9BB0D879-7766-BA29-C5CD-2B2FF210C313}"/>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46438</xdr:rowOff>
    </xdr:from>
    <xdr:to>
      <xdr:col>5</xdr:col>
      <xdr:colOff>105335</xdr:colOff>
      <xdr:row>221</xdr:row>
      <xdr:rowOff>50407</xdr:rowOff>
    </xdr:to>
    <xdr:sp macro="" textlink="">
      <xdr:nvSpPr>
        <xdr:cNvPr id="375859" name="Text Box 51" hidden="1">
          <a:extLst>
            <a:ext uri="{FF2B5EF4-FFF2-40B4-BE49-F238E27FC236}">
              <a16:creationId xmlns:a16="http://schemas.microsoft.com/office/drawing/2014/main" id="{54AF25F4-1B9B-1D56-BB9C-4EAAB778397E}"/>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10336</xdr:rowOff>
    </xdr:from>
    <xdr:to>
      <xdr:col>5</xdr:col>
      <xdr:colOff>105335</xdr:colOff>
      <xdr:row>220</xdr:row>
      <xdr:rowOff>149627</xdr:rowOff>
    </xdr:to>
    <xdr:sp macro="" textlink="">
      <xdr:nvSpPr>
        <xdr:cNvPr id="375858" name="Text Box 50" hidden="1">
          <a:extLst>
            <a:ext uri="{FF2B5EF4-FFF2-40B4-BE49-F238E27FC236}">
              <a16:creationId xmlns:a16="http://schemas.microsoft.com/office/drawing/2014/main" id="{779D5990-8C31-E68F-BA0D-420FBC8D4C31}"/>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10337</xdr:rowOff>
    </xdr:from>
    <xdr:to>
      <xdr:col>5</xdr:col>
      <xdr:colOff>105335</xdr:colOff>
      <xdr:row>222</xdr:row>
      <xdr:rowOff>50407</xdr:rowOff>
    </xdr:to>
    <xdr:sp macro="" textlink="">
      <xdr:nvSpPr>
        <xdr:cNvPr id="375857" name="Text Box 49" hidden="1">
          <a:extLst>
            <a:ext uri="{FF2B5EF4-FFF2-40B4-BE49-F238E27FC236}">
              <a16:creationId xmlns:a16="http://schemas.microsoft.com/office/drawing/2014/main" id="{13F168C6-C549-C884-27AF-AE275C8A29E2}"/>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10337</xdr:rowOff>
    </xdr:from>
    <xdr:to>
      <xdr:col>5</xdr:col>
      <xdr:colOff>105335</xdr:colOff>
      <xdr:row>209</xdr:row>
      <xdr:rowOff>149626</xdr:rowOff>
    </xdr:to>
    <xdr:sp macro="" textlink="">
      <xdr:nvSpPr>
        <xdr:cNvPr id="375856" name="Text Box 48" hidden="1">
          <a:extLst>
            <a:ext uri="{FF2B5EF4-FFF2-40B4-BE49-F238E27FC236}">
              <a16:creationId xmlns:a16="http://schemas.microsoft.com/office/drawing/2014/main" id="{41CB1053-87EA-1F97-5CAB-7611510B4E8B}"/>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181</xdr:row>
      <xdr:rowOff>84538</xdr:rowOff>
    </xdr:from>
    <xdr:to>
      <xdr:col>5</xdr:col>
      <xdr:colOff>105335</xdr:colOff>
      <xdr:row>187</xdr:row>
      <xdr:rowOff>65489</xdr:rowOff>
    </xdr:to>
    <xdr:sp macro="" textlink="">
      <xdr:nvSpPr>
        <xdr:cNvPr id="375855" name="Text Box 47" hidden="1">
          <a:extLst>
            <a:ext uri="{FF2B5EF4-FFF2-40B4-BE49-F238E27FC236}">
              <a16:creationId xmlns:a16="http://schemas.microsoft.com/office/drawing/2014/main" id="{005B4CBF-F7B7-DC20-0026-D830EF4317D1}"/>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7955</xdr:rowOff>
    </xdr:from>
    <xdr:to>
      <xdr:col>5</xdr:col>
      <xdr:colOff>105335</xdr:colOff>
      <xdr:row>188</xdr:row>
      <xdr:rowOff>125927</xdr:rowOff>
    </xdr:to>
    <xdr:sp macro="" textlink="">
      <xdr:nvSpPr>
        <xdr:cNvPr id="375854" name="Text Box 46" hidden="1">
          <a:extLst>
            <a:ext uri="{FF2B5EF4-FFF2-40B4-BE49-F238E27FC236}">
              <a16:creationId xmlns:a16="http://schemas.microsoft.com/office/drawing/2014/main" id="{8F18C1EC-D132-4BCA-E42D-773377474E4D}"/>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149626</xdr:rowOff>
    </xdr:from>
    <xdr:to>
      <xdr:col>5</xdr:col>
      <xdr:colOff>105335</xdr:colOff>
      <xdr:row>189</xdr:row>
      <xdr:rowOff>103589</xdr:rowOff>
    </xdr:to>
    <xdr:sp macro="" textlink="">
      <xdr:nvSpPr>
        <xdr:cNvPr id="375853" name="Text Box 45" hidden="1">
          <a:extLst>
            <a:ext uri="{FF2B5EF4-FFF2-40B4-BE49-F238E27FC236}">
              <a16:creationId xmlns:a16="http://schemas.microsoft.com/office/drawing/2014/main" id="{030225DF-20C9-D1E5-9D1E-D0EBBE44AAF7}"/>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103589</xdr:rowOff>
    </xdr:from>
    <xdr:to>
      <xdr:col>5</xdr:col>
      <xdr:colOff>105335</xdr:colOff>
      <xdr:row>196</xdr:row>
      <xdr:rowOff>67076</xdr:rowOff>
    </xdr:to>
    <xdr:sp macro="" textlink="">
      <xdr:nvSpPr>
        <xdr:cNvPr id="375852" name="Text Box 44" hidden="1">
          <a:extLst>
            <a:ext uri="{FF2B5EF4-FFF2-40B4-BE49-F238E27FC236}">
              <a16:creationId xmlns:a16="http://schemas.microsoft.com/office/drawing/2014/main" id="{C9F84F35-4BEC-8000-089F-60F1B2525BFD}"/>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103981</xdr:rowOff>
    </xdr:from>
    <xdr:to>
      <xdr:col>5</xdr:col>
      <xdr:colOff>105335</xdr:colOff>
      <xdr:row>53</xdr:row>
      <xdr:rowOff>313065</xdr:rowOff>
    </xdr:to>
    <xdr:sp macro="" textlink="">
      <xdr:nvSpPr>
        <xdr:cNvPr id="375851" name="Text Box 43" hidden="1">
          <a:extLst>
            <a:ext uri="{FF2B5EF4-FFF2-40B4-BE49-F238E27FC236}">
              <a16:creationId xmlns:a16="http://schemas.microsoft.com/office/drawing/2014/main" id="{569BDF41-FC98-5D04-FCC0-C9C57A1DBAAC}"/>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103981</xdr:rowOff>
    </xdr:from>
    <xdr:to>
      <xdr:col>5</xdr:col>
      <xdr:colOff>105335</xdr:colOff>
      <xdr:row>55</xdr:row>
      <xdr:rowOff>7256</xdr:rowOff>
    </xdr:to>
    <xdr:sp macro="" textlink="">
      <xdr:nvSpPr>
        <xdr:cNvPr id="375850" name="Text Box 42" hidden="1">
          <a:extLst>
            <a:ext uri="{FF2B5EF4-FFF2-40B4-BE49-F238E27FC236}">
              <a16:creationId xmlns:a16="http://schemas.microsoft.com/office/drawing/2014/main" id="{946AF4FC-C6A5-CFD5-7106-2DD8A0F2CC41}"/>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236865</xdr:rowOff>
    </xdr:from>
    <xdr:to>
      <xdr:col>5</xdr:col>
      <xdr:colOff>105335</xdr:colOff>
      <xdr:row>55</xdr:row>
      <xdr:rowOff>303110</xdr:rowOff>
    </xdr:to>
    <xdr:sp macro="" textlink="">
      <xdr:nvSpPr>
        <xdr:cNvPr id="375849" name="Text Box 41" hidden="1">
          <a:extLst>
            <a:ext uri="{FF2B5EF4-FFF2-40B4-BE49-F238E27FC236}">
              <a16:creationId xmlns:a16="http://schemas.microsoft.com/office/drawing/2014/main" id="{934DBEBB-6A49-8579-BA58-59F7C1E1FD39}"/>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274965</xdr:rowOff>
    </xdr:from>
    <xdr:to>
      <xdr:col>5</xdr:col>
      <xdr:colOff>105335</xdr:colOff>
      <xdr:row>57</xdr:row>
      <xdr:rowOff>199573</xdr:rowOff>
    </xdr:to>
    <xdr:sp macro="" textlink="">
      <xdr:nvSpPr>
        <xdr:cNvPr id="375848" name="Text Box 40" hidden="1">
          <a:extLst>
            <a:ext uri="{FF2B5EF4-FFF2-40B4-BE49-F238E27FC236}">
              <a16:creationId xmlns:a16="http://schemas.microsoft.com/office/drawing/2014/main" id="{F65A18DB-EDD8-7D4F-2AE5-042C3189403A}"/>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26306</xdr:rowOff>
    </xdr:from>
    <xdr:to>
      <xdr:col>5</xdr:col>
      <xdr:colOff>105335</xdr:colOff>
      <xdr:row>61</xdr:row>
      <xdr:rowOff>106045</xdr:rowOff>
    </xdr:to>
    <xdr:sp macro="" textlink="">
      <xdr:nvSpPr>
        <xdr:cNvPr id="375847" name="Text Box 39" hidden="1">
          <a:extLst>
            <a:ext uri="{FF2B5EF4-FFF2-40B4-BE49-F238E27FC236}">
              <a16:creationId xmlns:a16="http://schemas.microsoft.com/office/drawing/2014/main" id="{E4B1E98E-FB5F-2FEE-81EF-2AC28E6DF417}"/>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10379</xdr:rowOff>
    </xdr:from>
    <xdr:to>
      <xdr:col>5</xdr:col>
      <xdr:colOff>105335</xdr:colOff>
      <xdr:row>71</xdr:row>
      <xdr:rowOff>173050</xdr:rowOff>
    </xdr:to>
    <xdr:sp macro="" textlink="">
      <xdr:nvSpPr>
        <xdr:cNvPr id="375846" name="Text Box 38" hidden="1">
          <a:extLst>
            <a:ext uri="{FF2B5EF4-FFF2-40B4-BE49-F238E27FC236}">
              <a16:creationId xmlns:a16="http://schemas.microsoft.com/office/drawing/2014/main" id="{642D6D38-7351-AFDB-C370-BAA4B457F522}"/>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162834</xdr:rowOff>
    </xdr:from>
    <xdr:to>
      <xdr:col>5</xdr:col>
      <xdr:colOff>105335</xdr:colOff>
      <xdr:row>73</xdr:row>
      <xdr:rowOff>6370</xdr:rowOff>
    </xdr:to>
    <xdr:sp macro="" textlink="">
      <xdr:nvSpPr>
        <xdr:cNvPr id="375845" name="Text Box 37" hidden="1">
          <a:extLst>
            <a:ext uri="{FF2B5EF4-FFF2-40B4-BE49-F238E27FC236}">
              <a16:creationId xmlns:a16="http://schemas.microsoft.com/office/drawing/2014/main" id="{E6C71401-D8A1-0CD0-CAD0-688236CF87C3}"/>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102419</xdr:rowOff>
    </xdr:from>
    <xdr:to>
      <xdr:col>5</xdr:col>
      <xdr:colOff>105335</xdr:colOff>
      <xdr:row>74</xdr:row>
      <xdr:rowOff>12628</xdr:rowOff>
    </xdr:to>
    <xdr:sp macro="" textlink="">
      <xdr:nvSpPr>
        <xdr:cNvPr id="375844" name="Text Box 36" hidden="1">
          <a:extLst>
            <a:ext uri="{FF2B5EF4-FFF2-40B4-BE49-F238E27FC236}">
              <a16:creationId xmlns:a16="http://schemas.microsoft.com/office/drawing/2014/main" id="{33FFD8A1-E924-1101-4800-F64DDD925916}"/>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275662</xdr:rowOff>
    </xdr:from>
    <xdr:to>
      <xdr:col>5</xdr:col>
      <xdr:colOff>105335</xdr:colOff>
      <xdr:row>75</xdr:row>
      <xdr:rowOff>44734</xdr:rowOff>
    </xdr:to>
    <xdr:sp macro="" textlink="">
      <xdr:nvSpPr>
        <xdr:cNvPr id="375843" name="Text Box 35" hidden="1">
          <a:extLst>
            <a:ext uri="{FF2B5EF4-FFF2-40B4-BE49-F238E27FC236}">
              <a16:creationId xmlns:a16="http://schemas.microsoft.com/office/drawing/2014/main" id="{A2A88B2E-F1EA-023F-2A37-2C0517D30844}"/>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9940</xdr:rowOff>
    </xdr:from>
    <xdr:to>
      <xdr:col>5</xdr:col>
      <xdr:colOff>105335</xdr:colOff>
      <xdr:row>96</xdr:row>
      <xdr:rowOff>114225</xdr:rowOff>
    </xdr:to>
    <xdr:sp macro="" textlink="">
      <xdr:nvSpPr>
        <xdr:cNvPr id="375842" name="Text Box 34" hidden="1">
          <a:extLst>
            <a:ext uri="{FF2B5EF4-FFF2-40B4-BE49-F238E27FC236}">
              <a16:creationId xmlns:a16="http://schemas.microsoft.com/office/drawing/2014/main" id="{999D79A8-53E4-362E-D424-2662B60C6319}"/>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171599</xdr:rowOff>
    </xdr:from>
    <xdr:to>
      <xdr:col>5</xdr:col>
      <xdr:colOff>105335</xdr:colOff>
      <xdr:row>96</xdr:row>
      <xdr:rowOff>114225</xdr:rowOff>
    </xdr:to>
    <xdr:sp macro="" textlink="">
      <xdr:nvSpPr>
        <xdr:cNvPr id="375841" name="Text Box 33" hidden="1">
          <a:extLst>
            <a:ext uri="{FF2B5EF4-FFF2-40B4-BE49-F238E27FC236}">
              <a16:creationId xmlns:a16="http://schemas.microsoft.com/office/drawing/2014/main" id="{6B07B8A8-383C-E12D-6D2B-EE5B7C85D185}"/>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10933</xdr:rowOff>
    </xdr:from>
    <xdr:to>
      <xdr:col>5</xdr:col>
      <xdr:colOff>105335</xdr:colOff>
      <xdr:row>96</xdr:row>
      <xdr:rowOff>114225</xdr:rowOff>
    </xdr:to>
    <xdr:sp macro="" textlink="">
      <xdr:nvSpPr>
        <xdr:cNvPr id="375840" name="Text Box 32" hidden="1">
          <a:extLst>
            <a:ext uri="{FF2B5EF4-FFF2-40B4-BE49-F238E27FC236}">
              <a16:creationId xmlns:a16="http://schemas.microsoft.com/office/drawing/2014/main" id="{E42AC223-9CCD-C156-9EEB-702DF63A4468}"/>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126027</xdr:rowOff>
    </xdr:from>
    <xdr:to>
      <xdr:col>5</xdr:col>
      <xdr:colOff>105335</xdr:colOff>
      <xdr:row>96</xdr:row>
      <xdr:rowOff>114225</xdr:rowOff>
    </xdr:to>
    <xdr:sp macro="" textlink="">
      <xdr:nvSpPr>
        <xdr:cNvPr id="375839" name="Text Box 31" hidden="1">
          <a:extLst>
            <a:ext uri="{FF2B5EF4-FFF2-40B4-BE49-F238E27FC236}">
              <a16:creationId xmlns:a16="http://schemas.microsoft.com/office/drawing/2014/main" id="{E0DA22E3-BFF2-BE25-0190-DB4AAAFDF07B}"/>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116</xdr:row>
      <xdr:rowOff>86982</xdr:rowOff>
    </xdr:from>
    <xdr:to>
      <xdr:col>21</xdr:col>
      <xdr:colOff>277541</xdr:colOff>
      <xdr:row>120</xdr:row>
      <xdr:rowOff>154534</xdr:rowOff>
    </xdr:to>
    <xdr:sp macro="" textlink="">
      <xdr:nvSpPr>
        <xdr:cNvPr id="375838" name="Text Box 30" hidden="1">
          <a:extLst>
            <a:ext uri="{FF2B5EF4-FFF2-40B4-BE49-F238E27FC236}">
              <a16:creationId xmlns:a16="http://schemas.microsoft.com/office/drawing/2014/main" id="{8884078D-B363-5302-AF76-DEAF3C9BB4E3}"/>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14</xdr:row>
      <xdr:rowOff>95250</xdr:rowOff>
    </xdr:from>
    <xdr:to>
      <xdr:col>22</xdr:col>
      <xdr:colOff>448990</xdr:colOff>
      <xdr:row>18</xdr:row>
      <xdr:rowOff>86518</xdr:rowOff>
    </xdr:to>
    <xdr:sp macro="" textlink="">
      <xdr:nvSpPr>
        <xdr:cNvPr id="375837" name="Text Box 29" hidden="1">
          <a:extLst>
            <a:ext uri="{FF2B5EF4-FFF2-40B4-BE49-F238E27FC236}">
              <a16:creationId xmlns:a16="http://schemas.microsoft.com/office/drawing/2014/main" id="{C3A613E3-05E9-F80A-1D9A-80788981F5A4}"/>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23</xdr:row>
      <xdr:rowOff>16373</xdr:rowOff>
    </xdr:from>
    <xdr:to>
      <xdr:col>22</xdr:col>
      <xdr:colOff>448990</xdr:colOff>
      <xdr:row>27</xdr:row>
      <xdr:rowOff>65025</xdr:rowOff>
    </xdr:to>
    <xdr:sp macro="" textlink="">
      <xdr:nvSpPr>
        <xdr:cNvPr id="375836" name="Text Box 28" hidden="1">
          <a:extLst>
            <a:ext uri="{FF2B5EF4-FFF2-40B4-BE49-F238E27FC236}">
              <a16:creationId xmlns:a16="http://schemas.microsoft.com/office/drawing/2014/main" id="{6DE4DCD4-4056-F9F2-F0B8-05E28EE17480}"/>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120</xdr:row>
      <xdr:rowOff>125813</xdr:rowOff>
    </xdr:from>
    <xdr:to>
      <xdr:col>22</xdr:col>
      <xdr:colOff>448990</xdr:colOff>
      <xdr:row>124</xdr:row>
      <xdr:rowOff>84831</xdr:rowOff>
    </xdr:to>
    <xdr:sp macro="" textlink="">
      <xdr:nvSpPr>
        <xdr:cNvPr id="375835" name="Text Box 27" hidden="1">
          <a:extLst>
            <a:ext uri="{FF2B5EF4-FFF2-40B4-BE49-F238E27FC236}">
              <a16:creationId xmlns:a16="http://schemas.microsoft.com/office/drawing/2014/main" id="{E9E26D3B-0228-E004-9E0F-0626BA833C9F}"/>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6</xdr:row>
      <xdr:rowOff>114300</xdr:rowOff>
    </xdr:from>
    <xdr:to>
      <xdr:col>18</xdr:col>
      <xdr:colOff>238221</xdr:colOff>
      <xdr:row>10</xdr:row>
      <xdr:rowOff>152400</xdr:rowOff>
    </xdr:to>
    <xdr:sp macro="" textlink="">
      <xdr:nvSpPr>
        <xdr:cNvPr id="375834" name="Text Box 26" hidden="1">
          <a:extLst>
            <a:ext uri="{FF2B5EF4-FFF2-40B4-BE49-F238E27FC236}">
              <a16:creationId xmlns:a16="http://schemas.microsoft.com/office/drawing/2014/main" id="{3022296A-0C69-DA5A-90A2-95EABD49BF41}"/>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46438</xdr:rowOff>
    </xdr:from>
    <xdr:to>
      <xdr:col>5</xdr:col>
      <xdr:colOff>105335</xdr:colOff>
      <xdr:row>221</xdr:row>
      <xdr:rowOff>50407</xdr:rowOff>
    </xdr:to>
    <xdr:sp macro="" textlink="">
      <xdr:nvSpPr>
        <xdr:cNvPr id="375833" name="Text Box 25" hidden="1">
          <a:extLst>
            <a:ext uri="{FF2B5EF4-FFF2-40B4-BE49-F238E27FC236}">
              <a16:creationId xmlns:a16="http://schemas.microsoft.com/office/drawing/2014/main" id="{4B5C7AF0-2BB6-1684-4C1C-B37C6082236E}"/>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10336</xdr:rowOff>
    </xdr:from>
    <xdr:to>
      <xdr:col>5</xdr:col>
      <xdr:colOff>105335</xdr:colOff>
      <xdr:row>220</xdr:row>
      <xdr:rowOff>149627</xdr:rowOff>
    </xdr:to>
    <xdr:sp macro="" textlink="">
      <xdr:nvSpPr>
        <xdr:cNvPr id="375832" name="Text Box 24" hidden="1">
          <a:extLst>
            <a:ext uri="{FF2B5EF4-FFF2-40B4-BE49-F238E27FC236}">
              <a16:creationId xmlns:a16="http://schemas.microsoft.com/office/drawing/2014/main" id="{822FD925-FFB5-0DD3-AA2B-A1C26DDABCDF}"/>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10337</xdr:rowOff>
    </xdr:from>
    <xdr:to>
      <xdr:col>5</xdr:col>
      <xdr:colOff>105335</xdr:colOff>
      <xdr:row>222</xdr:row>
      <xdr:rowOff>50407</xdr:rowOff>
    </xdr:to>
    <xdr:sp macro="" textlink="">
      <xdr:nvSpPr>
        <xdr:cNvPr id="375831" name="Text Box 23" hidden="1">
          <a:extLst>
            <a:ext uri="{FF2B5EF4-FFF2-40B4-BE49-F238E27FC236}">
              <a16:creationId xmlns:a16="http://schemas.microsoft.com/office/drawing/2014/main" id="{1138CCD9-A4C9-5598-7FFD-268B1A3B461D}"/>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10337</xdr:rowOff>
    </xdr:from>
    <xdr:to>
      <xdr:col>5</xdr:col>
      <xdr:colOff>105335</xdr:colOff>
      <xdr:row>209</xdr:row>
      <xdr:rowOff>149626</xdr:rowOff>
    </xdr:to>
    <xdr:sp macro="" textlink="">
      <xdr:nvSpPr>
        <xdr:cNvPr id="375830" name="Text Box 22" hidden="1">
          <a:extLst>
            <a:ext uri="{FF2B5EF4-FFF2-40B4-BE49-F238E27FC236}">
              <a16:creationId xmlns:a16="http://schemas.microsoft.com/office/drawing/2014/main" id="{9E35B8A7-E487-D549-B0C8-31DF93668931}"/>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181</xdr:row>
      <xdr:rowOff>84538</xdr:rowOff>
    </xdr:from>
    <xdr:to>
      <xdr:col>5</xdr:col>
      <xdr:colOff>105335</xdr:colOff>
      <xdr:row>187</xdr:row>
      <xdr:rowOff>65489</xdr:rowOff>
    </xdr:to>
    <xdr:sp macro="" textlink="">
      <xdr:nvSpPr>
        <xdr:cNvPr id="375829" name="Text Box 21" hidden="1">
          <a:extLst>
            <a:ext uri="{FF2B5EF4-FFF2-40B4-BE49-F238E27FC236}">
              <a16:creationId xmlns:a16="http://schemas.microsoft.com/office/drawing/2014/main" id="{99B33BD4-3440-CA33-3C4A-CE3154F76FF6}"/>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7955</xdr:rowOff>
    </xdr:from>
    <xdr:to>
      <xdr:col>5</xdr:col>
      <xdr:colOff>105335</xdr:colOff>
      <xdr:row>188</xdr:row>
      <xdr:rowOff>125927</xdr:rowOff>
    </xdr:to>
    <xdr:sp macro="" textlink="">
      <xdr:nvSpPr>
        <xdr:cNvPr id="375828" name="Text Box 20" hidden="1">
          <a:extLst>
            <a:ext uri="{FF2B5EF4-FFF2-40B4-BE49-F238E27FC236}">
              <a16:creationId xmlns:a16="http://schemas.microsoft.com/office/drawing/2014/main" id="{3BEC16E4-FBBB-C88C-CB90-7A5FF6F2F2F1}"/>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149626</xdr:rowOff>
    </xdr:from>
    <xdr:to>
      <xdr:col>5</xdr:col>
      <xdr:colOff>105335</xdr:colOff>
      <xdr:row>189</xdr:row>
      <xdr:rowOff>103589</xdr:rowOff>
    </xdr:to>
    <xdr:sp macro="" textlink="">
      <xdr:nvSpPr>
        <xdr:cNvPr id="375827" name="Text Box 19" hidden="1">
          <a:extLst>
            <a:ext uri="{FF2B5EF4-FFF2-40B4-BE49-F238E27FC236}">
              <a16:creationId xmlns:a16="http://schemas.microsoft.com/office/drawing/2014/main" id="{69D4C724-0434-13A7-4863-5BC7E9EBE0A3}"/>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103589</xdr:rowOff>
    </xdr:from>
    <xdr:to>
      <xdr:col>5</xdr:col>
      <xdr:colOff>105335</xdr:colOff>
      <xdr:row>196</xdr:row>
      <xdr:rowOff>67076</xdr:rowOff>
    </xdr:to>
    <xdr:sp macro="" textlink="">
      <xdr:nvSpPr>
        <xdr:cNvPr id="375826" name="Text Box 18" hidden="1">
          <a:extLst>
            <a:ext uri="{FF2B5EF4-FFF2-40B4-BE49-F238E27FC236}">
              <a16:creationId xmlns:a16="http://schemas.microsoft.com/office/drawing/2014/main" id="{63D9F8BC-F3B6-A0AD-C16F-07A03249B59F}"/>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103981</xdr:rowOff>
    </xdr:from>
    <xdr:to>
      <xdr:col>5</xdr:col>
      <xdr:colOff>105335</xdr:colOff>
      <xdr:row>53</xdr:row>
      <xdr:rowOff>313065</xdr:rowOff>
    </xdr:to>
    <xdr:sp macro="" textlink="">
      <xdr:nvSpPr>
        <xdr:cNvPr id="375825" name="Text Box 17" hidden="1">
          <a:extLst>
            <a:ext uri="{FF2B5EF4-FFF2-40B4-BE49-F238E27FC236}">
              <a16:creationId xmlns:a16="http://schemas.microsoft.com/office/drawing/2014/main" id="{CC35A40E-81DD-A5DA-22F6-D625E6E03329}"/>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103981</xdr:rowOff>
    </xdr:from>
    <xdr:to>
      <xdr:col>5</xdr:col>
      <xdr:colOff>105335</xdr:colOff>
      <xdr:row>55</xdr:row>
      <xdr:rowOff>7256</xdr:rowOff>
    </xdr:to>
    <xdr:sp macro="" textlink="">
      <xdr:nvSpPr>
        <xdr:cNvPr id="375824" name="Text Box 16" hidden="1">
          <a:extLst>
            <a:ext uri="{FF2B5EF4-FFF2-40B4-BE49-F238E27FC236}">
              <a16:creationId xmlns:a16="http://schemas.microsoft.com/office/drawing/2014/main" id="{5253BBB6-1743-BAF3-93B4-67ED2F7BDB4F}"/>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236865</xdr:rowOff>
    </xdr:from>
    <xdr:to>
      <xdr:col>5</xdr:col>
      <xdr:colOff>105335</xdr:colOff>
      <xdr:row>55</xdr:row>
      <xdr:rowOff>303110</xdr:rowOff>
    </xdr:to>
    <xdr:sp macro="" textlink="">
      <xdr:nvSpPr>
        <xdr:cNvPr id="375823" name="Text Box 15" hidden="1">
          <a:extLst>
            <a:ext uri="{FF2B5EF4-FFF2-40B4-BE49-F238E27FC236}">
              <a16:creationId xmlns:a16="http://schemas.microsoft.com/office/drawing/2014/main" id="{C9453DAD-4746-C17A-6C43-FAF0A0E7156B}"/>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274965</xdr:rowOff>
    </xdr:from>
    <xdr:to>
      <xdr:col>5</xdr:col>
      <xdr:colOff>105335</xdr:colOff>
      <xdr:row>57</xdr:row>
      <xdr:rowOff>199573</xdr:rowOff>
    </xdr:to>
    <xdr:sp macro="" textlink="">
      <xdr:nvSpPr>
        <xdr:cNvPr id="375822" name="Text Box 14" hidden="1">
          <a:extLst>
            <a:ext uri="{FF2B5EF4-FFF2-40B4-BE49-F238E27FC236}">
              <a16:creationId xmlns:a16="http://schemas.microsoft.com/office/drawing/2014/main" id="{34B97C51-8DC3-26E0-2DFB-0A2EFF617730}"/>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26306</xdr:rowOff>
    </xdr:from>
    <xdr:to>
      <xdr:col>5</xdr:col>
      <xdr:colOff>105335</xdr:colOff>
      <xdr:row>61</xdr:row>
      <xdr:rowOff>106045</xdr:rowOff>
    </xdr:to>
    <xdr:sp macro="" textlink="">
      <xdr:nvSpPr>
        <xdr:cNvPr id="375821" name="Text Box 13" hidden="1">
          <a:extLst>
            <a:ext uri="{FF2B5EF4-FFF2-40B4-BE49-F238E27FC236}">
              <a16:creationId xmlns:a16="http://schemas.microsoft.com/office/drawing/2014/main" id="{AE465D29-72E9-B30C-E3D3-D80C358A4E6A}"/>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10379</xdr:rowOff>
    </xdr:from>
    <xdr:to>
      <xdr:col>5</xdr:col>
      <xdr:colOff>105335</xdr:colOff>
      <xdr:row>71</xdr:row>
      <xdr:rowOff>173050</xdr:rowOff>
    </xdr:to>
    <xdr:sp macro="" textlink="">
      <xdr:nvSpPr>
        <xdr:cNvPr id="375820" name="Text Box 12" hidden="1">
          <a:extLst>
            <a:ext uri="{FF2B5EF4-FFF2-40B4-BE49-F238E27FC236}">
              <a16:creationId xmlns:a16="http://schemas.microsoft.com/office/drawing/2014/main" id="{A9D92175-0E83-3B46-5B3D-818F52B814A4}"/>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162834</xdr:rowOff>
    </xdr:from>
    <xdr:to>
      <xdr:col>5</xdr:col>
      <xdr:colOff>105335</xdr:colOff>
      <xdr:row>73</xdr:row>
      <xdr:rowOff>6370</xdr:rowOff>
    </xdr:to>
    <xdr:sp macro="" textlink="">
      <xdr:nvSpPr>
        <xdr:cNvPr id="375819" name="Text Box 11" hidden="1">
          <a:extLst>
            <a:ext uri="{FF2B5EF4-FFF2-40B4-BE49-F238E27FC236}">
              <a16:creationId xmlns:a16="http://schemas.microsoft.com/office/drawing/2014/main" id="{BA7C2936-8AB1-44BC-35E3-2D8D615D378F}"/>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102419</xdr:rowOff>
    </xdr:from>
    <xdr:to>
      <xdr:col>5</xdr:col>
      <xdr:colOff>105335</xdr:colOff>
      <xdr:row>74</xdr:row>
      <xdr:rowOff>12628</xdr:rowOff>
    </xdr:to>
    <xdr:sp macro="" textlink="">
      <xdr:nvSpPr>
        <xdr:cNvPr id="375818" name="Text Box 10" hidden="1">
          <a:extLst>
            <a:ext uri="{FF2B5EF4-FFF2-40B4-BE49-F238E27FC236}">
              <a16:creationId xmlns:a16="http://schemas.microsoft.com/office/drawing/2014/main" id="{480BF800-D1E6-EA02-8F41-0989E551A8A6}"/>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275662</xdr:rowOff>
    </xdr:from>
    <xdr:to>
      <xdr:col>5</xdr:col>
      <xdr:colOff>105335</xdr:colOff>
      <xdr:row>75</xdr:row>
      <xdr:rowOff>44734</xdr:rowOff>
    </xdr:to>
    <xdr:sp macro="" textlink="">
      <xdr:nvSpPr>
        <xdr:cNvPr id="375817" name="Text Box 9" hidden="1">
          <a:extLst>
            <a:ext uri="{FF2B5EF4-FFF2-40B4-BE49-F238E27FC236}">
              <a16:creationId xmlns:a16="http://schemas.microsoft.com/office/drawing/2014/main" id="{4FAB4BF9-6EB3-51CA-5A2A-33779128A38D}"/>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9940</xdr:rowOff>
    </xdr:from>
    <xdr:to>
      <xdr:col>5</xdr:col>
      <xdr:colOff>105335</xdr:colOff>
      <xdr:row>96</xdr:row>
      <xdr:rowOff>114225</xdr:rowOff>
    </xdr:to>
    <xdr:sp macro="" textlink="">
      <xdr:nvSpPr>
        <xdr:cNvPr id="375816" name="Text Box 8" hidden="1">
          <a:extLst>
            <a:ext uri="{FF2B5EF4-FFF2-40B4-BE49-F238E27FC236}">
              <a16:creationId xmlns:a16="http://schemas.microsoft.com/office/drawing/2014/main" id="{B912171B-B130-4FA3-F862-D62919EF310C}"/>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171599</xdr:rowOff>
    </xdr:from>
    <xdr:to>
      <xdr:col>5</xdr:col>
      <xdr:colOff>105335</xdr:colOff>
      <xdr:row>96</xdr:row>
      <xdr:rowOff>114225</xdr:rowOff>
    </xdr:to>
    <xdr:sp macro="" textlink="">
      <xdr:nvSpPr>
        <xdr:cNvPr id="375815" name="Text Box 7" hidden="1">
          <a:extLst>
            <a:ext uri="{FF2B5EF4-FFF2-40B4-BE49-F238E27FC236}">
              <a16:creationId xmlns:a16="http://schemas.microsoft.com/office/drawing/2014/main" id="{9ACD6825-9C4F-5283-524B-F2D630D53DE9}"/>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10933</xdr:rowOff>
    </xdr:from>
    <xdr:to>
      <xdr:col>5</xdr:col>
      <xdr:colOff>105335</xdr:colOff>
      <xdr:row>96</xdr:row>
      <xdr:rowOff>114225</xdr:rowOff>
    </xdr:to>
    <xdr:sp macro="" textlink="">
      <xdr:nvSpPr>
        <xdr:cNvPr id="375814" name="Text Box 6" hidden="1">
          <a:extLst>
            <a:ext uri="{FF2B5EF4-FFF2-40B4-BE49-F238E27FC236}">
              <a16:creationId xmlns:a16="http://schemas.microsoft.com/office/drawing/2014/main" id="{245EA03C-D59A-2EE6-7797-77B58C9B0C77}"/>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126027</xdr:rowOff>
    </xdr:from>
    <xdr:to>
      <xdr:col>5</xdr:col>
      <xdr:colOff>105335</xdr:colOff>
      <xdr:row>96</xdr:row>
      <xdr:rowOff>114225</xdr:rowOff>
    </xdr:to>
    <xdr:sp macro="" textlink="">
      <xdr:nvSpPr>
        <xdr:cNvPr id="375813" name="Text Box 5" hidden="1">
          <a:extLst>
            <a:ext uri="{FF2B5EF4-FFF2-40B4-BE49-F238E27FC236}">
              <a16:creationId xmlns:a16="http://schemas.microsoft.com/office/drawing/2014/main" id="{A6F89D68-CB6B-6CD8-F766-E9DD99A9EB96}"/>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116</xdr:row>
      <xdr:rowOff>86982</xdr:rowOff>
    </xdr:from>
    <xdr:to>
      <xdr:col>21</xdr:col>
      <xdr:colOff>277541</xdr:colOff>
      <xdr:row>120</xdr:row>
      <xdr:rowOff>154534</xdr:rowOff>
    </xdr:to>
    <xdr:sp macro="" textlink="">
      <xdr:nvSpPr>
        <xdr:cNvPr id="375812" name="Text Box 4" hidden="1">
          <a:extLst>
            <a:ext uri="{FF2B5EF4-FFF2-40B4-BE49-F238E27FC236}">
              <a16:creationId xmlns:a16="http://schemas.microsoft.com/office/drawing/2014/main" id="{64F9AA27-C9E4-7622-5D38-8A5C9C852838}"/>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14</xdr:row>
      <xdr:rowOff>95250</xdr:rowOff>
    </xdr:from>
    <xdr:to>
      <xdr:col>22</xdr:col>
      <xdr:colOff>448990</xdr:colOff>
      <xdr:row>18</xdr:row>
      <xdr:rowOff>86518</xdr:rowOff>
    </xdr:to>
    <xdr:sp macro="" textlink="">
      <xdr:nvSpPr>
        <xdr:cNvPr id="375811" name="Text Box 3" hidden="1">
          <a:extLst>
            <a:ext uri="{FF2B5EF4-FFF2-40B4-BE49-F238E27FC236}">
              <a16:creationId xmlns:a16="http://schemas.microsoft.com/office/drawing/2014/main" id="{240378C1-7DBF-144D-3F07-AA9AF848FFC3}"/>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23</xdr:row>
      <xdr:rowOff>16373</xdr:rowOff>
    </xdr:from>
    <xdr:to>
      <xdr:col>22</xdr:col>
      <xdr:colOff>448990</xdr:colOff>
      <xdr:row>27</xdr:row>
      <xdr:rowOff>65025</xdr:rowOff>
    </xdr:to>
    <xdr:sp macro="" textlink="">
      <xdr:nvSpPr>
        <xdr:cNvPr id="375810" name="Text Box 2" hidden="1">
          <a:extLst>
            <a:ext uri="{FF2B5EF4-FFF2-40B4-BE49-F238E27FC236}">
              <a16:creationId xmlns:a16="http://schemas.microsoft.com/office/drawing/2014/main" id="{F036D932-0543-954F-D851-6131B4CEFF98}"/>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120</xdr:row>
      <xdr:rowOff>125813</xdr:rowOff>
    </xdr:from>
    <xdr:to>
      <xdr:col>22</xdr:col>
      <xdr:colOff>448990</xdr:colOff>
      <xdr:row>124</xdr:row>
      <xdr:rowOff>84831</xdr:rowOff>
    </xdr:to>
    <xdr:sp macro="" textlink="">
      <xdr:nvSpPr>
        <xdr:cNvPr id="375809" name="Text Box 1" hidden="1">
          <a:extLst>
            <a:ext uri="{FF2B5EF4-FFF2-40B4-BE49-F238E27FC236}">
              <a16:creationId xmlns:a16="http://schemas.microsoft.com/office/drawing/2014/main" id="{04C33CE1-4E84-6780-DA42-711BAF590574}"/>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114300</xdr:rowOff>
    </xdr:from>
    <xdr:to>
      <xdr:col>18</xdr:col>
      <xdr:colOff>229489</xdr:colOff>
      <xdr:row>10</xdr:row>
      <xdr:rowOff>152400</xdr:rowOff>
    </xdr:to>
    <xdr:sp macro="" textlink="">
      <xdr:nvSpPr>
        <xdr:cNvPr id="375886" name="Text Box 78" hidden="1">
          <a:extLst>
            <a:ext uri="{FF2B5EF4-FFF2-40B4-BE49-F238E27FC236}">
              <a16:creationId xmlns:a16="http://schemas.microsoft.com/office/drawing/2014/main" id="{679F7B95-5434-264E-13DF-9AE506C4620C}"/>
            </a:ext>
          </a:extLst>
        </xdr:cNvPr>
        <xdr:cNvSpPr txBox="1">
          <a:spLocks noChangeArrowheads="1"/>
        </xdr:cNvSpPr>
      </xdr:nvSpPr>
      <xdr:spPr bwMode="auto">
        <a:xfrm>
          <a:off x="1515745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50408</xdr:rowOff>
    </xdr:from>
    <xdr:to>
      <xdr:col>5</xdr:col>
      <xdr:colOff>105335</xdr:colOff>
      <xdr:row>226</xdr:row>
      <xdr:rowOff>50407</xdr:rowOff>
    </xdr:to>
    <xdr:sp macro="" textlink="">
      <xdr:nvSpPr>
        <xdr:cNvPr id="375885" name="Text Box 77" hidden="1">
          <a:extLst>
            <a:ext uri="{FF2B5EF4-FFF2-40B4-BE49-F238E27FC236}">
              <a16:creationId xmlns:a16="http://schemas.microsoft.com/office/drawing/2014/main" id="{3D9376BA-800C-B7F3-29A9-B799A49ED420}"/>
            </a:ext>
          </a:extLst>
        </xdr:cNvPr>
        <xdr:cNvSpPr txBox="1">
          <a:spLocks noChangeArrowheads="1"/>
        </xdr:cNvSpPr>
      </xdr:nvSpPr>
      <xdr:spPr bwMode="auto">
        <a:xfrm>
          <a:off x="3994150" y="408241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10337</xdr:rowOff>
    </xdr:from>
    <xdr:to>
      <xdr:col>5</xdr:col>
      <xdr:colOff>105335</xdr:colOff>
      <xdr:row>225</xdr:row>
      <xdr:rowOff>149626</xdr:rowOff>
    </xdr:to>
    <xdr:sp macro="" textlink="">
      <xdr:nvSpPr>
        <xdr:cNvPr id="375884" name="Text Box 76" hidden="1">
          <a:extLst>
            <a:ext uri="{FF2B5EF4-FFF2-40B4-BE49-F238E27FC236}">
              <a16:creationId xmlns:a16="http://schemas.microsoft.com/office/drawing/2014/main" id="{72FE50D5-6536-E247-265E-92E41734ADBB}"/>
            </a:ext>
          </a:extLst>
        </xdr:cNvPr>
        <xdr:cNvSpPr txBox="1">
          <a:spLocks noChangeArrowheads="1"/>
        </xdr:cNvSpPr>
      </xdr:nvSpPr>
      <xdr:spPr bwMode="auto">
        <a:xfrm>
          <a:off x="3994150" y="4116070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10337</xdr:rowOff>
    </xdr:from>
    <xdr:to>
      <xdr:col>5</xdr:col>
      <xdr:colOff>105335</xdr:colOff>
      <xdr:row>227</xdr:row>
      <xdr:rowOff>50408</xdr:rowOff>
    </xdr:to>
    <xdr:sp macro="" textlink="">
      <xdr:nvSpPr>
        <xdr:cNvPr id="375883" name="Text Box 75" hidden="1">
          <a:extLst>
            <a:ext uri="{FF2B5EF4-FFF2-40B4-BE49-F238E27FC236}">
              <a16:creationId xmlns:a16="http://schemas.microsoft.com/office/drawing/2014/main" id="{AD145783-0DC9-6B4B-93F3-25A92C3838AD}"/>
            </a:ext>
          </a:extLst>
        </xdr:cNvPr>
        <xdr:cNvSpPr txBox="1">
          <a:spLocks noChangeArrowheads="1"/>
        </xdr:cNvSpPr>
      </xdr:nvSpPr>
      <xdr:spPr bwMode="auto">
        <a:xfrm>
          <a:off x="3994150" y="417131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10336</xdr:rowOff>
    </xdr:from>
    <xdr:to>
      <xdr:col>5</xdr:col>
      <xdr:colOff>105335</xdr:colOff>
      <xdr:row>214</xdr:row>
      <xdr:rowOff>149626</xdr:rowOff>
    </xdr:to>
    <xdr:sp macro="" textlink="">
      <xdr:nvSpPr>
        <xdr:cNvPr id="375882" name="Text Box 74" hidden="1">
          <a:extLst>
            <a:ext uri="{FF2B5EF4-FFF2-40B4-BE49-F238E27FC236}">
              <a16:creationId xmlns:a16="http://schemas.microsoft.com/office/drawing/2014/main" id="{A655FB3A-20E4-9B5F-99BB-957BBA1AD730}"/>
            </a:ext>
          </a:extLst>
        </xdr:cNvPr>
        <xdr:cNvSpPr txBox="1">
          <a:spLocks noChangeArrowheads="1"/>
        </xdr:cNvSpPr>
      </xdr:nvSpPr>
      <xdr:spPr bwMode="auto">
        <a:xfrm>
          <a:off x="3994150" y="4189730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86126</xdr:rowOff>
    </xdr:from>
    <xdr:to>
      <xdr:col>5</xdr:col>
      <xdr:colOff>105335</xdr:colOff>
      <xdr:row>192</xdr:row>
      <xdr:rowOff>30181</xdr:rowOff>
    </xdr:to>
    <xdr:sp macro="" textlink="">
      <xdr:nvSpPr>
        <xdr:cNvPr id="375881" name="Text Box 73" hidden="1">
          <a:extLst>
            <a:ext uri="{FF2B5EF4-FFF2-40B4-BE49-F238E27FC236}">
              <a16:creationId xmlns:a16="http://schemas.microsoft.com/office/drawing/2014/main" id="{64580842-18B6-3EBE-C04B-22DA2E4502B7}"/>
            </a:ext>
          </a:extLst>
        </xdr:cNvPr>
        <xdr:cNvSpPr txBox="1">
          <a:spLocks noChangeArrowheads="1"/>
        </xdr:cNvSpPr>
      </xdr:nvSpPr>
      <xdr:spPr bwMode="auto">
        <a:xfrm>
          <a:off x="3994150" y="37585650"/>
          <a:ext cx="1314450" cy="1149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126606</xdr:rowOff>
    </xdr:from>
    <xdr:to>
      <xdr:col>5</xdr:col>
      <xdr:colOff>105335</xdr:colOff>
      <xdr:row>193</xdr:row>
      <xdr:rowOff>67076</xdr:rowOff>
    </xdr:to>
    <xdr:sp macro="" textlink="">
      <xdr:nvSpPr>
        <xdr:cNvPr id="375880" name="Text Box 72" hidden="1">
          <a:extLst>
            <a:ext uri="{FF2B5EF4-FFF2-40B4-BE49-F238E27FC236}">
              <a16:creationId xmlns:a16="http://schemas.microsoft.com/office/drawing/2014/main" id="{33DC4FA7-4E2F-224B-41E7-712557D55992}"/>
            </a:ext>
          </a:extLst>
        </xdr:cNvPr>
        <xdr:cNvSpPr txBox="1">
          <a:spLocks noChangeArrowheads="1"/>
        </xdr:cNvSpPr>
      </xdr:nvSpPr>
      <xdr:spPr bwMode="auto">
        <a:xfrm>
          <a:off x="3994150" y="380301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65489</xdr:rowOff>
    </xdr:from>
    <xdr:to>
      <xdr:col>5</xdr:col>
      <xdr:colOff>105335</xdr:colOff>
      <xdr:row>194</xdr:row>
      <xdr:rowOff>86126</xdr:rowOff>
    </xdr:to>
    <xdr:sp macro="" textlink="">
      <xdr:nvSpPr>
        <xdr:cNvPr id="375879" name="Text Box 71" hidden="1">
          <a:extLst>
            <a:ext uri="{FF2B5EF4-FFF2-40B4-BE49-F238E27FC236}">
              <a16:creationId xmlns:a16="http://schemas.microsoft.com/office/drawing/2014/main" id="{071349C9-271F-0405-05DB-D2BFC7D58937}"/>
            </a:ext>
          </a:extLst>
        </xdr:cNvPr>
        <xdr:cNvSpPr txBox="1">
          <a:spLocks noChangeArrowheads="1"/>
        </xdr:cNvSpPr>
      </xdr:nvSpPr>
      <xdr:spPr bwMode="auto">
        <a:xfrm>
          <a:off x="3994150" y="38398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50408</xdr:rowOff>
    </xdr:from>
    <xdr:to>
      <xdr:col>5</xdr:col>
      <xdr:colOff>105335</xdr:colOff>
      <xdr:row>201</xdr:row>
      <xdr:rowOff>29387</xdr:rowOff>
    </xdr:to>
    <xdr:sp macro="" textlink="">
      <xdr:nvSpPr>
        <xdr:cNvPr id="375878" name="Text Box 70" hidden="1">
          <a:extLst>
            <a:ext uri="{FF2B5EF4-FFF2-40B4-BE49-F238E27FC236}">
              <a16:creationId xmlns:a16="http://schemas.microsoft.com/office/drawing/2014/main" id="{D8DA05B9-DB7C-7BEC-636D-D2395642F0BD}"/>
            </a:ext>
          </a:extLst>
        </xdr:cNvPr>
        <xdr:cNvSpPr txBox="1">
          <a:spLocks noChangeArrowheads="1"/>
        </xdr:cNvSpPr>
      </xdr:nvSpPr>
      <xdr:spPr bwMode="auto">
        <a:xfrm>
          <a:off x="3994150" y="387667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349313</xdr:rowOff>
    </xdr:from>
    <xdr:to>
      <xdr:col>5</xdr:col>
      <xdr:colOff>105335</xdr:colOff>
      <xdr:row>53</xdr:row>
      <xdr:rowOff>370854</xdr:rowOff>
    </xdr:to>
    <xdr:sp macro="" textlink="">
      <xdr:nvSpPr>
        <xdr:cNvPr id="375877" name="Text Box 69" hidden="1">
          <a:extLst>
            <a:ext uri="{FF2B5EF4-FFF2-40B4-BE49-F238E27FC236}">
              <a16:creationId xmlns:a16="http://schemas.microsoft.com/office/drawing/2014/main" id="{53E04E3D-EA08-BC34-DE1C-2D0E2AD90DAD}"/>
            </a:ext>
          </a:extLst>
        </xdr:cNvPr>
        <xdr:cNvSpPr txBox="1">
          <a:spLocks noChangeArrowheads="1"/>
        </xdr:cNvSpPr>
      </xdr:nvSpPr>
      <xdr:spPr bwMode="auto">
        <a:xfrm>
          <a:off x="3994150" y="11334750"/>
          <a:ext cx="1314450" cy="2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349313</xdr:rowOff>
    </xdr:from>
    <xdr:to>
      <xdr:col>5</xdr:col>
      <xdr:colOff>105335</xdr:colOff>
      <xdr:row>62</xdr:row>
      <xdr:rowOff>141680</xdr:rowOff>
    </xdr:to>
    <xdr:sp macro="" textlink="">
      <xdr:nvSpPr>
        <xdr:cNvPr id="375876" name="Text Box 68" hidden="1">
          <a:extLst>
            <a:ext uri="{FF2B5EF4-FFF2-40B4-BE49-F238E27FC236}">
              <a16:creationId xmlns:a16="http://schemas.microsoft.com/office/drawing/2014/main" id="{4F0939EA-E708-9510-9ACE-17AF22C1D70C}"/>
            </a:ext>
          </a:extLst>
        </xdr:cNvPr>
        <xdr:cNvSpPr txBox="1">
          <a:spLocks noChangeArrowheads="1"/>
        </xdr:cNvSpPr>
      </xdr:nvSpPr>
      <xdr:spPr bwMode="auto">
        <a:xfrm>
          <a:off x="3994150" y="11334750"/>
          <a:ext cx="1314450" cy="261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431366</xdr:rowOff>
    </xdr:from>
    <xdr:to>
      <xdr:col>5</xdr:col>
      <xdr:colOff>105335</xdr:colOff>
      <xdr:row>66</xdr:row>
      <xdr:rowOff>154253</xdr:rowOff>
    </xdr:to>
    <xdr:sp macro="" textlink="">
      <xdr:nvSpPr>
        <xdr:cNvPr id="375875" name="Text Box 67" hidden="1">
          <a:extLst>
            <a:ext uri="{FF2B5EF4-FFF2-40B4-BE49-F238E27FC236}">
              <a16:creationId xmlns:a16="http://schemas.microsoft.com/office/drawing/2014/main" id="{E3C1E128-0C18-051A-1A16-B84B2887543F}"/>
            </a:ext>
          </a:extLst>
        </xdr:cNvPr>
        <xdr:cNvSpPr txBox="1">
          <a:spLocks noChangeArrowheads="1"/>
        </xdr:cNvSpPr>
      </xdr:nvSpPr>
      <xdr:spPr bwMode="auto">
        <a:xfrm>
          <a:off x="3994150" y="11430000"/>
          <a:ext cx="1314450" cy="332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450416</xdr:rowOff>
    </xdr:from>
    <xdr:to>
      <xdr:col>5</xdr:col>
      <xdr:colOff>105335</xdr:colOff>
      <xdr:row>66</xdr:row>
      <xdr:rowOff>173303</xdr:rowOff>
    </xdr:to>
    <xdr:sp macro="" textlink="">
      <xdr:nvSpPr>
        <xdr:cNvPr id="375874" name="Text Box 66" hidden="1">
          <a:extLst>
            <a:ext uri="{FF2B5EF4-FFF2-40B4-BE49-F238E27FC236}">
              <a16:creationId xmlns:a16="http://schemas.microsoft.com/office/drawing/2014/main" id="{C91672DD-02B9-EB7B-FA40-1F2B7C1D9690}"/>
            </a:ext>
          </a:extLst>
        </xdr:cNvPr>
        <xdr:cNvSpPr txBox="1">
          <a:spLocks noChangeArrowheads="1"/>
        </xdr:cNvSpPr>
      </xdr:nvSpPr>
      <xdr:spPr bwMode="auto">
        <a:xfrm>
          <a:off x="3994150" y="11449050"/>
          <a:ext cx="1314450" cy="332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189254</xdr:rowOff>
    </xdr:from>
    <xdr:to>
      <xdr:col>5</xdr:col>
      <xdr:colOff>105335</xdr:colOff>
      <xdr:row>66</xdr:row>
      <xdr:rowOff>144728</xdr:rowOff>
    </xdr:to>
    <xdr:sp macro="" textlink="">
      <xdr:nvSpPr>
        <xdr:cNvPr id="375873" name="Text Box 65" hidden="1">
          <a:extLst>
            <a:ext uri="{FF2B5EF4-FFF2-40B4-BE49-F238E27FC236}">
              <a16:creationId xmlns:a16="http://schemas.microsoft.com/office/drawing/2014/main" id="{70C9E381-3BC2-6948-057F-E334D7400D58}"/>
            </a:ext>
          </a:extLst>
        </xdr:cNvPr>
        <xdr:cNvSpPr txBox="1">
          <a:spLocks noChangeArrowheads="1"/>
        </xdr:cNvSpPr>
      </xdr:nvSpPr>
      <xdr:spPr bwMode="auto">
        <a:xfrm>
          <a:off x="3994150" y="12954000"/>
          <a:ext cx="13144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85511</xdr:rowOff>
    </xdr:from>
    <xdr:to>
      <xdr:col>5</xdr:col>
      <xdr:colOff>105335</xdr:colOff>
      <xdr:row>78</xdr:row>
      <xdr:rowOff>50188</xdr:rowOff>
    </xdr:to>
    <xdr:sp macro="" textlink="">
      <xdr:nvSpPr>
        <xdr:cNvPr id="375872" name="Text Box 64" hidden="1">
          <a:extLst>
            <a:ext uri="{FF2B5EF4-FFF2-40B4-BE49-F238E27FC236}">
              <a16:creationId xmlns:a16="http://schemas.microsoft.com/office/drawing/2014/main" id="{4F3F9146-45EF-BCEA-3AE9-DEF58C5EAC03}"/>
            </a:ext>
          </a:extLst>
        </xdr:cNvPr>
        <xdr:cNvSpPr txBox="1">
          <a:spLocks noChangeArrowheads="1"/>
        </xdr:cNvSpPr>
      </xdr:nvSpPr>
      <xdr:spPr bwMode="auto">
        <a:xfrm>
          <a:off x="3994150" y="160718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6370</xdr:rowOff>
    </xdr:from>
    <xdr:to>
      <xdr:col>5</xdr:col>
      <xdr:colOff>105335</xdr:colOff>
      <xdr:row>77</xdr:row>
      <xdr:rowOff>154582</xdr:rowOff>
    </xdr:to>
    <xdr:sp macro="" textlink="">
      <xdr:nvSpPr>
        <xdr:cNvPr id="375871" name="Text Box 63" hidden="1">
          <a:extLst>
            <a:ext uri="{FF2B5EF4-FFF2-40B4-BE49-F238E27FC236}">
              <a16:creationId xmlns:a16="http://schemas.microsoft.com/office/drawing/2014/main" id="{1C166D5A-52FC-EA79-61D2-0C5FB276A52C}"/>
            </a:ext>
          </a:extLst>
        </xdr:cNvPr>
        <xdr:cNvSpPr txBox="1">
          <a:spLocks noChangeArrowheads="1"/>
        </xdr:cNvSpPr>
      </xdr:nvSpPr>
      <xdr:spPr bwMode="auto">
        <a:xfrm>
          <a:off x="3994150" y="16179800"/>
          <a:ext cx="1314450" cy="889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152510</xdr:rowOff>
    </xdr:from>
    <xdr:to>
      <xdr:col>5</xdr:col>
      <xdr:colOff>105335</xdr:colOff>
      <xdr:row>79</xdr:row>
      <xdr:rowOff>29882</xdr:rowOff>
    </xdr:to>
    <xdr:sp macro="" textlink="">
      <xdr:nvSpPr>
        <xdr:cNvPr id="375870" name="Text Box 62" hidden="1">
          <a:extLst>
            <a:ext uri="{FF2B5EF4-FFF2-40B4-BE49-F238E27FC236}">
              <a16:creationId xmlns:a16="http://schemas.microsoft.com/office/drawing/2014/main" id="{60F4B0B1-0856-1224-664C-C42347A819B0}"/>
            </a:ext>
          </a:extLst>
        </xdr:cNvPr>
        <xdr:cNvSpPr txBox="1">
          <a:spLocks noChangeArrowheads="1"/>
        </xdr:cNvSpPr>
      </xdr:nvSpPr>
      <xdr:spPr bwMode="auto">
        <a:xfrm>
          <a:off x="3994150" y="163131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143533</xdr:rowOff>
    </xdr:from>
    <xdr:to>
      <xdr:col>5</xdr:col>
      <xdr:colOff>105335</xdr:colOff>
      <xdr:row>80</xdr:row>
      <xdr:rowOff>37451</xdr:rowOff>
    </xdr:to>
    <xdr:sp macro="" textlink="">
      <xdr:nvSpPr>
        <xdr:cNvPr id="375869" name="Text Box 61" hidden="1">
          <a:extLst>
            <a:ext uri="{FF2B5EF4-FFF2-40B4-BE49-F238E27FC236}">
              <a16:creationId xmlns:a16="http://schemas.microsoft.com/office/drawing/2014/main" id="{3DB740B5-1B3C-1DE3-FC27-91C258600CA0}"/>
            </a:ext>
          </a:extLst>
        </xdr:cNvPr>
        <xdr:cNvSpPr txBox="1">
          <a:spLocks noChangeArrowheads="1"/>
        </xdr:cNvSpPr>
      </xdr:nvSpPr>
      <xdr:spPr bwMode="auto">
        <a:xfrm>
          <a:off x="3994150" y="16490950"/>
          <a:ext cx="1314450" cy="122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31261</xdr:rowOff>
    </xdr:from>
    <xdr:to>
      <xdr:col>5</xdr:col>
      <xdr:colOff>105335</xdr:colOff>
      <xdr:row>102</xdr:row>
      <xdr:rowOff>145305</xdr:rowOff>
    </xdr:to>
    <xdr:sp macro="" textlink="">
      <xdr:nvSpPr>
        <xdr:cNvPr id="375868" name="Text Box 60" hidden="1">
          <a:extLst>
            <a:ext uri="{FF2B5EF4-FFF2-40B4-BE49-F238E27FC236}">
              <a16:creationId xmlns:a16="http://schemas.microsoft.com/office/drawing/2014/main" id="{03CCD19D-F9A0-1F6A-30F1-31A1C1B37333}"/>
            </a:ext>
          </a:extLst>
        </xdr:cNvPr>
        <xdr:cNvSpPr txBox="1">
          <a:spLocks noChangeArrowheads="1"/>
        </xdr:cNvSpPr>
      </xdr:nvSpPr>
      <xdr:spPr bwMode="auto">
        <a:xfrm>
          <a:off x="3994150" y="20872450"/>
          <a:ext cx="131445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26823</xdr:rowOff>
    </xdr:from>
    <xdr:to>
      <xdr:col>5</xdr:col>
      <xdr:colOff>105335</xdr:colOff>
      <xdr:row>102</xdr:row>
      <xdr:rowOff>66194</xdr:rowOff>
    </xdr:to>
    <xdr:sp macro="" textlink="">
      <xdr:nvSpPr>
        <xdr:cNvPr id="375867" name="Text Box 59" hidden="1">
          <a:extLst>
            <a:ext uri="{FF2B5EF4-FFF2-40B4-BE49-F238E27FC236}">
              <a16:creationId xmlns:a16="http://schemas.microsoft.com/office/drawing/2014/main" id="{38E776EE-BD98-3CAF-E32D-8DADA44C00A5}"/>
            </a:ext>
          </a:extLst>
        </xdr:cNvPr>
        <xdr:cNvSpPr txBox="1">
          <a:spLocks noChangeArrowheads="1"/>
        </xdr:cNvSpPr>
      </xdr:nvSpPr>
      <xdr:spPr bwMode="auto">
        <a:xfrm>
          <a:off x="3994150" y="21113750"/>
          <a:ext cx="1314450" cy="100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210900</xdr:rowOff>
    </xdr:from>
    <xdr:to>
      <xdr:col>5</xdr:col>
      <xdr:colOff>105335</xdr:colOff>
      <xdr:row>102</xdr:row>
      <xdr:rowOff>26476</xdr:rowOff>
    </xdr:to>
    <xdr:sp macro="" textlink="">
      <xdr:nvSpPr>
        <xdr:cNvPr id="375866" name="Text Box 58" hidden="1">
          <a:extLst>
            <a:ext uri="{FF2B5EF4-FFF2-40B4-BE49-F238E27FC236}">
              <a16:creationId xmlns:a16="http://schemas.microsoft.com/office/drawing/2014/main" id="{F9D20BFD-4193-C82A-51DE-65D482BEA7D1}"/>
            </a:ext>
          </a:extLst>
        </xdr:cNvPr>
        <xdr:cNvSpPr txBox="1">
          <a:spLocks noChangeArrowheads="1"/>
        </xdr:cNvSpPr>
      </xdr:nvSpPr>
      <xdr:spPr bwMode="auto">
        <a:xfrm>
          <a:off x="3994150" y="21297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159540</xdr:rowOff>
    </xdr:from>
    <xdr:to>
      <xdr:col>5</xdr:col>
      <xdr:colOff>105335</xdr:colOff>
      <xdr:row>102</xdr:row>
      <xdr:rowOff>26476</xdr:rowOff>
    </xdr:to>
    <xdr:sp macro="" textlink="">
      <xdr:nvSpPr>
        <xdr:cNvPr id="375865" name="Text Box 57" hidden="1">
          <a:extLst>
            <a:ext uri="{FF2B5EF4-FFF2-40B4-BE49-F238E27FC236}">
              <a16:creationId xmlns:a16="http://schemas.microsoft.com/office/drawing/2014/main" id="{17EDF8B4-3753-4A8E-CBFB-B10C276AF0A9}"/>
            </a:ext>
          </a:extLst>
        </xdr:cNvPr>
        <xdr:cNvSpPr txBox="1">
          <a:spLocks noChangeArrowheads="1"/>
        </xdr:cNvSpPr>
      </xdr:nvSpPr>
      <xdr:spPr bwMode="auto">
        <a:xfrm>
          <a:off x="3994150" y="21259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121</xdr:row>
      <xdr:rowOff>67605</xdr:rowOff>
    </xdr:from>
    <xdr:to>
      <xdr:col>21</xdr:col>
      <xdr:colOff>257697</xdr:colOff>
      <xdr:row>125</xdr:row>
      <xdr:rowOff>153887</xdr:rowOff>
    </xdr:to>
    <xdr:sp macro="" textlink="">
      <xdr:nvSpPr>
        <xdr:cNvPr id="375864" name="Text Box 56" hidden="1">
          <a:extLst>
            <a:ext uri="{FF2B5EF4-FFF2-40B4-BE49-F238E27FC236}">
              <a16:creationId xmlns:a16="http://schemas.microsoft.com/office/drawing/2014/main" id="{4CC3D817-0B0C-6326-1008-C857DF345F57}"/>
            </a:ext>
          </a:extLst>
        </xdr:cNvPr>
        <xdr:cNvSpPr txBox="1">
          <a:spLocks noChangeArrowheads="1"/>
        </xdr:cNvSpPr>
      </xdr:nvSpPr>
      <xdr:spPr bwMode="auto">
        <a:xfrm>
          <a:off x="17519650" y="256921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86518</xdr:rowOff>
    </xdr:to>
    <xdr:sp macro="" textlink="">
      <xdr:nvSpPr>
        <xdr:cNvPr id="375863" name="Text Box 55" hidden="1">
          <a:extLst>
            <a:ext uri="{FF2B5EF4-FFF2-40B4-BE49-F238E27FC236}">
              <a16:creationId xmlns:a16="http://schemas.microsoft.com/office/drawing/2014/main" id="{2EEFA84B-5377-1CB5-E59B-F988FA72B48D}"/>
            </a:ext>
          </a:extLst>
        </xdr:cNvPr>
        <xdr:cNvSpPr txBox="1">
          <a:spLocks noChangeArrowheads="1"/>
        </xdr:cNvSpPr>
      </xdr:nvSpPr>
      <xdr:spPr bwMode="auto">
        <a:xfrm>
          <a:off x="1833880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16374</xdr:rowOff>
    </xdr:from>
    <xdr:to>
      <xdr:col>22</xdr:col>
      <xdr:colOff>429146</xdr:colOff>
      <xdr:row>28</xdr:row>
      <xdr:rowOff>76370</xdr:rowOff>
    </xdr:to>
    <xdr:sp macro="" textlink="">
      <xdr:nvSpPr>
        <xdr:cNvPr id="375862" name="Text Box 54" hidden="1">
          <a:extLst>
            <a:ext uri="{FF2B5EF4-FFF2-40B4-BE49-F238E27FC236}">
              <a16:creationId xmlns:a16="http://schemas.microsoft.com/office/drawing/2014/main" id="{A9C8D5C5-848E-5ED8-2BC8-930055E7F8D9}"/>
            </a:ext>
          </a:extLst>
        </xdr:cNvPr>
        <xdr:cNvSpPr txBox="1">
          <a:spLocks noChangeArrowheads="1"/>
        </xdr:cNvSpPr>
      </xdr:nvSpPr>
      <xdr:spPr bwMode="auto">
        <a:xfrm>
          <a:off x="18338800" y="57467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125</xdr:row>
      <xdr:rowOff>122137</xdr:rowOff>
    </xdr:from>
    <xdr:to>
      <xdr:col>22</xdr:col>
      <xdr:colOff>429146</xdr:colOff>
      <xdr:row>129</xdr:row>
      <xdr:rowOff>84830</xdr:rowOff>
    </xdr:to>
    <xdr:sp macro="" textlink="">
      <xdr:nvSpPr>
        <xdr:cNvPr id="375861" name="Text Box 53" hidden="1">
          <a:extLst>
            <a:ext uri="{FF2B5EF4-FFF2-40B4-BE49-F238E27FC236}">
              <a16:creationId xmlns:a16="http://schemas.microsoft.com/office/drawing/2014/main" id="{DC114991-8955-4B92-68B5-2BE375D32495}"/>
            </a:ext>
          </a:extLst>
        </xdr:cNvPr>
        <xdr:cNvSpPr txBox="1">
          <a:spLocks noChangeArrowheads="1"/>
        </xdr:cNvSpPr>
      </xdr:nvSpPr>
      <xdr:spPr bwMode="auto">
        <a:xfrm>
          <a:off x="18338800" y="264477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34</xdr:row>
      <xdr:rowOff>103981</xdr:rowOff>
    </xdr:from>
    <xdr:to>
      <xdr:col>11</xdr:col>
      <xdr:colOff>636501</xdr:colOff>
      <xdr:row>39</xdr:row>
      <xdr:rowOff>46831</xdr:rowOff>
    </xdr:to>
    <xdr:sp macro="" textlink="">
      <xdr:nvSpPr>
        <xdr:cNvPr id="375890" name="Text Box 82" hidden="1">
          <a:extLst>
            <a:ext uri="{FF2B5EF4-FFF2-40B4-BE49-F238E27FC236}">
              <a16:creationId xmlns:a16="http://schemas.microsoft.com/office/drawing/2014/main" id="{4360794E-E690-B56D-7B25-2EE78FDDAF4A}"/>
            </a:ext>
          </a:extLst>
        </xdr:cNvPr>
        <xdr:cNvSpPr txBox="1">
          <a:spLocks noChangeArrowheads="1"/>
        </xdr:cNvSpPr>
      </xdr:nvSpPr>
      <xdr:spPr bwMode="auto">
        <a:xfrm>
          <a:off x="936625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104775</xdr:rowOff>
    </xdr:from>
    <xdr:to>
      <xdr:col>24</xdr:col>
      <xdr:colOff>486297</xdr:colOff>
      <xdr:row>18</xdr:row>
      <xdr:rowOff>163512</xdr:rowOff>
    </xdr:to>
    <xdr:sp macro="" textlink="">
      <xdr:nvSpPr>
        <xdr:cNvPr id="375891" name="Text Box 83" hidden="1">
          <a:extLst>
            <a:ext uri="{FF2B5EF4-FFF2-40B4-BE49-F238E27FC236}">
              <a16:creationId xmlns:a16="http://schemas.microsoft.com/office/drawing/2014/main" id="{7D44F9D2-1D57-65C5-F1B5-EC650A796C8C}"/>
            </a:ext>
          </a:extLst>
        </xdr:cNvPr>
        <xdr:cNvSpPr txBox="1">
          <a:spLocks noChangeArrowheads="1"/>
        </xdr:cNvSpPr>
      </xdr:nvSpPr>
      <xdr:spPr bwMode="auto">
        <a:xfrm>
          <a:off x="20034250" y="356235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25899</xdr:rowOff>
    </xdr:from>
    <xdr:to>
      <xdr:col>24</xdr:col>
      <xdr:colOff>486297</xdr:colOff>
      <xdr:row>28</xdr:row>
      <xdr:rowOff>139700</xdr:rowOff>
    </xdr:to>
    <xdr:sp macro="" textlink="">
      <xdr:nvSpPr>
        <xdr:cNvPr id="375892" name="Text Box 84" hidden="1">
          <a:extLst>
            <a:ext uri="{FF2B5EF4-FFF2-40B4-BE49-F238E27FC236}">
              <a16:creationId xmlns:a16="http://schemas.microsoft.com/office/drawing/2014/main" id="{29122F4A-FFD1-5628-93C4-6FD5E488A5C4}"/>
            </a:ext>
          </a:extLst>
        </xdr:cNvPr>
        <xdr:cNvSpPr txBox="1">
          <a:spLocks noChangeArrowheads="1"/>
        </xdr:cNvSpPr>
      </xdr:nvSpPr>
      <xdr:spPr bwMode="auto">
        <a:xfrm>
          <a:off x="20034250" y="575310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125</xdr:row>
      <xdr:rowOff>122137</xdr:rowOff>
    </xdr:from>
    <xdr:to>
      <xdr:col>24</xdr:col>
      <xdr:colOff>486297</xdr:colOff>
      <xdr:row>130</xdr:row>
      <xdr:rowOff>30558</xdr:rowOff>
    </xdr:to>
    <xdr:sp macro="" textlink="">
      <xdr:nvSpPr>
        <xdr:cNvPr id="375893" name="Text Box 85" hidden="1">
          <a:extLst>
            <a:ext uri="{FF2B5EF4-FFF2-40B4-BE49-F238E27FC236}">
              <a16:creationId xmlns:a16="http://schemas.microsoft.com/office/drawing/2014/main" id="{444C4E1F-6595-D8E7-EB8F-1993A239585B}"/>
            </a:ext>
          </a:extLst>
        </xdr:cNvPr>
        <xdr:cNvSpPr txBox="1">
          <a:spLocks noChangeArrowheads="1"/>
        </xdr:cNvSpPr>
      </xdr:nvSpPr>
      <xdr:spPr bwMode="auto">
        <a:xfrm>
          <a:off x="20034250" y="2645410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114300</xdr:rowOff>
    </xdr:from>
    <xdr:to>
      <xdr:col>18</xdr:col>
      <xdr:colOff>229489</xdr:colOff>
      <xdr:row>10</xdr:row>
      <xdr:rowOff>152400</xdr:rowOff>
    </xdr:to>
    <xdr:sp macro="" textlink="">
      <xdr:nvSpPr>
        <xdr:cNvPr id="375923" name="Text Box 115" hidden="1">
          <a:extLst>
            <a:ext uri="{FF2B5EF4-FFF2-40B4-BE49-F238E27FC236}">
              <a16:creationId xmlns:a16="http://schemas.microsoft.com/office/drawing/2014/main" id="{0B851AE6-E5CF-9605-3051-2AFCD5BF057A}"/>
            </a:ext>
          </a:extLst>
        </xdr:cNvPr>
        <xdr:cNvSpPr txBox="1">
          <a:spLocks noChangeArrowheads="1"/>
        </xdr:cNvSpPr>
      </xdr:nvSpPr>
      <xdr:spPr bwMode="auto">
        <a:xfrm>
          <a:off x="1515745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50408</xdr:rowOff>
    </xdr:from>
    <xdr:to>
      <xdr:col>5</xdr:col>
      <xdr:colOff>105335</xdr:colOff>
      <xdr:row>226</xdr:row>
      <xdr:rowOff>50407</xdr:rowOff>
    </xdr:to>
    <xdr:sp macro="" textlink="">
      <xdr:nvSpPr>
        <xdr:cNvPr id="375922" name="Text Box 114" hidden="1">
          <a:extLst>
            <a:ext uri="{FF2B5EF4-FFF2-40B4-BE49-F238E27FC236}">
              <a16:creationId xmlns:a16="http://schemas.microsoft.com/office/drawing/2014/main" id="{A9F0A090-7671-FCF8-2F0C-CAFE573D738F}"/>
            </a:ext>
          </a:extLst>
        </xdr:cNvPr>
        <xdr:cNvSpPr txBox="1">
          <a:spLocks noChangeArrowheads="1"/>
        </xdr:cNvSpPr>
      </xdr:nvSpPr>
      <xdr:spPr bwMode="auto">
        <a:xfrm>
          <a:off x="3994150" y="408241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10337</xdr:rowOff>
    </xdr:from>
    <xdr:to>
      <xdr:col>5</xdr:col>
      <xdr:colOff>105335</xdr:colOff>
      <xdr:row>225</xdr:row>
      <xdr:rowOff>149626</xdr:rowOff>
    </xdr:to>
    <xdr:sp macro="" textlink="">
      <xdr:nvSpPr>
        <xdr:cNvPr id="375921" name="Text Box 113" hidden="1">
          <a:extLst>
            <a:ext uri="{FF2B5EF4-FFF2-40B4-BE49-F238E27FC236}">
              <a16:creationId xmlns:a16="http://schemas.microsoft.com/office/drawing/2014/main" id="{69622A66-0E1D-101C-78BE-8363EF463123}"/>
            </a:ext>
          </a:extLst>
        </xdr:cNvPr>
        <xdr:cNvSpPr txBox="1">
          <a:spLocks noChangeArrowheads="1"/>
        </xdr:cNvSpPr>
      </xdr:nvSpPr>
      <xdr:spPr bwMode="auto">
        <a:xfrm>
          <a:off x="3994150" y="4116070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10337</xdr:rowOff>
    </xdr:from>
    <xdr:to>
      <xdr:col>5</xdr:col>
      <xdr:colOff>105335</xdr:colOff>
      <xdr:row>227</xdr:row>
      <xdr:rowOff>50408</xdr:rowOff>
    </xdr:to>
    <xdr:sp macro="" textlink="">
      <xdr:nvSpPr>
        <xdr:cNvPr id="375920" name="Text Box 112" hidden="1">
          <a:extLst>
            <a:ext uri="{FF2B5EF4-FFF2-40B4-BE49-F238E27FC236}">
              <a16:creationId xmlns:a16="http://schemas.microsoft.com/office/drawing/2014/main" id="{08D21B0F-2F82-31D6-A761-BC37F1F58744}"/>
            </a:ext>
          </a:extLst>
        </xdr:cNvPr>
        <xdr:cNvSpPr txBox="1">
          <a:spLocks noChangeArrowheads="1"/>
        </xdr:cNvSpPr>
      </xdr:nvSpPr>
      <xdr:spPr bwMode="auto">
        <a:xfrm>
          <a:off x="3994150" y="417131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10336</xdr:rowOff>
    </xdr:from>
    <xdr:to>
      <xdr:col>5</xdr:col>
      <xdr:colOff>105335</xdr:colOff>
      <xdr:row>214</xdr:row>
      <xdr:rowOff>149626</xdr:rowOff>
    </xdr:to>
    <xdr:sp macro="" textlink="">
      <xdr:nvSpPr>
        <xdr:cNvPr id="375919" name="Text Box 111" hidden="1">
          <a:extLst>
            <a:ext uri="{FF2B5EF4-FFF2-40B4-BE49-F238E27FC236}">
              <a16:creationId xmlns:a16="http://schemas.microsoft.com/office/drawing/2014/main" id="{CDA1EE3C-CF72-E12D-121D-57C90A024E95}"/>
            </a:ext>
          </a:extLst>
        </xdr:cNvPr>
        <xdr:cNvSpPr txBox="1">
          <a:spLocks noChangeArrowheads="1"/>
        </xdr:cNvSpPr>
      </xdr:nvSpPr>
      <xdr:spPr bwMode="auto">
        <a:xfrm>
          <a:off x="3994150" y="4189730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86126</xdr:rowOff>
    </xdr:from>
    <xdr:to>
      <xdr:col>5</xdr:col>
      <xdr:colOff>105335</xdr:colOff>
      <xdr:row>192</xdr:row>
      <xdr:rowOff>7956</xdr:rowOff>
    </xdr:to>
    <xdr:sp macro="" textlink="">
      <xdr:nvSpPr>
        <xdr:cNvPr id="375918" name="Text Box 110" hidden="1">
          <a:extLst>
            <a:ext uri="{FF2B5EF4-FFF2-40B4-BE49-F238E27FC236}">
              <a16:creationId xmlns:a16="http://schemas.microsoft.com/office/drawing/2014/main" id="{E5FBA9DC-F08F-4FE2-D724-068E0209C097}"/>
            </a:ext>
          </a:extLst>
        </xdr:cNvPr>
        <xdr:cNvSpPr txBox="1">
          <a:spLocks noChangeArrowheads="1"/>
        </xdr:cNvSpPr>
      </xdr:nvSpPr>
      <xdr:spPr bwMode="auto">
        <a:xfrm>
          <a:off x="3994150" y="375856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126606</xdr:rowOff>
    </xdr:from>
    <xdr:to>
      <xdr:col>5</xdr:col>
      <xdr:colOff>105335</xdr:colOff>
      <xdr:row>193</xdr:row>
      <xdr:rowOff>67076</xdr:rowOff>
    </xdr:to>
    <xdr:sp macro="" textlink="">
      <xdr:nvSpPr>
        <xdr:cNvPr id="375917" name="Text Box 109" hidden="1">
          <a:extLst>
            <a:ext uri="{FF2B5EF4-FFF2-40B4-BE49-F238E27FC236}">
              <a16:creationId xmlns:a16="http://schemas.microsoft.com/office/drawing/2014/main" id="{C1FDBBE8-0523-B855-3C46-8B75ECA5E1E3}"/>
            </a:ext>
          </a:extLst>
        </xdr:cNvPr>
        <xdr:cNvSpPr txBox="1">
          <a:spLocks noChangeArrowheads="1"/>
        </xdr:cNvSpPr>
      </xdr:nvSpPr>
      <xdr:spPr bwMode="auto">
        <a:xfrm>
          <a:off x="3994150" y="380301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65489</xdr:rowOff>
    </xdr:from>
    <xdr:to>
      <xdr:col>5</xdr:col>
      <xdr:colOff>105335</xdr:colOff>
      <xdr:row>194</xdr:row>
      <xdr:rowOff>86126</xdr:rowOff>
    </xdr:to>
    <xdr:sp macro="" textlink="">
      <xdr:nvSpPr>
        <xdr:cNvPr id="375916" name="Text Box 108" hidden="1">
          <a:extLst>
            <a:ext uri="{FF2B5EF4-FFF2-40B4-BE49-F238E27FC236}">
              <a16:creationId xmlns:a16="http://schemas.microsoft.com/office/drawing/2014/main" id="{91E5D39C-716B-C539-0BEB-587680BC913E}"/>
            </a:ext>
          </a:extLst>
        </xdr:cNvPr>
        <xdr:cNvSpPr txBox="1">
          <a:spLocks noChangeArrowheads="1"/>
        </xdr:cNvSpPr>
      </xdr:nvSpPr>
      <xdr:spPr bwMode="auto">
        <a:xfrm>
          <a:off x="3994150" y="38398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50408</xdr:rowOff>
    </xdr:from>
    <xdr:to>
      <xdr:col>5</xdr:col>
      <xdr:colOff>105335</xdr:colOff>
      <xdr:row>201</xdr:row>
      <xdr:rowOff>29387</xdr:rowOff>
    </xdr:to>
    <xdr:sp macro="" textlink="">
      <xdr:nvSpPr>
        <xdr:cNvPr id="375915" name="Text Box 107" hidden="1">
          <a:extLst>
            <a:ext uri="{FF2B5EF4-FFF2-40B4-BE49-F238E27FC236}">
              <a16:creationId xmlns:a16="http://schemas.microsoft.com/office/drawing/2014/main" id="{F29A053D-3092-8561-EBAF-EFE50E32383C}"/>
            </a:ext>
          </a:extLst>
        </xdr:cNvPr>
        <xdr:cNvSpPr txBox="1">
          <a:spLocks noChangeArrowheads="1"/>
        </xdr:cNvSpPr>
      </xdr:nvSpPr>
      <xdr:spPr bwMode="auto">
        <a:xfrm>
          <a:off x="3994150" y="387667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349313</xdr:rowOff>
    </xdr:from>
    <xdr:to>
      <xdr:col>5</xdr:col>
      <xdr:colOff>105335</xdr:colOff>
      <xdr:row>53</xdr:row>
      <xdr:rowOff>370854</xdr:rowOff>
    </xdr:to>
    <xdr:sp macro="" textlink="">
      <xdr:nvSpPr>
        <xdr:cNvPr id="375914" name="Text Box 106" hidden="1">
          <a:extLst>
            <a:ext uri="{FF2B5EF4-FFF2-40B4-BE49-F238E27FC236}">
              <a16:creationId xmlns:a16="http://schemas.microsoft.com/office/drawing/2014/main" id="{101BB53F-B551-7EF6-78C2-71B69A661DEA}"/>
            </a:ext>
          </a:extLst>
        </xdr:cNvPr>
        <xdr:cNvSpPr txBox="1">
          <a:spLocks noChangeArrowheads="1"/>
        </xdr:cNvSpPr>
      </xdr:nvSpPr>
      <xdr:spPr bwMode="auto">
        <a:xfrm>
          <a:off x="3994150" y="11334750"/>
          <a:ext cx="13144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349313</xdr:rowOff>
    </xdr:from>
    <xdr:to>
      <xdr:col>5</xdr:col>
      <xdr:colOff>105335</xdr:colOff>
      <xdr:row>62</xdr:row>
      <xdr:rowOff>141680</xdr:rowOff>
    </xdr:to>
    <xdr:sp macro="" textlink="">
      <xdr:nvSpPr>
        <xdr:cNvPr id="375913" name="Text Box 105" hidden="1">
          <a:extLst>
            <a:ext uri="{FF2B5EF4-FFF2-40B4-BE49-F238E27FC236}">
              <a16:creationId xmlns:a16="http://schemas.microsoft.com/office/drawing/2014/main" id="{0EB126BD-7322-1C2A-D5F8-30EA46AC8DFB}"/>
            </a:ext>
          </a:extLst>
        </xdr:cNvPr>
        <xdr:cNvSpPr txBox="1">
          <a:spLocks noChangeArrowheads="1"/>
        </xdr:cNvSpPr>
      </xdr:nvSpPr>
      <xdr:spPr bwMode="auto">
        <a:xfrm>
          <a:off x="3994150" y="11334750"/>
          <a:ext cx="1314450" cy="2609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431366</xdr:rowOff>
    </xdr:from>
    <xdr:to>
      <xdr:col>5</xdr:col>
      <xdr:colOff>105335</xdr:colOff>
      <xdr:row>66</xdr:row>
      <xdr:rowOff>163778</xdr:rowOff>
    </xdr:to>
    <xdr:sp macro="" textlink="">
      <xdr:nvSpPr>
        <xdr:cNvPr id="375912" name="Text Box 104" hidden="1">
          <a:extLst>
            <a:ext uri="{FF2B5EF4-FFF2-40B4-BE49-F238E27FC236}">
              <a16:creationId xmlns:a16="http://schemas.microsoft.com/office/drawing/2014/main" id="{794F27E4-19B6-464E-80D3-0433F642EC0D}"/>
            </a:ext>
          </a:extLst>
        </xdr:cNvPr>
        <xdr:cNvSpPr txBox="1">
          <a:spLocks noChangeArrowheads="1"/>
        </xdr:cNvSpPr>
      </xdr:nvSpPr>
      <xdr:spPr bwMode="auto">
        <a:xfrm>
          <a:off x="3994150" y="11430000"/>
          <a:ext cx="1314450" cy="332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450416</xdr:rowOff>
    </xdr:from>
    <xdr:to>
      <xdr:col>5</xdr:col>
      <xdr:colOff>105335</xdr:colOff>
      <xdr:row>67</xdr:row>
      <xdr:rowOff>10585</xdr:rowOff>
    </xdr:to>
    <xdr:sp macro="" textlink="">
      <xdr:nvSpPr>
        <xdr:cNvPr id="375911" name="Text Box 103" hidden="1">
          <a:extLst>
            <a:ext uri="{FF2B5EF4-FFF2-40B4-BE49-F238E27FC236}">
              <a16:creationId xmlns:a16="http://schemas.microsoft.com/office/drawing/2014/main" id="{C43FF1ED-E0E4-EDFB-DD0E-18972E56EFE9}"/>
            </a:ext>
          </a:extLst>
        </xdr:cNvPr>
        <xdr:cNvSpPr txBox="1">
          <a:spLocks noChangeArrowheads="1"/>
        </xdr:cNvSpPr>
      </xdr:nvSpPr>
      <xdr:spPr bwMode="auto">
        <a:xfrm>
          <a:off x="3994150" y="11449050"/>
          <a:ext cx="1314450" cy="332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189254</xdr:rowOff>
    </xdr:from>
    <xdr:to>
      <xdr:col>5</xdr:col>
      <xdr:colOff>105335</xdr:colOff>
      <xdr:row>66</xdr:row>
      <xdr:rowOff>144728</xdr:rowOff>
    </xdr:to>
    <xdr:sp macro="" textlink="">
      <xdr:nvSpPr>
        <xdr:cNvPr id="375910" name="Text Box 102" hidden="1">
          <a:extLst>
            <a:ext uri="{FF2B5EF4-FFF2-40B4-BE49-F238E27FC236}">
              <a16:creationId xmlns:a16="http://schemas.microsoft.com/office/drawing/2014/main" id="{DA8B00A9-3100-C25A-C6D0-C780DDFA14D8}"/>
            </a:ext>
          </a:extLst>
        </xdr:cNvPr>
        <xdr:cNvSpPr txBox="1">
          <a:spLocks noChangeArrowheads="1"/>
        </xdr:cNvSpPr>
      </xdr:nvSpPr>
      <xdr:spPr bwMode="auto">
        <a:xfrm>
          <a:off x="3994150" y="12954000"/>
          <a:ext cx="13144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85511</xdr:rowOff>
    </xdr:from>
    <xdr:to>
      <xdr:col>5</xdr:col>
      <xdr:colOff>105335</xdr:colOff>
      <xdr:row>78</xdr:row>
      <xdr:rowOff>50188</xdr:rowOff>
    </xdr:to>
    <xdr:sp macro="" textlink="">
      <xdr:nvSpPr>
        <xdr:cNvPr id="375909" name="Text Box 101" hidden="1">
          <a:extLst>
            <a:ext uri="{FF2B5EF4-FFF2-40B4-BE49-F238E27FC236}">
              <a16:creationId xmlns:a16="http://schemas.microsoft.com/office/drawing/2014/main" id="{942034FF-A541-4883-45A5-782D504092F7}"/>
            </a:ext>
          </a:extLst>
        </xdr:cNvPr>
        <xdr:cNvSpPr txBox="1">
          <a:spLocks noChangeArrowheads="1"/>
        </xdr:cNvSpPr>
      </xdr:nvSpPr>
      <xdr:spPr bwMode="auto">
        <a:xfrm>
          <a:off x="3994150" y="160718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6370</xdr:rowOff>
    </xdr:from>
    <xdr:to>
      <xdr:col>5</xdr:col>
      <xdr:colOff>105335</xdr:colOff>
      <xdr:row>77</xdr:row>
      <xdr:rowOff>144911</xdr:rowOff>
    </xdr:to>
    <xdr:sp macro="" textlink="">
      <xdr:nvSpPr>
        <xdr:cNvPr id="375908" name="Text Box 100" hidden="1">
          <a:extLst>
            <a:ext uri="{FF2B5EF4-FFF2-40B4-BE49-F238E27FC236}">
              <a16:creationId xmlns:a16="http://schemas.microsoft.com/office/drawing/2014/main" id="{D1AAB25D-5300-72CD-C8EB-E40C387EF240}"/>
            </a:ext>
          </a:extLst>
        </xdr:cNvPr>
        <xdr:cNvSpPr txBox="1">
          <a:spLocks noChangeArrowheads="1"/>
        </xdr:cNvSpPr>
      </xdr:nvSpPr>
      <xdr:spPr bwMode="auto">
        <a:xfrm>
          <a:off x="3994150" y="161798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152510</xdr:rowOff>
    </xdr:from>
    <xdr:to>
      <xdr:col>5</xdr:col>
      <xdr:colOff>105335</xdr:colOff>
      <xdr:row>79</xdr:row>
      <xdr:rowOff>29882</xdr:rowOff>
    </xdr:to>
    <xdr:sp macro="" textlink="">
      <xdr:nvSpPr>
        <xdr:cNvPr id="375907" name="Text Box 99" hidden="1">
          <a:extLst>
            <a:ext uri="{FF2B5EF4-FFF2-40B4-BE49-F238E27FC236}">
              <a16:creationId xmlns:a16="http://schemas.microsoft.com/office/drawing/2014/main" id="{27CD9360-36DD-4068-A217-5D03A9C10236}"/>
            </a:ext>
          </a:extLst>
        </xdr:cNvPr>
        <xdr:cNvSpPr txBox="1">
          <a:spLocks noChangeArrowheads="1"/>
        </xdr:cNvSpPr>
      </xdr:nvSpPr>
      <xdr:spPr bwMode="auto">
        <a:xfrm>
          <a:off x="3994150" y="1630680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143533</xdr:rowOff>
    </xdr:from>
    <xdr:to>
      <xdr:col>5</xdr:col>
      <xdr:colOff>105335</xdr:colOff>
      <xdr:row>80</xdr:row>
      <xdr:rowOff>11754</xdr:rowOff>
    </xdr:to>
    <xdr:sp macro="" textlink="">
      <xdr:nvSpPr>
        <xdr:cNvPr id="375906" name="Text Box 98" hidden="1">
          <a:extLst>
            <a:ext uri="{FF2B5EF4-FFF2-40B4-BE49-F238E27FC236}">
              <a16:creationId xmlns:a16="http://schemas.microsoft.com/office/drawing/2014/main" id="{0998EE4F-DA05-623E-DC93-83A7670AEDC9}"/>
            </a:ext>
          </a:extLst>
        </xdr:cNvPr>
        <xdr:cNvSpPr txBox="1">
          <a:spLocks noChangeArrowheads="1"/>
        </xdr:cNvSpPr>
      </xdr:nvSpPr>
      <xdr:spPr bwMode="auto">
        <a:xfrm>
          <a:off x="3994150" y="164909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31261</xdr:rowOff>
    </xdr:from>
    <xdr:to>
      <xdr:col>5</xdr:col>
      <xdr:colOff>105335</xdr:colOff>
      <xdr:row>102</xdr:row>
      <xdr:rowOff>145305</xdr:rowOff>
    </xdr:to>
    <xdr:sp macro="" textlink="">
      <xdr:nvSpPr>
        <xdr:cNvPr id="375905" name="Text Box 97" hidden="1">
          <a:extLst>
            <a:ext uri="{FF2B5EF4-FFF2-40B4-BE49-F238E27FC236}">
              <a16:creationId xmlns:a16="http://schemas.microsoft.com/office/drawing/2014/main" id="{D091AB2C-0016-3AE7-3CDA-511DD6E2862E}"/>
            </a:ext>
          </a:extLst>
        </xdr:cNvPr>
        <xdr:cNvSpPr txBox="1">
          <a:spLocks noChangeArrowheads="1"/>
        </xdr:cNvSpPr>
      </xdr:nvSpPr>
      <xdr:spPr bwMode="auto">
        <a:xfrm>
          <a:off x="3994150" y="20872450"/>
          <a:ext cx="131445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26823</xdr:rowOff>
    </xdr:from>
    <xdr:to>
      <xdr:col>5</xdr:col>
      <xdr:colOff>105335</xdr:colOff>
      <xdr:row>102</xdr:row>
      <xdr:rowOff>66194</xdr:rowOff>
    </xdr:to>
    <xdr:sp macro="" textlink="">
      <xdr:nvSpPr>
        <xdr:cNvPr id="375904" name="Text Box 96" hidden="1">
          <a:extLst>
            <a:ext uri="{FF2B5EF4-FFF2-40B4-BE49-F238E27FC236}">
              <a16:creationId xmlns:a16="http://schemas.microsoft.com/office/drawing/2014/main" id="{AB7FA3C7-FFBC-08BC-A09E-56DEF836CC79}"/>
            </a:ext>
          </a:extLst>
        </xdr:cNvPr>
        <xdr:cNvSpPr txBox="1">
          <a:spLocks noChangeArrowheads="1"/>
        </xdr:cNvSpPr>
      </xdr:nvSpPr>
      <xdr:spPr bwMode="auto">
        <a:xfrm>
          <a:off x="3994150" y="21113750"/>
          <a:ext cx="1314450" cy="100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210900</xdr:rowOff>
    </xdr:from>
    <xdr:to>
      <xdr:col>5</xdr:col>
      <xdr:colOff>105335</xdr:colOff>
      <xdr:row>102</xdr:row>
      <xdr:rowOff>26476</xdr:rowOff>
    </xdr:to>
    <xdr:sp macro="" textlink="">
      <xdr:nvSpPr>
        <xdr:cNvPr id="375903" name="Text Box 95" hidden="1">
          <a:extLst>
            <a:ext uri="{FF2B5EF4-FFF2-40B4-BE49-F238E27FC236}">
              <a16:creationId xmlns:a16="http://schemas.microsoft.com/office/drawing/2014/main" id="{B634E961-4089-16E4-C15B-6A1A7EE774F6}"/>
            </a:ext>
          </a:extLst>
        </xdr:cNvPr>
        <xdr:cNvSpPr txBox="1">
          <a:spLocks noChangeArrowheads="1"/>
        </xdr:cNvSpPr>
      </xdr:nvSpPr>
      <xdr:spPr bwMode="auto">
        <a:xfrm>
          <a:off x="3994150" y="21297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159540</xdr:rowOff>
    </xdr:from>
    <xdr:to>
      <xdr:col>5</xdr:col>
      <xdr:colOff>105335</xdr:colOff>
      <xdr:row>102</xdr:row>
      <xdr:rowOff>26476</xdr:rowOff>
    </xdr:to>
    <xdr:sp macro="" textlink="">
      <xdr:nvSpPr>
        <xdr:cNvPr id="375902" name="Text Box 94" hidden="1">
          <a:extLst>
            <a:ext uri="{FF2B5EF4-FFF2-40B4-BE49-F238E27FC236}">
              <a16:creationId xmlns:a16="http://schemas.microsoft.com/office/drawing/2014/main" id="{F0755C43-9A70-366D-E2EE-A3ECC187F3FF}"/>
            </a:ext>
          </a:extLst>
        </xdr:cNvPr>
        <xdr:cNvSpPr txBox="1">
          <a:spLocks noChangeArrowheads="1"/>
        </xdr:cNvSpPr>
      </xdr:nvSpPr>
      <xdr:spPr bwMode="auto">
        <a:xfrm>
          <a:off x="3994150" y="21259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121</xdr:row>
      <xdr:rowOff>67605</xdr:rowOff>
    </xdr:from>
    <xdr:to>
      <xdr:col>21</xdr:col>
      <xdr:colOff>257697</xdr:colOff>
      <xdr:row>125</xdr:row>
      <xdr:rowOff>172937</xdr:rowOff>
    </xdr:to>
    <xdr:sp macro="" textlink="">
      <xdr:nvSpPr>
        <xdr:cNvPr id="375901" name="Text Box 93" hidden="1">
          <a:extLst>
            <a:ext uri="{FF2B5EF4-FFF2-40B4-BE49-F238E27FC236}">
              <a16:creationId xmlns:a16="http://schemas.microsoft.com/office/drawing/2014/main" id="{2D6E15EF-2053-7331-3FC6-F7DD2EACB2B8}"/>
            </a:ext>
          </a:extLst>
        </xdr:cNvPr>
        <xdr:cNvSpPr txBox="1">
          <a:spLocks noChangeArrowheads="1"/>
        </xdr:cNvSpPr>
      </xdr:nvSpPr>
      <xdr:spPr bwMode="auto">
        <a:xfrm>
          <a:off x="17519650" y="256921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86518</xdr:rowOff>
    </xdr:to>
    <xdr:sp macro="" textlink="">
      <xdr:nvSpPr>
        <xdr:cNvPr id="375900" name="Text Box 92" hidden="1">
          <a:extLst>
            <a:ext uri="{FF2B5EF4-FFF2-40B4-BE49-F238E27FC236}">
              <a16:creationId xmlns:a16="http://schemas.microsoft.com/office/drawing/2014/main" id="{B5667A02-88FC-3C6E-0127-CBD62A0905C2}"/>
            </a:ext>
          </a:extLst>
        </xdr:cNvPr>
        <xdr:cNvSpPr txBox="1">
          <a:spLocks noChangeArrowheads="1"/>
        </xdr:cNvSpPr>
      </xdr:nvSpPr>
      <xdr:spPr bwMode="auto">
        <a:xfrm>
          <a:off x="1833880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16374</xdr:rowOff>
    </xdr:from>
    <xdr:to>
      <xdr:col>22</xdr:col>
      <xdr:colOff>429146</xdr:colOff>
      <xdr:row>28</xdr:row>
      <xdr:rowOff>76370</xdr:rowOff>
    </xdr:to>
    <xdr:sp macro="" textlink="">
      <xdr:nvSpPr>
        <xdr:cNvPr id="375899" name="Text Box 91" hidden="1">
          <a:extLst>
            <a:ext uri="{FF2B5EF4-FFF2-40B4-BE49-F238E27FC236}">
              <a16:creationId xmlns:a16="http://schemas.microsoft.com/office/drawing/2014/main" id="{8F2A9109-09E1-D2DF-837A-C0B7117761FF}"/>
            </a:ext>
          </a:extLst>
        </xdr:cNvPr>
        <xdr:cNvSpPr txBox="1">
          <a:spLocks noChangeArrowheads="1"/>
        </xdr:cNvSpPr>
      </xdr:nvSpPr>
      <xdr:spPr bwMode="auto">
        <a:xfrm>
          <a:off x="18338800" y="57467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125</xdr:row>
      <xdr:rowOff>122137</xdr:rowOff>
    </xdr:from>
    <xdr:to>
      <xdr:col>22</xdr:col>
      <xdr:colOff>429146</xdr:colOff>
      <xdr:row>129</xdr:row>
      <xdr:rowOff>84830</xdr:rowOff>
    </xdr:to>
    <xdr:sp macro="" textlink="">
      <xdr:nvSpPr>
        <xdr:cNvPr id="375898" name="Text Box 90" hidden="1">
          <a:extLst>
            <a:ext uri="{FF2B5EF4-FFF2-40B4-BE49-F238E27FC236}">
              <a16:creationId xmlns:a16="http://schemas.microsoft.com/office/drawing/2014/main" id="{C2733543-54DC-0013-8FAB-3FCCFA11486F}"/>
            </a:ext>
          </a:extLst>
        </xdr:cNvPr>
        <xdr:cNvSpPr txBox="1">
          <a:spLocks noChangeArrowheads="1"/>
        </xdr:cNvSpPr>
      </xdr:nvSpPr>
      <xdr:spPr bwMode="auto">
        <a:xfrm>
          <a:off x="18338800" y="264477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34</xdr:row>
      <xdr:rowOff>103981</xdr:rowOff>
    </xdr:from>
    <xdr:to>
      <xdr:col>11</xdr:col>
      <xdr:colOff>636501</xdr:colOff>
      <xdr:row>39</xdr:row>
      <xdr:rowOff>46831</xdr:rowOff>
    </xdr:to>
    <xdr:sp macro="" textlink="">
      <xdr:nvSpPr>
        <xdr:cNvPr id="375897" name="Text Box 89" hidden="1">
          <a:extLst>
            <a:ext uri="{FF2B5EF4-FFF2-40B4-BE49-F238E27FC236}">
              <a16:creationId xmlns:a16="http://schemas.microsoft.com/office/drawing/2014/main" id="{63740A62-4A83-CA3D-17FF-7EAD1E220E5F}"/>
            </a:ext>
          </a:extLst>
        </xdr:cNvPr>
        <xdr:cNvSpPr txBox="1">
          <a:spLocks noChangeArrowheads="1"/>
        </xdr:cNvSpPr>
      </xdr:nvSpPr>
      <xdr:spPr bwMode="auto">
        <a:xfrm>
          <a:off x="9366250" y="758825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163512</xdr:rowOff>
    </xdr:to>
    <xdr:sp macro="" textlink="">
      <xdr:nvSpPr>
        <xdr:cNvPr id="375896" name="Text Box 88" hidden="1">
          <a:extLst>
            <a:ext uri="{FF2B5EF4-FFF2-40B4-BE49-F238E27FC236}">
              <a16:creationId xmlns:a16="http://schemas.microsoft.com/office/drawing/2014/main" id="{A88BA161-C5A2-DF1A-FC12-16193BFF41DD}"/>
            </a:ext>
          </a:extLst>
        </xdr:cNvPr>
        <xdr:cNvSpPr txBox="1">
          <a:spLocks noChangeArrowheads="1"/>
        </xdr:cNvSpPr>
      </xdr:nvSpPr>
      <xdr:spPr bwMode="auto">
        <a:xfrm>
          <a:off x="2003425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16374</xdr:rowOff>
    </xdr:from>
    <xdr:to>
      <xdr:col>24</xdr:col>
      <xdr:colOff>467247</xdr:colOff>
      <xdr:row>28</xdr:row>
      <xdr:rowOff>139700</xdr:rowOff>
    </xdr:to>
    <xdr:sp macro="" textlink="">
      <xdr:nvSpPr>
        <xdr:cNvPr id="375895" name="Text Box 87" hidden="1">
          <a:extLst>
            <a:ext uri="{FF2B5EF4-FFF2-40B4-BE49-F238E27FC236}">
              <a16:creationId xmlns:a16="http://schemas.microsoft.com/office/drawing/2014/main" id="{DDAB76A3-CBBB-20C6-89FE-1A3186DC5E82}"/>
            </a:ext>
          </a:extLst>
        </xdr:cNvPr>
        <xdr:cNvSpPr txBox="1">
          <a:spLocks noChangeArrowheads="1"/>
        </xdr:cNvSpPr>
      </xdr:nvSpPr>
      <xdr:spPr bwMode="auto">
        <a:xfrm>
          <a:off x="20034250" y="57467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125</xdr:row>
      <xdr:rowOff>122137</xdr:rowOff>
    </xdr:from>
    <xdr:to>
      <xdr:col>24</xdr:col>
      <xdr:colOff>467247</xdr:colOff>
      <xdr:row>130</xdr:row>
      <xdr:rowOff>30558</xdr:rowOff>
    </xdr:to>
    <xdr:sp macro="" textlink="">
      <xdr:nvSpPr>
        <xdr:cNvPr id="375894" name="Text Box 86" hidden="1">
          <a:extLst>
            <a:ext uri="{FF2B5EF4-FFF2-40B4-BE49-F238E27FC236}">
              <a16:creationId xmlns:a16="http://schemas.microsoft.com/office/drawing/2014/main" id="{EFB92CEA-0683-9059-AEC5-6EF18E608C4F}"/>
            </a:ext>
          </a:extLst>
        </xdr:cNvPr>
        <xdr:cNvSpPr txBox="1">
          <a:spLocks noChangeArrowheads="1"/>
        </xdr:cNvSpPr>
      </xdr:nvSpPr>
      <xdr:spPr bwMode="auto">
        <a:xfrm>
          <a:off x="20034250" y="264477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114300</xdr:rowOff>
    </xdr:from>
    <xdr:to>
      <xdr:col>18</xdr:col>
      <xdr:colOff>229489</xdr:colOff>
      <xdr:row>10</xdr:row>
      <xdr:rowOff>152400</xdr:rowOff>
    </xdr:to>
    <xdr:sp macro="" textlink="">
      <xdr:nvSpPr>
        <xdr:cNvPr id="375953" name="Text Box 145" hidden="1">
          <a:extLst>
            <a:ext uri="{FF2B5EF4-FFF2-40B4-BE49-F238E27FC236}">
              <a16:creationId xmlns:a16="http://schemas.microsoft.com/office/drawing/2014/main" id="{AFAB564F-BC57-6F89-59A1-9336DBE954CA}"/>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50408</xdr:rowOff>
    </xdr:from>
    <xdr:to>
      <xdr:col>5</xdr:col>
      <xdr:colOff>105335</xdr:colOff>
      <xdr:row>226</xdr:row>
      <xdr:rowOff>50407</xdr:rowOff>
    </xdr:to>
    <xdr:sp macro="" textlink="">
      <xdr:nvSpPr>
        <xdr:cNvPr id="375952" name="Text Box 144" hidden="1">
          <a:extLst>
            <a:ext uri="{FF2B5EF4-FFF2-40B4-BE49-F238E27FC236}">
              <a16:creationId xmlns:a16="http://schemas.microsoft.com/office/drawing/2014/main" id="{91B686DF-388E-AAD2-A22C-F881891AB67D}"/>
            </a:ext>
          </a:extLst>
        </xdr:cNvPr>
        <xdr:cNvSpPr txBox="1">
          <a:spLocks noChangeArrowheads="1"/>
        </xdr:cNvSpPr>
      </xdr:nvSpPr>
      <xdr:spPr bwMode="auto">
        <a:xfrm>
          <a:off x="3994150" y="408241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10337</xdr:rowOff>
    </xdr:from>
    <xdr:to>
      <xdr:col>5</xdr:col>
      <xdr:colOff>105335</xdr:colOff>
      <xdr:row>225</xdr:row>
      <xdr:rowOff>149626</xdr:rowOff>
    </xdr:to>
    <xdr:sp macro="" textlink="">
      <xdr:nvSpPr>
        <xdr:cNvPr id="375951" name="Text Box 143" hidden="1">
          <a:extLst>
            <a:ext uri="{FF2B5EF4-FFF2-40B4-BE49-F238E27FC236}">
              <a16:creationId xmlns:a16="http://schemas.microsoft.com/office/drawing/2014/main" id="{7A3B0374-F8BE-D6D3-9A6D-6E023E918DCE}"/>
            </a:ext>
          </a:extLst>
        </xdr:cNvPr>
        <xdr:cNvSpPr txBox="1">
          <a:spLocks noChangeArrowheads="1"/>
        </xdr:cNvSpPr>
      </xdr:nvSpPr>
      <xdr:spPr bwMode="auto">
        <a:xfrm>
          <a:off x="3994150" y="4116070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10337</xdr:rowOff>
    </xdr:from>
    <xdr:to>
      <xdr:col>5</xdr:col>
      <xdr:colOff>105335</xdr:colOff>
      <xdr:row>227</xdr:row>
      <xdr:rowOff>50408</xdr:rowOff>
    </xdr:to>
    <xdr:sp macro="" textlink="">
      <xdr:nvSpPr>
        <xdr:cNvPr id="375950" name="Text Box 142" hidden="1">
          <a:extLst>
            <a:ext uri="{FF2B5EF4-FFF2-40B4-BE49-F238E27FC236}">
              <a16:creationId xmlns:a16="http://schemas.microsoft.com/office/drawing/2014/main" id="{BEF7188E-5D0D-F4D4-9AD8-F7FA2212BA8C}"/>
            </a:ext>
          </a:extLst>
        </xdr:cNvPr>
        <xdr:cNvSpPr txBox="1">
          <a:spLocks noChangeArrowheads="1"/>
        </xdr:cNvSpPr>
      </xdr:nvSpPr>
      <xdr:spPr bwMode="auto">
        <a:xfrm>
          <a:off x="3994150" y="4171315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10336</xdr:rowOff>
    </xdr:from>
    <xdr:to>
      <xdr:col>5</xdr:col>
      <xdr:colOff>105335</xdr:colOff>
      <xdr:row>214</xdr:row>
      <xdr:rowOff>149626</xdr:rowOff>
    </xdr:to>
    <xdr:sp macro="" textlink="">
      <xdr:nvSpPr>
        <xdr:cNvPr id="375949" name="Text Box 141" hidden="1">
          <a:extLst>
            <a:ext uri="{FF2B5EF4-FFF2-40B4-BE49-F238E27FC236}">
              <a16:creationId xmlns:a16="http://schemas.microsoft.com/office/drawing/2014/main" id="{37CCA463-B563-7968-9087-4AA7CAA71C90}"/>
            </a:ext>
          </a:extLst>
        </xdr:cNvPr>
        <xdr:cNvSpPr txBox="1">
          <a:spLocks noChangeArrowheads="1"/>
        </xdr:cNvSpPr>
      </xdr:nvSpPr>
      <xdr:spPr bwMode="auto">
        <a:xfrm>
          <a:off x="3994150" y="4189730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86126</xdr:rowOff>
    </xdr:from>
    <xdr:to>
      <xdr:col>5</xdr:col>
      <xdr:colOff>105335</xdr:colOff>
      <xdr:row>192</xdr:row>
      <xdr:rowOff>7956</xdr:rowOff>
    </xdr:to>
    <xdr:sp macro="" textlink="">
      <xdr:nvSpPr>
        <xdr:cNvPr id="375948" name="Text Box 140" hidden="1">
          <a:extLst>
            <a:ext uri="{FF2B5EF4-FFF2-40B4-BE49-F238E27FC236}">
              <a16:creationId xmlns:a16="http://schemas.microsoft.com/office/drawing/2014/main" id="{EC37C7C4-36D1-3862-7E83-88AB418BB180}"/>
            </a:ext>
          </a:extLst>
        </xdr:cNvPr>
        <xdr:cNvSpPr txBox="1">
          <a:spLocks noChangeArrowheads="1"/>
        </xdr:cNvSpPr>
      </xdr:nvSpPr>
      <xdr:spPr bwMode="auto">
        <a:xfrm>
          <a:off x="3994150" y="375856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126606</xdr:rowOff>
    </xdr:from>
    <xdr:to>
      <xdr:col>5</xdr:col>
      <xdr:colOff>105335</xdr:colOff>
      <xdr:row>193</xdr:row>
      <xdr:rowOff>67076</xdr:rowOff>
    </xdr:to>
    <xdr:sp macro="" textlink="">
      <xdr:nvSpPr>
        <xdr:cNvPr id="375947" name="Text Box 139" hidden="1">
          <a:extLst>
            <a:ext uri="{FF2B5EF4-FFF2-40B4-BE49-F238E27FC236}">
              <a16:creationId xmlns:a16="http://schemas.microsoft.com/office/drawing/2014/main" id="{74CCB67F-D272-CEF4-005E-965322170C87}"/>
            </a:ext>
          </a:extLst>
        </xdr:cNvPr>
        <xdr:cNvSpPr txBox="1">
          <a:spLocks noChangeArrowheads="1"/>
        </xdr:cNvSpPr>
      </xdr:nvSpPr>
      <xdr:spPr bwMode="auto">
        <a:xfrm>
          <a:off x="3994150" y="380301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65489</xdr:rowOff>
    </xdr:from>
    <xdr:to>
      <xdr:col>5</xdr:col>
      <xdr:colOff>105335</xdr:colOff>
      <xdr:row>194</xdr:row>
      <xdr:rowOff>86126</xdr:rowOff>
    </xdr:to>
    <xdr:sp macro="" textlink="">
      <xdr:nvSpPr>
        <xdr:cNvPr id="375946" name="Text Box 138" hidden="1">
          <a:extLst>
            <a:ext uri="{FF2B5EF4-FFF2-40B4-BE49-F238E27FC236}">
              <a16:creationId xmlns:a16="http://schemas.microsoft.com/office/drawing/2014/main" id="{6A887F85-C22D-FF79-00FE-F6698D7AA4DE}"/>
            </a:ext>
          </a:extLst>
        </xdr:cNvPr>
        <xdr:cNvSpPr txBox="1">
          <a:spLocks noChangeArrowheads="1"/>
        </xdr:cNvSpPr>
      </xdr:nvSpPr>
      <xdr:spPr bwMode="auto">
        <a:xfrm>
          <a:off x="3994150" y="383984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50408</xdr:rowOff>
    </xdr:from>
    <xdr:to>
      <xdr:col>5</xdr:col>
      <xdr:colOff>105335</xdr:colOff>
      <xdr:row>201</xdr:row>
      <xdr:rowOff>29387</xdr:rowOff>
    </xdr:to>
    <xdr:sp macro="" textlink="">
      <xdr:nvSpPr>
        <xdr:cNvPr id="375945" name="Text Box 137" hidden="1">
          <a:extLst>
            <a:ext uri="{FF2B5EF4-FFF2-40B4-BE49-F238E27FC236}">
              <a16:creationId xmlns:a16="http://schemas.microsoft.com/office/drawing/2014/main" id="{625CC563-8542-8B62-CD65-1AC9F66E3893}"/>
            </a:ext>
          </a:extLst>
        </xdr:cNvPr>
        <xdr:cNvSpPr txBox="1">
          <a:spLocks noChangeArrowheads="1"/>
        </xdr:cNvSpPr>
      </xdr:nvSpPr>
      <xdr:spPr bwMode="auto">
        <a:xfrm>
          <a:off x="3994150" y="387667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349313</xdr:rowOff>
    </xdr:from>
    <xdr:to>
      <xdr:col>5</xdr:col>
      <xdr:colOff>105335</xdr:colOff>
      <xdr:row>53</xdr:row>
      <xdr:rowOff>370854</xdr:rowOff>
    </xdr:to>
    <xdr:sp macro="" textlink="">
      <xdr:nvSpPr>
        <xdr:cNvPr id="375944" name="Text Box 136" hidden="1">
          <a:extLst>
            <a:ext uri="{FF2B5EF4-FFF2-40B4-BE49-F238E27FC236}">
              <a16:creationId xmlns:a16="http://schemas.microsoft.com/office/drawing/2014/main" id="{B548ED0B-5C36-A26E-8922-8DEA8047B0A3}"/>
            </a:ext>
          </a:extLst>
        </xdr:cNvPr>
        <xdr:cNvSpPr txBox="1">
          <a:spLocks noChangeArrowheads="1"/>
        </xdr:cNvSpPr>
      </xdr:nvSpPr>
      <xdr:spPr bwMode="auto">
        <a:xfrm>
          <a:off x="3994150" y="113347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349313</xdr:rowOff>
    </xdr:from>
    <xdr:to>
      <xdr:col>5</xdr:col>
      <xdr:colOff>105335</xdr:colOff>
      <xdr:row>62</xdr:row>
      <xdr:rowOff>141680</xdr:rowOff>
    </xdr:to>
    <xdr:sp macro="" textlink="">
      <xdr:nvSpPr>
        <xdr:cNvPr id="375943" name="Text Box 135" hidden="1">
          <a:extLst>
            <a:ext uri="{FF2B5EF4-FFF2-40B4-BE49-F238E27FC236}">
              <a16:creationId xmlns:a16="http://schemas.microsoft.com/office/drawing/2014/main" id="{075964B5-B16A-22F3-981D-1E57EBDA1CB7}"/>
            </a:ext>
          </a:extLst>
        </xdr:cNvPr>
        <xdr:cNvSpPr txBox="1">
          <a:spLocks noChangeArrowheads="1"/>
        </xdr:cNvSpPr>
      </xdr:nvSpPr>
      <xdr:spPr bwMode="auto">
        <a:xfrm>
          <a:off x="3994150" y="1133475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431366</xdr:rowOff>
    </xdr:from>
    <xdr:to>
      <xdr:col>5</xdr:col>
      <xdr:colOff>105335</xdr:colOff>
      <xdr:row>66</xdr:row>
      <xdr:rowOff>163778</xdr:rowOff>
    </xdr:to>
    <xdr:sp macro="" textlink="">
      <xdr:nvSpPr>
        <xdr:cNvPr id="375942" name="Text Box 134" hidden="1">
          <a:extLst>
            <a:ext uri="{FF2B5EF4-FFF2-40B4-BE49-F238E27FC236}">
              <a16:creationId xmlns:a16="http://schemas.microsoft.com/office/drawing/2014/main" id="{DE9C68D9-A398-25FC-F371-9D3548489A9B}"/>
            </a:ext>
          </a:extLst>
        </xdr:cNvPr>
        <xdr:cNvSpPr txBox="1">
          <a:spLocks noChangeArrowheads="1"/>
        </xdr:cNvSpPr>
      </xdr:nvSpPr>
      <xdr:spPr bwMode="auto">
        <a:xfrm>
          <a:off x="3994150" y="1143000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450416</xdr:rowOff>
    </xdr:from>
    <xdr:to>
      <xdr:col>5</xdr:col>
      <xdr:colOff>105335</xdr:colOff>
      <xdr:row>67</xdr:row>
      <xdr:rowOff>10585</xdr:rowOff>
    </xdr:to>
    <xdr:sp macro="" textlink="">
      <xdr:nvSpPr>
        <xdr:cNvPr id="375941" name="Text Box 133" hidden="1">
          <a:extLst>
            <a:ext uri="{FF2B5EF4-FFF2-40B4-BE49-F238E27FC236}">
              <a16:creationId xmlns:a16="http://schemas.microsoft.com/office/drawing/2014/main" id="{A1E70EA2-BB78-BBEC-4581-BF16FDBB1FC2}"/>
            </a:ext>
          </a:extLst>
        </xdr:cNvPr>
        <xdr:cNvSpPr txBox="1">
          <a:spLocks noChangeArrowheads="1"/>
        </xdr:cNvSpPr>
      </xdr:nvSpPr>
      <xdr:spPr bwMode="auto">
        <a:xfrm>
          <a:off x="3994150" y="1144905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189254</xdr:rowOff>
    </xdr:from>
    <xdr:to>
      <xdr:col>5</xdr:col>
      <xdr:colOff>105335</xdr:colOff>
      <xdr:row>66</xdr:row>
      <xdr:rowOff>144728</xdr:rowOff>
    </xdr:to>
    <xdr:sp macro="" textlink="">
      <xdr:nvSpPr>
        <xdr:cNvPr id="375940" name="Text Box 132" hidden="1">
          <a:extLst>
            <a:ext uri="{FF2B5EF4-FFF2-40B4-BE49-F238E27FC236}">
              <a16:creationId xmlns:a16="http://schemas.microsoft.com/office/drawing/2014/main" id="{8722ECB3-E2E6-78F5-B634-5867D2F21EE7}"/>
            </a:ext>
          </a:extLst>
        </xdr:cNvPr>
        <xdr:cNvSpPr txBox="1">
          <a:spLocks noChangeArrowheads="1"/>
        </xdr:cNvSpPr>
      </xdr:nvSpPr>
      <xdr:spPr bwMode="auto">
        <a:xfrm>
          <a:off x="3994150" y="12954000"/>
          <a:ext cx="131445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85511</xdr:rowOff>
    </xdr:from>
    <xdr:to>
      <xdr:col>5</xdr:col>
      <xdr:colOff>105335</xdr:colOff>
      <xdr:row>78</xdr:row>
      <xdr:rowOff>50188</xdr:rowOff>
    </xdr:to>
    <xdr:sp macro="" textlink="">
      <xdr:nvSpPr>
        <xdr:cNvPr id="375939" name="Text Box 131" hidden="1">
          <a:extLst>
            <a:ext uri="{FF2B5EF4-FFF2-40B4-BE49-F238E27FC236}">
              <a16:creationId xmlns:a16="http://schemas.microsoft.com/office/drawing/2014/main" id="{5353114D-A872-A0F4-0DC2-6F67EF5DCF0A}"/>
            </a:ext>
          </a:extLst>
        </xdr:cNvPr>
        <xdr:cNvSpPr txBox="1">
          <a:spLocks noChangeArrowheads="1"/>
        </xdr:cNvSpPr>
      </xdr:nvSpPr>
      <xdr:spPr bwMode="auto">
        <a:xfrm>
          <a:off x="3994150" y="160718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6370</xdr:rowOff>
    </xdr:from>
    <xdr:to>
      <xdr:col>5</xdr:col>
      <xdr:colOff>105335</xdr:colOff>
      <xdr:row>77</xdr:row>
      <xdr:rowOff>144911</xdr:rowOff>
    </xdr:to>
    <xdr:sp macro="" textlink="">
      <xdr:nvSpPr>
        <xdr:cNvPr id="375938" name="Text Box 130" hidden="1">
          <a:extLst>
            <a:ext uri="{FF2B5EF4-FFF2-40B4-BE49-F238E27FC236}">
              <a16:creationId xmlns:a16="http://schemas.microsoft.com/office/drawing/2014/main" id="{227660FD-C430-088B-6F65-37542D21F912}"/>
            </a:ext>
          </a:extLst>
        </xdr:cNvPr>
        <xdr:cNvSpPr txBox="1">
          <a:spLocks noChangeArrowheads="1"/>
        </xdr:cNvSpPr>
      </xdr:nvSpPr>
      <xdr:spPr bwMode="auto">
        <a:xfrm>
          <a:off x="3994150" y="16179800"/>
          <a:ext cx="131445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152510</xdr:rowOff>
    </xdr:from>
    <xdr:to>
      <xdr:col>5</xdr:col>
      <xdr:colOff>105335</xdr:colOff>
      <xdr:row>79</xdr:row>
      <xdr:rowOff>29882</xdr:rowOff>
    </xdr:to>
    <xdr:sp macro="" textlink="">
      <xdr:nvSpPr>
        <xdr:cNvPr id="375937" name="Text Box 129" hidden="1">
          <a:extLst>
            <a:ext uri="{FF2B5EF4-FFF2-40B4-BE49-F238E27FC236}">
              <a16:creationId xmlns:a16="http://schemas.microsoft.com/office/drawing/2014/main" id="{A38F248E-8940-7BC9-9DDA-D05C2FA16D6C}"/>
            </a:ext>
          </a:extLst>
        </xdr:cNvPr>
        <xdr:cNvSpPr txBox="1">
          <a:spLocks noChangeArrowheads="1"/>
        </xdr:cNvSpPr>
      </xdr:nvSpPr>
      <xdr:spPr bwMode="auto">
        <a:xfrm>
          <a:off x="3994150" y="1630680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143533</xdr:rowOff>
    </xdr:from>
    <xdr:to>
      <xdr:col>5</xdr:col>
      <xdr:colOff>105335</xdr:colOff>
      <xdr:row>80</xdr:row>
      <xdr:rowOff>11754</xdr:rowOff>
    </xdr:to>
    <xdr:sp macro="" textlink="">
      <xdr:nvSpPr>
        <xdr:cNvPr id="375936" name="Text Box 128" hidden="1">
          <a:extLst>
            <a:ext uri="{FF2B5EF4-FFF2-40B4-BE49-F238E27FC236}">
              <a16:creationId xmlns:a16="http://schemas.microsoft.com/office/drawing/2014/main" id="{F5A152E9-B8D8-F3A8-261F-DD6339ABDD0D}"/>
            </a:ext>
          </a:extLst>
        </xdr:cNvPr>
        <xdr:cNvSpPr txBox="1">
          <a:spLocks noChangeArrowheads="1"/>
        </xdr:cNvSpPr>
      </xdr:nvSpPr>
      <xdr:spPr bwMode="auto">
        <a:xfrm>
          <a:off x="3994150" y="1649095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31261</xdr:rowOff>
    </xdr:from>
    <xdr:to>
      <xdr:col>5</xdr:col>
      <xdr:colOff>105335</xdr:colOff>
      <xdr:row>102</xdr:row>
      <xdr:rowOff>145305</xdr:rowOff>
    </xdr:to>
    <xdr:sp macro="" textlink="">
      <xdr:nvSpPr>
        <xdr:cNvPr id="375935" name="Text Box 127" hidden="1">
          <a:extLst>
            <a:ext uri="{FF2B5EF4-FFF2-40B4-BE49-F238E27FC236}">
              <a16:creationId xmlns:a16="http://schemas.microsoft.com/office/drawing/2014/main" id="{30F3BE31-FA1D-3635-91F1-932F0CABAD13}"/>
            </a:ext>
          </a:extLst>
        </xdr:cNvPr>
        <xdr:cNvSpPr txBox="1">
          <a:spLocks noChangeArrowheads="1"/>
        </xdr:cNvSpPr>
      </xdr:nvSpPr>
      <xdr:spPr bwMode="auto">
        <a:xfrm>
          <a:off x="3994150" y="20872450"/>
          <a:ext cx="1314450" cy="130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26823</xdr:rowOff>
    </xdr:from>
    <xdr:to>
      <xdr:col>5</xdr:col>
      <xdr:colOff>105335</xdr:colOff>
      <xdr:row>102</xdr:row>
      <xdr:rowOff>66194</xdr:rowOff>
    </xdr:to>
    <xdr:sp macro="" textlink="">
      <xdr:nvSpPr>
        <xdr:cNvPr id="375934" name="Text Box 126" hidden="1">
          <a:extLst>
            <a:ext uri="{FF2B5EF4-FFF2-40B4-BE49-F238E27FC236}">
              <a16:creationId xmlns:a16="http://schemas.microsoft.com/office/drawing/2014/main" id="{1B12DFA8-2B8D-F355-05C8-CB3BCFFA4EC7}"/>
            </a:ext>
          </a:extLst>
        </xdr:cNvPr>
        <xdr:cNvSpPr txBox="1">
          <a:spLocks noChangeArrowheads="1"/>
        </xdr:cNvSpPr>
      </xdr:nvSpPr>
      <xdr:spPr bwMode="auto">
        <a:xfrm>
          <a:off x="3994150" y="21113750"/>
          <a:ext cx="1314450" cy="100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210900</xdr:rowOff>
    </xdr:from>
    <xdr:to>
      <xdr:col>5</xdr:col>
      <xdr:colOff>105335</xdr:colOff>
      <xdr:row>102</xdr:row>
      <xdr:rowOff>26476</xdr:rowOff>
    </xdr:to>
    <xdr:sp macro="" textlink="">
      <xdr:nvSpPr>
        <xdr:cNvPr id="375933" name="Text Box 125" hidden="1">
          <a:extLst>
            <a:ext uri="{FF2B5EF4-FFF2-40B4-BE49-F238E27FC236}">
              <a16:creationId xmlns:a16="http://schemas.microsoft.com/office/drawing/2014/main" id="{437B4AFB-0EC8-AADC-096A-44EC19E0D421}"/>
            </a:ext>
          </a:extLst>
        </xdr:cNvPr>
        <xdr:cNvSpPr txBox="1">
          <a:spLocks noChangeArrowheads="1"/>
        </xdr:cNvSpPr>
      </xdr:nvSpPr>
      <xdr:spPr bwMode="auto">
        <a:xfrm>
          <a:off x="3994150" y="21297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159540</xdr:rowOff>
    </xdr:from>
    <xdr:to>
      <xdr:col>5</xdr:col>
      <xdr:colOff>105335</xdr:colOff>
      <xdr:row>102</xdr:row>
      <xdr:rowOff>26476</xdr:rowOff>
    </xdr:to>
    <xdr:sp macro="" textlink="">
      <xdr:nvSpPr>
        <xdr:cNvPr id="375932" name="Text Box 124" hidden="1">
          <a:extLst>
            <a:ext uri="{FF2B5EF4-FFF2-40B4-BE49-F238E27FC236}">
              <a16:creationId xmlns:a16="http://schemas.microsoft.com/office/drawing/2014/main" id="{B07A994F-B360-7D42-99B2-D151409FF42D}"/>
            </a:ext>
          </a:extLst>
        </xdr:cNvPr>
        <xdr:cNvSpPr txBox="1">
          <a:spLocks noChangeArrowheads="1"/>
        </xdr:cNvSpPr>
      </xdr:nvSpPr>
      <xdr:spPr bwMode="auto">
        <a:xfrm>
          <a:off x="3994150" y="212598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121</xdr:row>
      <xdr:rowOff>67605</xdr:rowOff>
    </xdr:from>
    <xdr:to>
      <xdr:col>21</xdr:col>
      <xdr:colOff>257697</xdr:colOff>
      <xdr:row>125</xdr:row>
      <xdr:rowOff>172937</xdr:rowOff>
    </xdr:to>
    <xdr:sp macro="" textlink="">
      <xdr:nvSpPr>
        <xdr:cNvPr id="375931" name="Text Box 123" hidden="1">
          <a:extLst>
            <a:ext uri="{FF2B5EF4-FFF2-40B4-BE49-F238E27FC236}">
              <a16:creationId xmlns:a16="http://schemas.microsoft.com/office/drawing/2014/main" id="{C68BDD8B-6F09-31D6-F34A-262A05137F41}"/>
            </a:ext>
          </a:extLst>
        </xdr:cNvPr>
        <xdr:cNvSpPr txBox="1">
          <a:spLocks noChangeArrowheads="1"/>
        </xdr:cNvSpPr>
      </xdr:nvSpPr>
      <xdr:spPr bwMode="auto">
        <a:xfrm>
          <a:off x="17513300" y="25692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86518</xdr:rowOff>
    </xdr:to>
    <xdr:sp macro="" textlink="">
      <xdr:nvSpPr>
        <xdr:cNvPr id="375930" name="Text Box 122" hidden="1">
          <a:extLst>
            <a:ext uri="{FF2B5EF4-FFF2-40B4-BE49-F238E27FC236}">
              <a16:creationId xmlns:a16="http://schemas.microsoft.com/office/drawing/2014/main" id="{C10AB60D-256B-04F5-D046-01230C2AF916}"/>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16374</xdr:rowOff>
    </xdr:from>
    <xdr:to>
      <xdr:col>22</xdr:col>
      <xdr:colOff>429146</xdr:colOff>
      <xdr:row>28</xdr:row>
      <xdr:rowOff>76370</xdr:rowOff>
    </xdr:to>
    <xdr:sp macro="" textlink="">
      <xdr:nvSpPr>
        <xdr:cNvPr id="375929" name="Text Box 121" hidden="1">
          <a:extLst>
            <a:ext uri="{FF2B5EF4-FFF2-40B4-BE49-F238E27FC236}">
              <a16:creationId xmlns:a16="http://schemas.microsoft.com/office/drawing/2014/main" id="{A7DCB2D0-6063-25B8-F902-80B50155419F}"/>
            </a:ext>
          </a:extLst>
        </xdr:cNvPr>
        <xdr:cNvSpPr txBox="1">
          <a:spLocks noChangeArrowheads="1"/>
        </xdr:cNvSpPr>
      </xdr:nvSpPr>
      <xdr:spPr bwMode="auto">
        <a:xfrm>
          <a:off x="18332450" y="574675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125</xdr:row>
      <xdr:rowOff>122137</xdr:rowOff>
    </xdr:from>
    <xdr:to>
      <xdr:col>22</xdr:col>
      <xdr:colOff>429146</xdr:colOff>
      <xdr:row>129</xdr:row>
      <xdr:rowOff>84830</xdr:rowOff>
    </xdr:to>
    <xdr:sp macro="" textlink="">
      <xdr:nvSpPr>
        <xdr:cNvPr id="375928" name="Text Box 120" hidden="1">
          <a:extLst>
            <a:ext uri="{FF2B5EF4-FFF2-40B4-BE49-F238E27FC236}">
              <a16:creationId xmlns:a16="http://schemas.microsoft.com/office/drawing/2014/main" id="{729C288C-2D89-90AE-A818-7BF18756FB43}"/>
            </a:ext>
          </a:extLst>
        </xdr:cNvPr>
        <xdr:cNvSpPr txBox="1">
          <a:spLocks noChangeArrowheads="1"/>
        </xdr:cNvSpPr>
      </xdr:nvSpPr>
      <xdr:spPr bwMode="auto">
        <a:xfrm>
          <a:off x="18332450" y="264477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34</xdr:row>
      <xdr:rowOff>103981</xdr:rowOff>
    </xdr:from>
    <xdr:to>
      <xdr:col>11</xdr:col>
      <xdr:colOff>636501</xdr:colOff>
      <xdr:row>39</xdr:row>
      <xdr:rowOff>46831</xdr:rowOff>
    </xdr:to>
    <xdr:sp macro="" textlink="">
      <xdr:nvSpPr>
        <xdr:cNvPr id="375927" name="Text Box 119" hidden="1">
          <a:extLst>
            <a:ext uri="{FF2B5EF4-FFF2-40B4-BE49-F238E27FC236}">
              <a16:creationId xmlns:a16="http://schemas.microsoft.com/office/drawing/2014/main" id="{D2992C62-1B9B-4DE6-F40F-41D2048DDBFD}"/>
            </a:ext>
          </a:extLst>
        </xdr:cNvPr>
        <xdr:cNvSpPr txBox="1">
          <a:spLocks noChangeArrowheads="1"/>
        </xdr:cNvSpPr>
      </xdr:nvSpPr>
      <xdr:spPr bwMode="auto">
        <a:xfrm>
          <a:off x="935990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163512</xdr:rowOff>
    </xdr:to>
    <xdr:sp macro="" textlink="">
      <xdr:nvSpPr>
        <xdr:cNvPr id="375926" name="Text Box 118" hidden="1">
          <a:extLst>
            <a:ext uri="{FF2B5EF4-FFF2-40B4-BE49-F238E27FC236}">
              <a16:creationId xmlns:a16="http://schemas.microsoft.com/office/drawing/2014/main" id="{3A415EE0-A6F5-378A-45BA-758849D69494}"/>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16374</xdr:rowOff>
    </xdr:from>
    <xdr:to>
      <xdr:col>24</xdr:col>
      <xdr:colOff>467247</xdr:colOff>
      <xdr:row>28</xdr:row>
      <xdr:rowOff>139700</xdr:rowOff>
    </xdr:to>
    <xdr:sp macro="" textlink="">
      <xdr:nvSpPr>
        <xdr:cNvPr id="375925" name="Text Box 117" hidden="1">
          <a:extLst>
            <a:ext uri="{FF2B5EF4-FFF2-40B4-BE49-F238E27FC236}">
              <a16:creationId xmlns:a16="http://schemas.microsoft.com/office/drawing/2014/main" id="{9C81C5F2-109C-2892-1719-CB8B7D81DD53}"/>
            </a:ext>
          </a:extLst>
        </xdr:cNvPr>
        <xdr:cNvSpPr txBox="1">
          <a:spLocks noChangeArrowheads="1"/>
        </xdr:cNvSpPr>
      </xdr:nvSpPr>
      <xdr:spPr bwMode="auto">
        <a:xfrm>
          <a:off x="20027900" y="5746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125</xdr:row>
      <xdr:rowOff>122137</xdr:rowOff>
    </xdr:from>
    <xdr:to>
      <xdr:col>24</xdr:col>
      <xdr:colOff>467247</xdr:colOff>
      <xdr:row>130</xdr:row>
      <xdr:rowOff>30558</xdr:rowOff>
    </xdr:to>
    <xdr:sp macro="" textlink="">
      <xdr:nvSpPr>
        <xdr:cNvPr id="375924" name="Text Box 116" hidden="1">
          <a:extLst>
            <a:ext uri="{FF2B5EF4-FFF2-40B4-BE49-F238E27FC236}">
              <a16:creationId xmlns:a16="http://schemas.microsoft.com/office/drawing/2014/main" id="{D848D0A5-714E-5B2B-DAB0-89AE96418637}"/>
            </a:ext>
          </a:extLst>
        </xdr:cNvPr>
        <xdr:cNvSpPr txBox="1">
          <a:spLocks noChangeArrowheads="1"/>
        </xdr:cNvSpPr>
      </xdr:nvSpPr>
      <xdr:spPr bwMode="auto">
        <a:xfrm>
          <a:off x="20027900" y="26447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114300</xdr:rowOff>
    </xdr:from>
    <xdr:to>
      <xdr:col>18</xdr:col>
      <xdr:colOff>229489</xdr:colOff>
      <xdr:row>10</xdr:row>
      <xdr:rowOff>152400</xdr:rowOff>
    </xdr:to>
    <xdr:sp macro="" textlink="">
      <xdr:nvSpPr>
        <xdr:cNvPr id="375983" name="Text Box 175" hidden="1">
          <a:extLst>
            <a:ext uri="{FF2B5EF4-FFF2-40B4-BE49-F238E27FC236}">
              <a16:creationId xmlns:a16="http://schemas.microsoft.com/office/drawing/2014/main" id="{803CB105-DA05-36B8-59A0-A46DAE83B02A}"/>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50408</xdr:rowOff>
    </xdr:from>
    <xdr:to>
      <xdr:col>5</xdr:col>
      <xdr:colOff>105335</xdr:colOff>
      <xdr:row>226</xdr:row>
      <xdr:rowOff>50407</xdr:rowOff>
    </xdr:to>
    <xdr:sp macro="" textlink="">
      <xdr:nvSpPr>
        <xdr:cNvPr id="375982" name="Text Box 174" hidden="1">
          <a:extLst>
            <a:ext uri="{FF2B5EF4-FFF2-40B4-BE49-F238E27FC236}">
              <a16:creationId xmlns:a16="http://schemas.microsoft.com/office/drawing/2014/main" id="{A141038D-8045-E1A1-C6AA-FD53967CC93A}"/>
            </a:ext>
          </a:extLst>
        </xdr:cNvPr>
        <xdr:cNvSpPr txBox="1">
          <a:spLocks noChangeArrowheads="1"/>
        </xdr:cNvSpPr>
      </xdr:nvSpPr>
      <xdr:spPr bwMode="auto">
        <a:xfrm>
          <a:off x="3994150" y="408241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10337</xdr:rowOff>
    </xdr:from>
    <xdr:to>
      <xdr:col>5</xdr:col>
      <xdr:colOff>105335</xdr:colOff>
      <xdr:row>225</xdr:row>
      <xdr:rowOff>149626</xdr:rowOff>
    </xdr:to>
    <xdr:sp macro="" textlink="">
      <xdr:nvSpPr>
        <xdr:cNvPr id="375981" name="Text Box 173" hidden="1">
          <a:extLst>
            <a:ext uri="{FF2B5EF4-FFF2-40B4-BE49-F238E27FC236}">
              <a16:creationId xmlns:a16="http://schemas.microsoft.com/office/drawing/2014/main" id="{A1C2BF6C-13B7-BCE3-6C34-9A9AB1970598}"/>
            </a:ext>
          </a:extLst>
        </xdr:cNvPr>
        <xdr:cNvSpPr txBox="1">
          <a:spLocks noChangeArrowheads="1"/>
        </xdr:cNvSpPr>
      </xdr:nvSpPr>
      <xdr:spPr bwMode="auto">
        <a:xfrm>
          <a:off x="3994150" y="4116070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10337</xdr:rowOff>
    </xdr:from>
    <xdr:to>
      <xdr:col>5</xdr:col>
      <xdr:colOff>105335</xdr:colOff>
      <xdr:row>227</xdr:row>
      <xdr:rowOff>50408</xdr:rowOff>
    </xdr:to>
    <xdr:sp macro="" textlink="">
      <xdr:nvSpPr>
        <xdr:cNvPr id="375980" name="Text Box 172" hidden="1">
          <a:extLst>
            <a:ext uri="{FF2B5EF4-FFF2-40B4-BE49-F238E27FC236}">
              <a16:creationId xmlns:a16="http://schemas.microsoft.com/office/drawing/2014/main" id="{F4EA7B0E-54B2-4212-F9E6-7E0D6666BF7A}"/>
            </a:ext>
          </a:extLst>
        </xdr:cNvPr>
        <xdr:cNvSpPr txBox="1">
          <a:spLocks noChangeArrowheads="1"/>
        </xdr:cNvSpPr>
      </xdr:nvSpPr>
      <xdr:spPr bwMode="auto">
        <a:xfrm>
          <a:off x="3994150" y="4171315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10336</xdr:rowOff>
    </xdr:from>
    <xdr:to>
      <xdr:col>5</xdr:col>
      <xdr:colOff>105335</xdr:colOff>
      <xdr:row>214</xdr:row>
      <xdr:rowOff>149626</xdr:rowOff>
    </xdr:to>
    <xdr:sp macro="" textlink="">
      <xdr:nvSpPr>
        <xdr:cNvPr id="375979" name="Text Box 171" hidden="1">
          <a:extLst>
            <a:ext uri="{FF2B5EF4-FFF2-40B4-BE49-F238E27FC236}">
              <a16:creationId xmlns:a16="http://schemas.microsoft.com/office/drawing/2014/main" id="{4B849349-E46D-B2BB-9303-A136BA7AA2C0}"/>
            </a:ext>
          </a:extLst>
        </xdr:cNvPr>
        <xdr:cNvSpPr txBox="1">
          <a:spLocks noChangeArrowheads="1"/>
        </xdr:cNvSpPr>
      </xdr:nvSpPr>
      <xdr:spPr bwMode="auto">
        <a:xfrm>
          <a:off x="3994150" y="4189730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86126</xdr:rowOff>
    </xdr:from>
    <xdr:to>
      <xdr:col>5</xdr:col>
      <xdr:colOff>105335</xdr:colOff>
      <xdr:row>192</xdr:row>
      <xdr:rowOff>7956</xdr:rowOff>
    </xdr:to>
    <xdr:sp macro="" textlink="">
      <xdr:nvSpPr>
        <xdr:cNvPr id="375978" name="Text Box 170" hidden="1">
          <a:extLst>
            <a:ext uri="{FF2B5EF4-FFF2-40B4-BE49-F238E27FC236}">
              <a16:creationId xmlns:a16="http://schemas.microsoft.com/office/drawing/2014/main" id="{CD46FE38-D34C-BDB3-CB85-AA8A3487503E}"/>
            </a:ext>
          </a:extLst>
        </xdr:cNvPr>
        <xdr:cNvSpPr txBox="1">
          <a:spLocks noChangeArrowheads="1"/>
        </xdr:cNvSpPr>
      </xdr:nvSpPr>
      <xdr:spPr bwMode="auto">
        <a:xfrm>
          <a:off x="3994150" y="375856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126606</xdr:rowOff>
    </xdr:from>
    <xdr:to>
      <xdr:col>5</xdr:col>
      <xdr:colOff>105335</xdr:colOff>
      <xdr:row>193</xdr:row>
      <xdr:rowOff>67076</xdr:rowOff>
    </xdr:to>
    <xdr:sp macro="" textlink="">
      <xdr:nvSpPr>
        <xdr:cNvPr id="375977" name="Text Box 169" hidden="1">
          <a:extLst>
            <a:ext uri="{FF2B5EF4-FFF2-40B4-BE49-F238E27FC236}">
              <a16:creationId xmlns:a16="http://schemas.microsoft.com/office/drawing/2014/main" id="{03C6498C-1EA6-7C05-88F7-4E3AEBA77881}"/>
            </a:ext>
          </a:extLst>
        </xdr:cNvPr>
        <xdr:cNvSpPr txBox="1">
          <a:spLocks noChangeArrowheads="1"/>
        </xdr:cNvSpPr>
      </xdr:nvSpPr>
      <xdr:spPr bwMode="auto">
        <a:xfrm>
          <a:off x="3994150" y="380301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65489</xdr:rowOff>
    </xdr:from>
    <xdr:to>
      <xdr:col>5</xdr:col>
      <xdr:colOff>105335</xdr:colOff>
      <xdr:row>194</xdr:row>
      <xdr:rowOff>86126</xdr:rowOff>
    </xdr:to>
    <xdr:sp macro="" textlink="">
      <xdr:nvSpPr>
        <xdr:cNvPr id="375976" name="Text Box 168" hidden="1">
          <a:extLst>
            <a:ext uri="{FF2B5EF4-FFF2-40B4-BE49-F238E27FC236}">
              <a16:creationId xmlns:a16="http://schemas.microsoft.com/office/drawing/2014/main" id="{305084BA-BD52-B40D-C5BA-513561A485C9}"/>
            </a:ext>
          </a:extLst>
        </xdr:cNvPr>
        <xdr:cNvSpPr txBox="1">
          <a:spLocks noChangeArrowheads="1"/>
        </xdr:cNvSpPr>
      </xdr:nvSpPr>
      <xdr:spPr bwMode="auto">
        <a:xfrm>
          <a:off x="3994150" y="383984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50408</xdr:rowOff>
    </xdr:from>
    <xdr:to>
      <xdr:col>5</xdr:col>
      <xdr:colOff>105335</xdr:colOff>
      <xdr:row>201</xdr:row>
      <xdr:rowOff>29387</xdr:rowOff>
    </xdr:to>
    <xdr:sp macro="" textlink="">
      <xdr:nvSpPr>
        <xdr:cNvPr id="375975" name="Text Box 167" hidden="1">
          <a:extLst>
            <a:ext uri="{FF2B5EF4-FFF2-40B4-BE49-F238E27FC236}">
              <a16:creationId xmlns:a16="http://schemas.microsoft.com/office/drawing/2014/main" id="{BC9E4A6F-8CE2-5756-4231-A6EBA9F1C1BE}"/>
            </a:ext>
          </a:extLst>
        </xdr:cNvPr>
        <xdr:cNvSpPr txBox="1">
          <a:spLocks noChangeArrowheads="1"/>
        </xdr:cNvSpPr>
      </xdr:nvSpPr>
      <xdr:spPr bwMode="auto">
        <a:xfrm>
          <a:off x="3994150" y="387667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349313</xdr:rowOff>
    </xdr:from>
    <xdr:to>
      <xdr:col>5</xdr:col>
      <xdr:colOff>105335</xdr:colOff>
      <xdr:row>53</xdr:row>
      <xdr:rowOff>370854</xdr:rowOff>
    </xdr:to>
    <xdr:sp macro="" textlink="">
      <xdr:nvSpPr>
        <xdr:cNvPr id="375974" name="Text Box 166" hidden="1">
          <a:extLst>
            <a:ext uri="{FF2B5EF4-FFF2-40B4-BE49-F238E27FC236}">
              <a16:creationId xmlns:a16="http://schemas.microsoft.com/office/drawing/2014/main" id="{9CEEDF96-439D-7704-3018-1F933B0DCC10}"/>
            </a:ext>
          </a:extLst>
        </xdr:cNvPr>
        <xdr:cNvSpPr txBox="1">
          <a:spLocks noChangeArrowheads="1"/>
        </xdr:cNvSpPr>
      </xdr:nvSpPr>
      <xdr:spPr bwMode="auto">
        <a:xfrm>
          <a:off x="3994150" y="113347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349313</xdr:rowOff>
    </xdr:from>
    <xdr:to>
      <xdr:col>5</xdr:col>
      <xdr:colOff>105335</xdr:colOff>
      <xdr:row>62</xdr:row>
      <xdr:rowOff>141680</xdr:rowOff>
    </xdr:to>
    <xdr:sp macro="" textlink="">
      <xdr:nvSpPr>
        <xdr:cNvPr id="375973" name="Text Box 165" hidden="1">
          <a:extLst>
            <a:ext uri="{FF2B5EF4-FFF2-40B4-BE49-F238E27FC236}">
              <a16:creationId xmlns:a16="http://schemas.microsoft.com/office/drawing/2014/main" id="{57F8BDEB-FCC1-3AF6-DE59-1F02845F7BBA}"/>
            </a:ext>
          </a:extLst>
        </xdr:cNvPr>
        <xdr:cNvSpPr txBox="1">
          <a:spLocks noChangeArrowheads="1"/>
        </xdr:cNvSpPr>
      </xdr:nvSpPr>
      <xdr:spPr bwMode="auto">
        <a:xfrm>
          <a:off x="3994150" y="1133475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431366</xdr:rowOff>
    </xdr:from>
    <xdr:to>
      <xdr:col>5</xdr:col>
      <xdr:colOff>105335</xdr:colOff>
      <xdr:row>66</xdr:row>
      <xdr:rowOff>163778</xdr:rowOff>
    </xdr:to>
    <xdr:sp macro="" textlink="">
      <xdr:nvSpPr>
        <xdr:cNvPr id="375972" name="Text Box 164" hidden="1">
          <a:extLst>
            <a:ext uri="{FF2B5EF4-FFF2-40B4-BE49-F238E27FC236}">
              <a16:creationId xmlns:a16="http://schemas.microsoft.com/office/drawing/2014/main" id="{6B9874A2-2830-FABD-F542-A5731CF9998B}"/>
            </a:ext>
          </a:extLst>
        </xdr:cNvPr>
        <xdr:cNvSpPr txBox="1">
          <a:spLocks noChangeArrowheads="1"/>
        </xdr:cNvSpPr>
      </xdr:nvSpPr>
      <xdr:spPr bwMode="auto">
        <a:xfrm>
          <a:off x="3994150" y="1143000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450416</xdr:rowOff>
    </xdr:from>
    <xdr:to>
      <xdr:col>5</xdr:col>
      <xdr:colOff>105335</xdr:colOff>
      <xdr:row>67</xdr:row>
      <xdr:rowOff>10585</xdr:rowOff>
    </xdr:to>
    <xdr:sp macro="" textlink="">
      <xdr:nvSpPr>
        <xdr:cNvPr id="375971" name="Text Box 163" hidden="1">
          <a:extLst>
            <a:ext uri="{FF2B5EF4-FFF2-40B4-BE49-F238E27FC236}">
              <a16:creationId xmlns:a16="http://schemas.microsoft.com/office/drawing/2014/main" id="{04C68E9C-76EF-589F-8E5E-E239B08D7384}"/>
            </a:ext>
          </a:extLst>
        </xdr:cNvPr>
        <xdr:cNvSpPr txBox="1">
          <a:spLocks noChangeArrowheads="1"/>
        </xdr:cNvSpPr>
      </xdr:nvSpPr>
      <xdr:spPr bwMode="auto">
        <a:xfrm>
          <a:off x="3994150" y="1144905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189254</xdr:rowOff>
    </xdr:from>
    <xdr:to>
      <xdr:col>5</xdr:col>
      <xdr:colOff>105335</xdr:colOff>
      <xdr:row>66</xdr:row>
      <xdr:rowOff>144728</xdr:rowOff>
    </xdr:to>
    <xdr:sp macro="" textlink="">
      <xdr:nvSpPr>
        <xdr:cNvPr id="375970" name="Text Box 162" hidden="1">
          <a:extLst>
            <a:ext uri="{FF2B5EF4-FFF2-40B4-BE49-F238E27FC236}">
              <a16:creationId xmlns:a16="http://schemas.microsoft.com/office/drawing/2014/main" id="{9F63C317-9531-76AB-46FB-4D003054678B}"/>
            </a:ext>
          </a:extLst>
        </xdr:cNvPr>
        <xdr:cNvSpPr txBox="1">
          <a:spLocks noChangeArrowheads="1"/>
        </xdr:cNvSpPr>
      </xdr:nvSpPr>
      <xdr:spPr bwMode="auto">
        <a:xfrm>
          <a:off x="3994150" y="12954000"/>
          <a:ext cx="131445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85511</xdr:rowOff>
    </xdr:from>
    <xdr:to>
      <xdr:col>5</xdr:col>
      <xdr:colOff>105335</xdr:colOff>
      <xdr:row>78</xdr:row>
      <xdr:rowOff>50188</xdr:rowOff>
    </xdr:to>
    <xdr:sp macro="" textlink="">
      <xdr:nvSpPr>
        <xdr:cNvPr id="375969" name="Text Box 161" hidden="1">
          <a:extLst>
            <a:ext uri="{FF2B5EF4-FFF2-40B4-BE49-F238E27FC236}">
              <a16:creationId xmlns:a16="http://schemas.microsoft.com/office/drawing/2014/main" id="{F808C4C6-88DC-B75D-17BC-302F3E145B98}"/>
            </a:ext>
          </a:extLst>
        </xdr:cNvPr>
        <xdr:cNvSpPr txBox="1">
          <a:spLocks noChangeArrowheads="1"/>
        </xdr:cNvSpPr>
      </xdr:nvSpPr>
      <xdr:spPr bwMode="auto">
        <a:xfrm>
          <a:off x="3994150" y="160718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6370</xdr:rowOff>
    </xdr:from>
    <xdr:to>
      <xdr:col>5</xdr:col>
      <xdr:colOff>105335</xdr:colOff>
      <xdr:row>77</xdr:row>
      <xdr:rowOff>144911</xdr:rowOff>
    </xdr:to>
    <xdr:sp macro="" textlink="">
      <xdr:nvSpPr>
        <xdr:cNvPr id="375968" name="Text Box 160" hidden="1">
          <a:extLst>
            <a:ext uri="{FF2B5EF4-FFF2-40B4-BE49-F238E27FC236}">
              <a16:creationId xmlns:a16="http://schemas.microsoft.com/office/drawing/2014/main" id="{CCA93F76-126D-8ADE-7293-79080283A728}"/>
            </a:ext>
          </a:extLst>
        </xdr:cNvPr>
        <xdr:cNvSpPr txBox="1">
          <a:spLocks noChangeArrowheads="1"/>
        </xdr:cNvSpPr>
      </xdr:nvSpPr>
      <xdr:spPr bwMode="auto">
        <a:xfrm>
          <a:off x="3994150" y="16179800"/>
          <a:ext cx="131445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152510</xdr:rowOff>
    </xdr:from>
    <xdr:to>
      <xdr:col>5</xdr:col>
      <xdr:colOff>105335</xdr:colOff>
      <xdr:row>79</xdr:row>
      <xdr:rowOff>29882</xdr:rowOff>
    </xdr:to>
    <xdr:sp macro="" textlink="">
      <xdr:nvSpPr>
        <xdr:cNvPr id="375967" name="Text Box 159" hidden="1">
          <a:extLst>
            <a:ext uri="{FF2B5EF4-FFF2-40B4-BE49-F238E27FC236}">
              <a16:creationId xmlns:a16="http://schemas.microsoft.com/office/drawing/2014/main" id="{FA7DBA68-BFA4-F504-22AC-EA2A2B55986B}"/>
            </a:ext>
          </a:extLst>
        </xdr:cNvPr>
        <xdr:cNvSpPr txBox="1">
          <a:spLocks noChangeArrowheads="1"/>
        </xdr:cNvSpPr>
      </xdr:nvSpPr>
      <xdr:spPr bwMode="auto">
        <a:xfrm>
          <a:off x="3994150" y="1630680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143533</xdr:rowOff>
    </xdr:from>
    <xdr:to>
      <xdr:col>5</xdr:col>
      <xdr:colOff>105335</xdr:colOff>
      <xdr:row>80</xdr:row>
      <xdr:rowOff>11754</xdr:rowOff>
    </xdr:to>
    <xdr:sp macro="" textlink="">
      <xdr:nvSpPr>
        <xdr:cNvPr id="375966" name="Text Box 158" hidden="1">
          <a:extLst>
            <a:ext uri="{FF2B5EF4-FFF2-40B4-BE49-F238E27FC236}">
              <a16:creationId xmlns:a16="http://schemas.microsoft.com/office/drawing/2014/main" id="{548FFCDE-2FC2-46AC-66C9-7321A5BDA925}"/>
            </a:ext>
          </a:extLst>
        </xdr:cNvPr>
        <xdr:cNvSpPr txBox="1">
          <a:spLocks noChangeArrowheads="1"/>
        </xdr:cNvSpPr>
      </xdr:nvSpPr>
      <xdr:spPr bwMode="auto">
        <a:xfrm>
          <a:off x="3994150" y="1649095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31261</xdr:rowOff>
    </xdr:from>
    <xdr:to>
      <xdr:col>5</xdr:col>
      <xdr:colOff>105335</xdr:colOff>
      <xdr:row>102</xdr:row>
      <xdr:rowOff>145305</xdr:rowOff>
    </xdr:to>
    <xdr:sp macro="" textlink="">
      <xdr:nvSpPr>
        <xdr:cNvPr id="375965" name="Text Box 157" hidden="1">
          <a:extLst>
            <a:ext uri="{FF2B5EF4-FFF2-40B4-BE49-F238E27FC236}">
              <a16:creationId xmlns:a16="http://schemas.microsoft.com/office/drawing/2014/main" id="{5ABE033D-19AA-C7EA-04BB-9B88C13149EA}"/>
            </a:ext>
          </a:extLst>
        </xdr:cNvPr>
        <xdr:cNvSpPr txBox="1">
          <a:spLocks noChangeArrowheads="1"/>
        </xdr:cNvSpPr>
      </xdr:nvSpPr>
      <xdr:spPr bwMode="auto">
        <a:xfrm>
          <a:off x="3994150" y="20872450"/>
          <a:ext cx="1314450" cy="130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26823</xdr:rowOff>
    </xdr:from>
    <xdr:to>
      <xdr:col>5</xdr:col>
      <xdr:colOff>105335</xdr:colOff>
      <xdr:row>102</xdr:row>
      <xdr:rowOff>66194</xdr:rowOff>
    </xdr:to>
    <xdr:sp macro="" textlink="">
      <xdr:nvSpPr>
        <xdr:cNvPr id="375964" name="Text Box 156" hidden="1">
          <a:extLst>
            <a:ext uri="{FF2B5EF4-FFF2-40B4-BE49-F238E27FC236}">
              <a16:creationId xmlns:a16="http://schemas.microsoft.com/office/drawing/2014/main" id="{C47A4A8A-CF63-6B5C-4A09-32FC34423054}"/>
            </a:ext>
          </a:extLst>
        </xdr:cNvPr>
        <xdr:cNvSpPr txBox="1">
          <a:spLocks noChangeArrowheads="1"/>
        </xdr:cNvSpPr>
      </xdr:nvSpPr>
      <xdr:spPr bwMode="auto">
        <a:xfrm>
          <a:off x="3994150" y="21113750"/>
          <a:ext cx="1314450" cy="100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210900</xdr:rowOff>
    </xdr:from>
    <xdr:to>
      <xdr:col>5</xdr:col>
      <xdr:colOff>105335</xdr:colOff>
      <xdr:row>102</xdr:row>
      <xdr:rowOff>26476</xdr:rowOff>
    </xdr:to>
    <xdr:sp macro="" textlink="">
      <xdr:nvSpPr>
        <xdr:cNvPr id="375963" name="Text Box 155" hidden="1">
          <a:extLst>
            <a:ext uri="{FF2B5EF4-FFF2-40B4-BE49-F238E27FC236}">
              <a16:creationId xmlns:a16="http://schemas.microsoft.com/office/drawing/2014/main" id="{715378B3-6083-8599-0348-7402FBB43A36}"/>
            </a:ext>
          </a:extLst>
        </xdr:cNvPr>
        <xdr:cNvSpPr txBox="1">
          <a:spLocks noChangeArrowheads="1"/>
        </xdr:cNvSpPr>
      </xdr:nvSpPr>
      <xdr:spPr bwMode="auto">
        <a:xfrm>
          <a:off x="3994150" y="21297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159540</xdr:rowOff>
    </xdr:from>
    <xdr:to>
      <xdr:col>5</xdr:col>
      <xdr:colOff>105335</xdr:colOff>
      <xdr:row>102</xdr:row>
      <xdr:rowOff>26476</xdr:rowOff>
    </xdr:to>
    <xdr:sp macro="" textlink="">
      <xdr:nvSpPr>
        <xdr:cNvPr id="375962" name="Text Box 154" hidden="1">
          <a:extLst>
            <a:ext uri="{FF2B5EF4-FFF2-40B4-BE49-F238E27FC236}">
              <a16:creationId xmlns:a16="http://schemas.microsoft.com/office/drawing/2014/main" id="{AFA7273E-CBBD-894F-0262-50CEB5B02B6E}"/>
            </a:ext>
          </a:extLst>
        </xdr:cNvPr>
        <xdr:cNvSpPr txBox="1">
          <a:spLocks noChangeArrowheads="1"/>
        </xdr:cNvSpPr>
      </xdr:nvSpPr>
      <xdr:spPr bwMode="auto">
        <a:xfrm>
          <a:off x="3994150" y="212598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121</xdr:row>
      <xdr:rowOff>67605</xdr:rowOff>
    </xdr:from>
    <xdr:to>
      <xdr:col>21</xdr:col>
      <xdr:colOff>257697</xdr:colOff>
      <xdr:row>125</xdr:row>
      <xdr:rowOff>172937</xdr:rowOff>
    </xdr:to>
    <xdr:sp macro="" textlink="">
      <xdr:nvSpPr>
        <xdr:cNvPr id="375961" name="Text Box 153" hidden="1">
          <a:extLst>
            <a:ext uri="{FF2B5EF4-FFF2-40B4-BE49-F238E27FC236}">
              <a16:creationId xmlns:a16="http://schemas.microsoft.com/office/drawing/2014/main" id="{534F5159-385C-45F4-E1B5-5E1072BC0D2B}"/>
            </a:ext>
          </a:extLst>
        </xdr:cNvPr>
        <xdr:cNvSpPr txBox="1">
          <a:spLocks noChangeArrowheads="1"/>
        </xdr:cNvSpPr>
      </xdr:nvSpPr>
      <xdr:spPr bwMode="auto">
        <a:xfrm>
          <a:off x="17513300" y="25692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86518</xdr:rowOff>
    </xdr:to>
    <xdr:sp macro="" textlink="">
      <xdr:nvSpPr>
        <xdr:cNvPr id="375960" name="Text Box 152" hidden="1">
          <a:extLst>
            <a:ext uri="{FF2B5EF4-FFF2-40B4-BE49-F238E27FC236}">
              <a16:creationId xmlns:a16="http://schemas.microsoft.com/office/drawing/2014/main" id="{97E4913C-737E-710D-6CF3-27E4858E844F}"/>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16374</xdr:rowOff>
    </xdr:from>
    <xdr:to>
      <xdr:col>22</xdr:col>
      <xdr:colOff>429146</xdr:colOff>
      <xdr:row>28</xdr:row>
      <xdr:rowOff>76370</xdr:rowOff>
    </xdr:to>
    <xdr:sp macro="" textlink="">
      <xdr:nvSpPr>
        <xdr:cNvPr id="375959" name="Text Box 151" hidden="1">
          <a:extLst>
            <a:ext uri="{FF2B5EF4-FFF2-40B4-BE49-F238E27FC236}">
              <a16:creationId xmlns:a16="http://schemas.microsoft.com/office/drawing/2014/main" id="{58E4EF65-A8A1-23E5-FC17-98786BDDB5AE}"/>
            </a:ext>
          </a:extLst>
        </xdr:cNvPr>
        <xdr:cNvSpPr txBox="1">
          <a:spLocks noChangeArrowheads="1"/>
        </xdr:cNvSpPr>
      </xdr:nvSpPr>
      <xdr:spPr bwMode="auto">
        <a:xfrm>
          <a:off x="18332450" y="574675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125</xdr:row>
      <xdr:rowOff>122137</xdr:rowOff>
    </xdr:from>
    <xdr:to>
      <xdr:col>22</xdr:col>
      <xdr:colOff>429146</xdr:colOff>
      <xdr:row>129</xdr:row>
      <xdr:rowOff>84830</xdr:rowOff>
    </xdr:to>
    <xdr:sp macro="" textlink="">
      <xdr:nvSpPr>
        <xdr:cNvPr id="375958" name="Text Box 150" hidden="1">
          <a:extLst>
            <a:ext uri="{FF2B5EF4-FFF2-40B4-BE49-F238E27FC236}">
              <a16:creationId xmlns:a16="http://schemas.microsoft.com/office/drawing/2014/main" id="{CE92BBB1-5135-681F-22A7-8A14866C5F9F}"/>
            </a:ext>
          </a:extLst>
        </xdr:cNvPr>
        <xdr:cNvSpPr txBox="1">
          <a:spLocks noChangeArrowheads="1"/>
        </xdr:cNvSpPr>
      </xdr:nvSpPr>
      <xdr:spPr bwMode="auto">
        <a:xfrm>
          <a:off x="18332450" y="264477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34</xdr:row>
      <xdr:rowOff>103981</xdr:rowOff>
    </xdr:from>
    <xdr:to>
      <xdr:col>11</xdr:col>
      <xdr:colOff>636501</xdr:colOff>
      <xdr:row>39</xdr:row>
      <xdr:rowOff>46831</xdr:rowOff>
    </xdr:to>
    <xdr:sp macro="" textlink="">
      <xdr:nvSpPr>
        <xdr:cNvPr id="375957" name="Text Box 149" hidden="1">
          <a:extLst>
            <a:ext uri="{FF2B5EF4-FFF2-40B4-BE49-F238E27FC236}">
              <a16:creationId xmlns:a16="http://schemas.microsoft.com/office/drawing/2014/main" id="{77598CC2-B56E-5319-AC9A-7300FF7AA642}"/>
            </a:ext>
          </a:extLst>
        </xdr:cNvPr>
        <xdr:cNvSpPr txBox="1">
          <a:spLocks noChangeArrowheads="1"/>
        </xdr:cNvSpPr>
      </xdr:nvSpPr>
      <xdr:spPr bwMode="auto">
        <a:xfrm>
          <a:off x="935990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163512</xdr:rowOff>
    </xdr:to>
    <xdr:sp macro="" textlink="">
      <xdr:nvSpPr>
        <xdr:cNvPr id="375956" name="Text Box 148" hidden="1">
          <a:extLst>
            <a:ext uri="{FF2B5EF4-FFF2-40B4-BE49-F238E27FC236}">
              <a16:creationId xmlns:a16="http://schemas.microsoft.com/office/drawing/2014/main" id="{B6B06366-A62C-DF2A-891C-D69521A42B89}"/>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16374</xdr:rowOff>
    </xdr:from>
    <xdr:to>
      <xdr:col>24</xdr:col>
      <xdr:colOff>467247</xdr:colOff>
      <xdr:row>28</xdr:row>
      <xdr:rowOff>139700</xdr:rowOff>
    </xdr:to>
    <xdr:sp macro="" textlink="">
      <xdr:nvSpPr>
        <xdr:cNvPr id="375955" name="Text Box 147" hidden="1">
          <a:extLst>
            <a:ext uri="{FF2B5EF4-FFF2-40B4-BE49-F238E27FC236}">
              <a16:creationId xmlns:a16="http://schemas.microsoft.com/office/drawing/2014/main" id="{DC7A2932-D6DD-C643-BF21-9EBA2EDFBC99}"/>
            </a:ext>
          </a:extLst>
        </xdr:cNvPr>
        <xdr:cNvSpPr txBox="1">
          <a:spLocks noChangeArrowheads="1"/>
        </xdr:cNvSpPr>
      </xdr:nvSpPr>
      <xdr:spPr bwMode="auto">
        <a:xfrm>
          <a:off x="20027900" y="5746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125</xdr:row>
      <xdr:rowOff>122137</xdr:rowOff>
    </xdr:from>
    <xdr:to>
      <xdr:col>24</xdr:col>
      <xdr:colOff>467247</xdr:colOff>
      <xdr:row>130</xdr:row>
      <xdr:rowOff>30558</xdr:rowOff>
    </xdr:to>
    <xdr:sp macro="" textlink="">
      <xdr:nvSpPr>
        <xdr:cNvPr id="375954" name="Text Box 146" hidden="1">
          <a:extLst>
            <a:ext uri="{FF2B5EF4-FFF2-40B4-BE49-F238E27FC236}">
              <a16:creationId xmlns:a16="http://schemas.microsoft.com/office/drawing/2014/main" id="{5E7AC962-4985-2771-4273-3948FF23C985}"/>
            </a:ext>
          </a:extLst>
        </xdr:cNvPr>
        <xdr:cNvSpPr txBox="1">
          <a:spLocks noChangeArrowheads="1"/>
        </xdr:cNvSpPr>
      </xdr:nvSpPr>
      <xdr:spPr bwMode="auto">
        <a:xfrm>
          <a:off x="20027900" y="26447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486297</xdr:colOff>
      <xdr:row>18</xdr:row>
      <xdr:rowOff>143668</xdr:rowOff>
    </xdr:to>
    <xdr:sp macro="" textlink="">
      <xdr:nvSpPr>
        <xdr:cNvPr id="375984" name="Text Box 176" hidden="1">
          <a:extLst>
            <a:ext uri="{FF2B5EF4-FFF2-40B4-BE49-F238E27FC236}">
              <a16:creationId xmlns:a16="http://schemas.microsoft.com/office/drawing/2014/main" id="{AE1D7549-0259-B4B6-9114-5B299780C280}"/>
            </a:ext>
          </a:extLst>
        </xdr:cNvPr>
        <xdr:cNvSpPr txBox="1">
          <a:spLocks noChangeArrowheads="1"/>
        </xdr:cNvSpPr>
      </xdr:nvSpPr>
      <xdr:spPr bwMode="auto">
        <a:xfrm>
          <a:off x="20789900" y="35750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35424</xdr:rowOff>
    </xdr:from>
    <xdr:to>
      <xdr:col>25</xdr:col>
      <xdr:colOff>486297</xdr:colOff>
      <xdr:row>28</xdr:row>
      <xdr:rowOff>114470</xdr:rowOff>
    </xdr:to>
    <xdr:sp macro="" textlink="">
      <xdr:nvSpPr>
        <xdr:cNvPr id="375985" name="Text Box 177" hidden="1">
          <a:extLst>
            <a:ext uri="{FF2B5EF4-FFF2-40B4-BE49-F238E27FC236}">
              <a16:creationId xmlns:a16="http://schemas.microsoft.com/office/drawing/2014/main" id="{85391003-A2C0-483F-C093-C42F3011C66A}"/>
            </a:ext>
          </a:extLst>
        </xdr:cNvPr>
        <xdr:cNvSpPr txBox="1">
          <a:spLocks noChangeArrowheads="1"/>
        </xdr:cNvSpPr>
      </xdr:nvSpPr>
      <xdr:spPr bwMode="auto">
        <a:xfrm>
          <a:off x="20789900" y="576580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125</xdr:row>
      <xdr:rowOff>172937</xdr:rowOff>
    </xdr:from>
    <xdr:to>
      <xdr:col>25</xdr:col>
      <xdr:colOff>486297</xdr:colOff>
      <xdr:row>129</xdr:row>
      <xdr:rowOff>164999</xdr:rowOff>
    </xdr:to>
    <xdr:sp macro="" textlink="">
      <xdr:nvSpPr>
        <xdr:cNvPr id="375986" name="Text Box 178" hidden="1">
          <a:extLst>
            <a:ext uri="{FF2B5EF4-FFF2-40B4-BE49-F238E27FC236}">
              <a16:creationId xmlns:a16="http://schemas.microsoft.com/office/drawing/2014/main" id="{558E45C6-092E-A41B-16DB-425D9C7A201F}"/>
            </a:ext>
          </a:extLst>
        </xdr:cNvPr>
        <xdr:cNvSpPr txBox="1">
          <a:spLocks noChangeArrowheads="1"/>
        </xdr:cNvSpPr>
      </xdr:nvSpPr>
      <xdr:spPr bwMode="auto">
        <a:xfrm>
          <a:off x="20789900" y="2646680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114300</xdr:rowOff>
    </xdr:from>
    <xdr:to>
      <xdr:col>18</xdr:col>
      <xdr:colOff>229489</xdr:colOff>
      <xdr:row>10</xdr:row>
      <xdr:rowOff>152400</xdr:rowOff>
    </xdr:to>
    <xdr:sp macro="" textlink="">
      <xdr:nvSpPr>
        <xdr:cNvPr id="376052" name="Text Box 244" hidden="1">
          <a:extLst>
            <a:ext uri="{FF2B5EF4-FFF2-40B4-BE49-F238E27FC236}">
              <a16:creationId xmlns:a16="http://schemas.microsoft.com/office/drawing/2014/main" id="{23AC36C6-0247-BE1A-47F2-E97E12560934}"/>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50407</xdr:rowOff>
    </xdr:from>
    <xdr:to>
      <xdr:col>5</xdr:col>
      <xdr:colOff>105335</xdr:colOff>
      <xdr:row>241</xdr:row>
      <xdr:rowOff>50407</xdr:rowOff>
    </xdr:to>
    <xdr:sp macro="" textlink="">
      <xdr:nvSpPr>
        <xdr:cNvPr id="376051" name="Text Box 243" hidden="1">
          <a:extLst>
            <a:ext uri="{FF2B5EF4-FFF2-40B4-BE49-F238E27FC236}">
              <a16:creationId xmlns:a16="http://schemas.microsoft.com/office/drawing/2014/main" id="{D055DF9F-F28D-6C3B-BD1A-0BE2A88AE19C}"/>
            </a:ext>
          </a:extLst>
        </xdr:cNvPr>
        <xdr:cNvSpPr txBox="1">
          <a:spLocks noChangeArrowheads="1"/>
        </xdr:cNvSpPr>
      </xdr:nvSpPr>
      <xdr:spPr bwMode="auto">
        <a:xfrm>
          <a:off x="3994150" y="43586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10337</xdr:rowOff>
    </xdr:from>
    <xdr:to>
      <xdr:col>5</xdr:col>
      <xdr:colOff>105335</xdr:colOff>
      <xdr:row>240</xdr:row>
      <xdr:rowOff>149626</xdr:rowOff>
    </xdr:to>
    <xdr:sp macro="" textlink="">
      <xdr:nvSpPr>
        <xdr:cNvPr id="376050" name="Text Box 242" hidden="1">
          <a:extLst>
            <a:ext uri="{FF2B5EF4-FFF2-40B4-BE49-F238E27FC236}">
              <a16:creationId xmlns:a16="http://schemas.microsoft.com/office/drawing/2014/main" id="{D6D12E7E-065A-019E-6188-AE5B8A24E3C4}"/>
            </a:ext>
          </a:extLst>
        </xdr:cNvPr>
        <xdr:cNvSpPr txBox="1">
          <a:spLocks noChangeArrowheads="1"/>
        </xdr:cNvSpPr>
      </xdr:nvSpPr>
      <xdr:spPr bwMode="auto">
        <a:xfrm>
          <a:off x="3994150" y="43922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10337</xdr:rowOff>
    </xdr:from>
    <xdr:to>
      <xdr:col>5</xdr:col>
      <xdr:colOff>105335</xdr:colOff>
      <xdr:row>242</xdr:row>
      <xdr:rowOff>50407</xdr:rowOff>
    </xdr:to>
    <xdr:sp macro="" textlink="">
      <xdr:nvSpPr>
        <xdr:cNvPr id="376049" name="Text Box 241" hidden="1">
          <a:extLst>
            <a:ext uri="{FF2B5EF4-FFF2-40B4-BE49-F238E27FC236}">
              <a16:creationId xmlns:a16="http://schemas.microsoft.com/office/drawing/2014/main" id="{9676CD5E-E04A-5414-CC22-3E406A7E4E8C}"/>
            </a:ext>
          </a:extLst>
        </xdr:cNvPr>
        <xdr:cNvSpPr txBox="1">
          <a:spLocks noChangeArrowheads="1"/>
        </xdr:cNvSpPr>
      </xdr:nvSpPr>
      <xdr:spPr bwMode="auto">
        <a:xfrm>
          <a:off x="3994150" y="44475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10337</xdr:rowOff>
    </xdr:from>
    <xdr:to>
      <xdr:col>5</xdr:col>
      <xdr:colOff>105335</xdr:colOff>
      <xdr:row>229</xdr:row>
      <xdr:rowOff>149626</xdr:rowOff>
    </xdr:to>
    <xdr:sp macro="" textlink="">
      <xdr:nvSpPr>
        <xdr:cNvPr id="376048" name="Text Box 240" hidden="1">
          <a:extLst>
            <a:ext uri="{FF2B5EF4-FFF2-40B4-BE49-F238E27FC236}">
              <a16:creationId xmlns:a16="http://schemas.microsoft.com/office/drawing/2014/main" id="{817D18A4-77FB-ACB4-191B-2EC077BDF52E}"/>
            </a:ext>
          </a:extLst>
        </xdr:cNvPr>
        <xdr:cNvSpPr txBox="1">
          <a:spLocks noChangeArrowheads="1"/>
        </xdr:cNvSpPr>
      </xdr:nvSpPr>
      <xdr:spPr bwMode="auto">
        <a:xfrm>
          <a:off x="3994150" y="44659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126607</xdr:rowOff>
    </xdr:from>
    <xdr:to>
      <xdr:col>5</xdr:col>
      <xdr:colOff>105335</xdr:colOff>
      <xdr:row>206</xdr:row>
      <xdr:rowOff>149626</xdr:rowOff>
    </xdr:to>
    <xdr:sp macro="" textlink="">
      <xdr:nvSpPr>
        <xdr:cNvPr id="376047" name="Text Box 239" hidden="1">
          <a:extLst>
            <a:ext uri="{FF2B5EF4-FFF2-40B4-BE49-F238E27FC236}">
              <a16:creationId xmlns:a16="http://schemas.microsoft.com/office/drawing/2014/main" id="{5F7632AB-E87C-13B3-CF69-ADBA78E71500}"/>
            </a:ext>
          </a:extLst>
        </xdr:cNvPr>
        <xdr:cNvSpPr txBox="1">
          <a:spLocks noChangeArrowheads="1"/>
        </xdr:cNvSpPr>
      </xdr:nvSpPr>
      <xdr:spPr bwMode="auto">
        <a:xfrm>
          <a:off x="3994150" y="40347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10337</xdr:rowOff>
    </xdr:from>
    <xdr:to>
      <xdr:col>5</xdr:col>
      <xdr:colOff>105335</xdr:colOff>
      <xdr:row>208</xdr:row>
      <xdr:rowOff>29387</xdr:rowOff>
    </xdr:to>
    <xdr:sp macro="" textlink="">
      <xdr:nvSpPr>
        <xdr:cNvPr id="376046" name="Text Box 238" hidden="1">
          <a:extLst>
            <a:ext uri="{FF2B5EF4-FFF2-40B4-BE49-F238E27FC236}">
              <a16:creationId xmlns:a16="http://schemas.microsoft.com/office/drawing/2014/main" id="{50700D75-5D84-502B-9AD0-3F13D965378E}"/>
            </a:ext>
          </a:extLst>
        </xdr:cNvPr>
        <xdr:cNvSpPr txBox="1">
          <a:spLocks noChangeArrowheads="1"/>
        </xdr:cNvSpPr>
      </xdr:nvSpPr>
      <xdr:spPr bwMode="auto">
        <a:xfrm>
          <a:off x="3994150" y="40792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10337</xdr:rowOff>
    </xdr:from>
    <xdr:to>
      <xdr:col>5</xdr:col>
      <xdr:colOff>105335</xdr:colOff>
      <xdr:row>209</xdr:row>
      <xdr:rowOff>50407</xdr:rowOff>
    </xdr:to>
    <xdr:sp macro="" textlink="">
      <xdr:nvSpPr>
        <xdr:cNvPr id="376045" name="Text Box 237" hidden="1">
          <a:extLst>
            <a:ext uri="{FF2B5EF4-FFF2-40B4-BE49-F238E27FC236}">
              <a16:creationId xmlns:a16="http://schemas.microsoft.com/office/drawing/2014/main" id="{F88325FF-AB64-6BD3-AD6E-31B79C3691C3}"/>
            </a:ext>
          </a:extLst>
        </xdr:cNvPr>
        <xdr:cNvSpPr txBox="1">
          <a:spLocks noChangeArrowheads="1"/>
        </xdr:cNvSpPr>
      </xdr:nvSpPr>
      <xdr:spPr bwMode="auto">
        <a:xfrm>
          <a:off x="3994150" y="41160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10338</xdr:rowOff>
    </xdr:from>
    <xdr:to>
      <xdr:col>5</xdr:col>
      <xdr:colOff>105335</xdr:colOff>
      <xdr:row>216</xdr:row>
      <xdr:rowOff>29386</xdr:rowOff>
    </xdr:to>
    <xdr:sp macro="" textlink="">
      <xdr:nvSpPr>
        <xdr:cNvPr id="376044" name="Text Box 236" hidden="1">
          <a:extLst>
            <a:ext uri="{FF2B5EF4-FFF2-40B4-BE49-F238E27FC236}">
              <a16:creationId xmlns:a16="http://schemas.microsoft.com/office/drawing/2014/main" id="{FA153D4F-A572-E63F-94FA-6AB1306A48E9}"/>
            </a:ext>
          </a:extLst>
        </xdr:cNvPr>
        <xdr:cNvSpPr txBox="1">
          <a:spLocks noChangeArrowheads="1"/>
        </xdr:cNvSpPr>
      </xdr:nvSpPr>
      <xdr:spPr bwMode="auto">
        <a:xfrm>
          <a:off x="3994150" y="41529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7416</xdr:rowOff>
    </xdr:from>
    <xdr:to>
      <xdr:col>5</xdr:col>
      <xdr:colOff>105335</xdr:colOff>
      <xdr:row>68</xdr:row>
      <xdr:rowOff>7416</xdr:rowOff>
    </xdr:to>
    <xdr:sp macro="" textlink="">
      <xdr:nvSpPr>
        <xdr:cNvPr id="376043" name="Text Box 235" hidden="1">
          <a:extLst>
            <a:ext uri="{FF2B5EF4-FFF2-40B4-BE49-F238E27FC236}">
              <a16:creationId xmlns:a16="http://schemas.microsoft.com/office/drawing/2014/main" id="{BCC2EDC3-B5B4-8C7D-F865-D1B19A33D054}"/>
            </a:ext>
          </a:extLst>
        </xdr:cNvPr>
        <xdr:cNvSpPr txBox="1">
          <a:spLocks noChangeArrowheads="1"/>
        </xdr:cNvSpPr>
      </xdr:nvSpPr>
      <xdr:spPr bwMode="auto">
        <a:xfrm>
          <a:off x="3994150" y="149669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123979</xdr:rowOff>
    </xdr:from>
    <xdr:to>
      <xdr:col>5</xdr:col>
      <xdr:colOff>124385</xdr:colOff>
      <xdr:row>83</xdr:row>
      <xdr:rowOff>59220</xdr:rowOff>
    </xdr:to>
    <xdr:sp macro="" textlink="">
      <xdr:nvSpPr>
        <xdr:cNvPr id="376042" name="Text Box 234" hidden="1">
          <a:extLst>
            <a:ext uri="{FF2B5EF4-FFF2-40B4-BE49-F238E27FC236}">
              <a16:creationId xmlns:a16="http://schemas.microsoft.com/office/drawing/2014/main" id="{822592F6-C9E9-A6FF-A532-E414C1288FC2}"/>
            </a:ext>
          </a:extLst>
        </xdr:cNvPr>
        <xdr:cNvSpPr txBox="1">
          <a:spLocks noChangeArrowheads="1"/>
        </xdr:cNvSpPr>
      </xdr:nvSpPr>
      <xdr:spPr bwMode="auto">
        <a:xfrm>
          <a:off x="4013200" y="15100300"/>
          <a:ext cx="1314450" cy="320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7416</xdr:rowOff>
    </xdr:from>
    <xdr:to>
      <xdr:col>5</xdr:col>
      <xdr:colOff>105335</xdr:colOff>
      <xdr:row>83</xdr:row>
      <xdr:rowOff>60014</xdr:rowOff>
    </xdr:to>
    <xdr:sp macro="" textlink="">
      <xdr:nvSpPr>
        <xdr:cNvPr id="376041" name="Text Box 233" hidden="1">
          <a:extLst>
            <a:ext uri="{FF2B5EF4-FFF2-40B4-BE49-F238E27FC236}">
              <a16:creationId xmlns:a16="http://schemas.microsoft.com/office/drawing/2014/main" id="{10708BC8-792A-7695-F789-DF2D4B89560B}"/>
            </a:ext>
          </a:extLst>
        </xdr:cNvPr>
        <xdr:cNvSpPr txBox="1">
          <a:spLocks noChangeArrowheads="1"/>
        </xdr:cNvSpPr>
      </xdr:nvSpPr>
      <xdr:spPr bwMode="auto">
        <a:xfrm>
          <a:off x="3994150" y="1496695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9387</xdr:rowOff>
    </xdr:from>
    <xdr:to>
      <xdr:col>5</xdr:col>
      <xdr:colOff>105335</xdr:colOff>
      <xdr:row>83</xdr:row>
      <xdr:rowOff>79064</xdr:rowOff>
    </xdr:to>
    <xdr:sp macro="" textlink="">
      <xdr:nvSpPr>
        <xdr:cNvPr id="376040" name="Text Box 232" hidden="1">
          <a:extLst>
            <a:ext uri="{FF2B5EF4-FFF2-40B4-BE49-F238E27FC236}">
              <a16:creationId xmlns:a16="http://schemas.microsoft.com/office/drawing/2014/main" id="{4524E07A-2FB6-276E-0844-35921C0E66B9}"/>
            </a:ext>
          </a:extLst>
        </xdr:cNvPr>
        <xdr:cNvSpPr txBox="1">
          <a:spLocks noChangeArrowheads="1"/>
        </xdr:cNvSpPr>
      </xdr:nvSpPr>
      <xdr:spPr bwMode="auto">
        <a:xfrm>
          <a:off x="3994150" y="1498600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29039</xdr:rowOff>
    </xdr:from>
    <xdr:to>
      <xdr:col>5</xdr:col>
      <xdr:colOff>105335</xdr:colOff>
      <xdr:row>86</xdr:row>
      <xdr:rowOff>12170</xdr:rowOff>
    </xdr:to>
    <xdr:sp macro="" textlink="">
      <xdr:nvSpPr>
        <xdr:cNvPr id="376039" name="Text Box 231" hidden="1">
          <a:extLst>
            <a:ext uri="{FF2B5EF4-FFF2-40B4-BE49-F238E27FC236}">
              <a16:creationId xmlns:a16="http://schemas.microsoft.com/office/drawing/2014/main" id="{AD5BD6C6-F726-5A04-89E3-977A7EF8BE3A}"/>
            </a:ext>
          </a:extLst>
        </xdr:cNvPr>
        <xdr:cNvSpPr txBox="1">
          <a:spLocks noChangeArrowheads="1"/>
        </xdr:cNvSpPr>
      </xdr:nvSpPr>
      <xdr:spPr bwMode="auto">
        <a:xfrm>
          <a:off x="3994150" y="15830550"/>
          <a:ext cx="1314450" cy="300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12170</xdr:rowOff>
    </xdr:from>
    <xdr:to>
      <xdr:col>5</xdr:col>
      <xdr:colOff>105335</xdr:colOff>
      <xdr:row>93</xdr:row>
      <xdr:rowOff>155474</xdr:rowOff>
    </xdr:to>
    <xdr:sp macro="" textlink="">
      <xdr:nvSpPr>
        <xdr:cNvPr id="376038" name="Text Box 230" hidden="1">
          <a:extLst>
            <a:ext uri="{FF2B5EF4-FFF2-40B4-BE49-F238E27FC236}">
              <a16:creationId xmlns:a16="http://schemas.microsoft.com/office/drawing/2014/main" id="{0C4991F2-A7AE-9799-7A7C-8FDC70E3D67B}"/>
            </a:ext>
          </a:extLst>
        </xdr:cNvPr>
        <xdr:cNvSpPr txBox="1">
          <a:spLocks noChangeArrowheads="1"/>
        </xdr:cNvSpPr>
      </xdr:nvSpPr>
      <xdr:spPr bwMode="auto">
        <a:xfrm>
          <a:off x="3994150" y="18834100"/>
          <a:ext cx="1314450" cy="149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82814</xdr:rowOff>
    </xdr:from>
    <xdr:to>
      <xdr:col>5</xdr:col>
      <xdr:colOff>105335</xdr:colOff>
      <xdr:row>93</xdr:row>
      <xdr:rowOff>12302</xdr:rowOff>
    </xdr:to>
    <xdr:sp macro="" textlink="">
      <xdr:nvSpPr>
        <xdr:cNvPr id="376037" name="Text Box 229" hidden="1">
          <a:extLst>
            <a:ext uri="{FF2B5EF4-FFF2-40B4-BE49-F238E27FC236}">
              <a16:creationId xmlns:a16="http://schemas.microsoft.com/office/drawing/2014/main" id="{CEB68F79-6F7F-6812-0DB8-1A96656E58D4}"/>
            </a:ext>
          </a:extLst>
        </xdr:cNvPr>
        <xdr:cNvSpPr txBox="1">
          <a:spLocks noChangeArrowheads="1"/>
        </xdr:cNvSpPr>
      </xdr:nvSpPr>
      <xdr:spPr bwMode="auto">
        <a:xfrm>
          <a:off x="3994150" y="18942050"/>
          <a:ext cx="1314450" cy="125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38364</xdr:rowOff>
    </xdr:from>
    <xdr:to>
      <xdr:col>5</xdr:col>
      <xdr:colOff>105335</xdr:colOff>
      <xdr:row>93</xdr:row>
      <xdr:rowOff>85624</xdr:rowOff>
    </xdr:to>
    <xdr:sp macro="" textlink="">
      <xdr:nvSpPr>
        <xdr:cNvPr id="376036" name="Text Box 228" hidden="1">
          <a:extLst>
            <a:ext uri="{FF2B5EF4-FFF2-40B4-BE49-F238E27FC236}">
              <a16:creationId xmlns:a16="http://schemas.microsoft.com/office/drawing/2014/main" id="{74DF94C4-E41A-D6DD-2ACF-873603817628}"/>
            </a:ext>
          </a:extLst>
        </xdr:cNvPr>
        <xdr:cNvSpPr txBox="1">
          <a:spLocks noChangeArrowheads="1"/>
        </xdr:cNvSpPr>
      </xdr:nvSpPr>
      <xdr:spPr bwMode="auto">
        <a:xfrm>
          <a:off x="3994150" y="190690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48684</xdr:rowOff>
    </xdr:from>
    <xdr:to>
      <xdr:col>5</xdr:col>
      <xdr:colOff>105335</xdr:colOff>
      <xdr:row>94</xdr:row>
      <xdr:rowOff>143569</xdr:rowOff>
    </xdr:to>
    <xdr:sp macro="" textlink="">
      <xdr:nvSpPr>
        <xdr:cNvPr id="376035" name="Text Box 227" hidden="1">
          <a:extLst>
            <a:ext uri="{FF2B5EF4-FFF2-40B4-BE49-F238E27FC236}">
              <a16:creationId xmlns:a16="http://schemas.microsoft.com/office/drawing/2014/main" id="{752EDF00-4960-246E-7B07-D048B5446990}"/>
            </a:ext>
          </a:extLst>
        </xdr:cNvPr>
        <xdr:cNvSpPr txBox="1">
          <a:spLocks noChangeArrowheads="1"/>
        </xdr:cNvSpPr>
      </xdr:nvSpPr>
      <xdr:spPr bwMode="auto">
        <a:xfrm>
          <a:off x="3994150" y="1925320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151219</xdr:rowOff>
    </xdr:from>
    <xdr:to>
      <xdr:col>5</xdr:col>
      <xdr:colOff>105335</xdr:colOff>
      <xdr:row>119</xdr:row>
      <xdr:rowOff>48558</xdr:rowOff>
    </xdr:to>
    <xdr:sp macro="" textlink="">
      <xdr:nvSpPr>
        <xdr:cNvPr id="376034" name="Text Box 226" hidden="1">
          <a:extLst>
            <a:ext uri="{FF2B5EF4-FFF2-40B4-BE49-F238E27FC236}">
              <a16:creationId xmlns:a16="http://schemas.microsoft.com/office/drawing/2014/main" id="{A25EAE4B-C74F-DB33-75DB-4D2DEEA36D72}"/>
            </a:ext>
          </a:extLst>
        </xdr:cNvPr>
        <xdr:cNvSpPr txBox="1">
          <a:spLocks noChangeArrowheads="1"/>
        </xdr:cNvSpPr>
      </xdr:nvSpPr>
      <xdr:spPr bwMode="auto">
        <a:xfrm>
          <a:off x="3994150" y="23723600"/>
          <a:ext cx="1314450" cy="156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64988</xdr:rowOff>
    </xdr:from>
    <xdr:to>
      <xdr:col>5</xdr:col>
      <xdr:colOff>105335</xdr:colOff>
      <xdr:row>117</xdr:row>
      <xdr:rowOff>145010</xdr:rowOff>
    </xdr:to>
    <xdr:sp macro="" textlink="">
      <xdr:nvSpPr>
        <xdr:cNvPr id="376033" name="Text Box 225" hidden="1">
          <a:extLst>
            <a:ext uri="{FF2B5EF4-FFF2-40B4-BE49-F238E27FC236}">
              <a16:creationId xmlns:a16="http://schemas.microsoft.com/office/drawing/2014/main" id="{FA33C289-972B-7F41-AC71-EDE61DB9147D}"/>
            </a:ext>
          </a:extLst>
        </xdr:cNvPr>
        <xdr:cNvSpPr txBox="1">
          <a:spLocks noChangeArrowheads="1"/>
        </xdr:cNvSpPr>
      </xdr:nvSpPr>
      <xdr:spPr bwMode="auto">
        <a:xfrm>
          <a:off x="3994150" y="23964900"/>
          <a:ext cx="131445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50673</xdr:rowOff>
    </xdr:from>
    <xdr:to>
      <xdr:col>5</xdr:col>
      <xdr:colOff>105335</xdr:colOff>
      <xdr:row>117</xdr:row>
      <xdr:rowOff>49878</xdr:rowOff>
    </xdr:to>
    <xdr:sp macro="" textlink="">
      <xdr:nvSpPr>
        <xdr:cNvPr id="376032" name="Text Box 224" hidden="1">
          <a:extLst>
            <a:ext uri="{FF2B5EF4-FFF2-40B4-BE49-F238E27FC236}">
              <a16:creationId xmlns:a16="http://schemas.microsoft.com/office/drawing/2014/main" id="{8B09F8B0-655E-946E-97AA-4692DB3B2101}"/>
            </a:ext>
          </a:extLst>
        </xdr:cNvPr>
        <xdr:cNvSpPr txBox="1">
          <a:spLocks noChangeArrowheads="1"/>
        </xdr:cNvSpPr>
      </xdr:nvSpPr>
      <xdr:spPr bwMode="auto">
        <a:xfrm>
          <a:off x="3994150" y="2414905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12573</xdr:rowOff>
    </xdr:from>
    <xdr:to>
      <xdr:col>5</xdr:col>
      <xdr:colOff>105335</xdr:colOff>
      <xdr:row>117</xdr:row>
      <xdr:rowOff>114436</xdr:rowOff>
    </xdr:to>
    <xdr:sp macro="" textlink="">
      <xdr:nvSpPr>
        <xdr:cNvPr id="376031" name="Text Box 223" hidden="1">
          <a:extLst>
            <a:ext uri="{FF2B5EF4-FFF2-40B4-BE49-F238E27FC236}">
              <a16:creationId xmlns:a16="http://schemas.microsoft.com/office/drawing/2014/main" id="{AD34C2A5-F6C4-E5EF-3AFB-664D154D840D}"/>
            </a:ext>
          </a:extLst>
        </xdr:cNvPr>
        <xdr:cNvSpPr txBox="1">
          <a:spLocks noChangeArrowheads="1"/>
        </xdr:cNvSpPr>
      </xdr:nvSpPr>
      <xdr:spPr bwMode="auto">
        <a:xfrm>
          <a:off x="3994150" y="24110950"/>
          <a:ext cx="13144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136</xdr:row>
      <xdr:rowOff>86946</xdr:rowOff>
    </xdr:from>
    <xdr:to>
      <xdr:col>21</xdr:col>
      <xdr:colOff>257697</xdr:colOff>
      <xdr:row>140</xdr:row>
      <xdr:rowOff>125047</xdr:rowOff>
    </xdr:to>
    <xdr:sp macro="" textlink="">
      <xdr:nvSpPr>
        <xdr:cNvPr id="376030" name="Text Box 222" hidden="1">
          <a:extLst>
            <a:ext uri="{FF2B5EF4-FFF2-40B4-BE49-F238E27FC236}">
              <a16:creationId xmlns:a16="http://schemas.microsoft.com/office/drawing/2014/main" id="{F7BCCE25-6D4B-4969-7A97-FD9EDE1B3A57}"/>
            </a:ext>
          </a:extLst>
        </xdr:cNvPr>
        <xdr:cNvSpPr txBox="1">
          <a:spLocks noChangeArrowheads="1"/>
        </xdr:cNvSpPr>
      </xdr:nvSpPr>
      <xdr:spPr bwMode="auto">
        <a:xfrm>
          <a:off x="17513300" y="28454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86518</xdr:rowOff>
    </xdr:to>
    <xdr:sp macro="" textlink="">
      <xdr:nvSpPr>
        <xdr:cNvPr id="376029" name="Text Box 221" hidden="1">
          <a:extLst>
            <a:ext uri="{FF2B5EF4-FFF2-40B4-BE49-F238E27FC236}">
              <a16:creationId xmlns:a16="http://schemas.microsoft.com/office/drawing/2014/main" id="{C39C2523-BDA4-0F2E-883E-47B217C01F41}"/>
            </a:ext>
          </a:extLst>
        </xdr:cNvPr>
        <xdr:cNvSpPr txBox="1">
          <a:spLocks noChangeArrowheads="1"/>
        </xdr:cNvSpPr>
      </xdr:nvSpPr>
      <xdr:spPr bwMode="auto">
        <a:xfrm>
          <a:off x="183324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32</xdr:row>
      <xdr:rowOff>95250</xdr:rowOff>
    </xdr:from>
    <xdr:to>
      <xdr:col>22</xdr:col>
      <xdr:colOff>429146</xdr:colOff>
      <xdr:row>38</xdr:row>
      <xdr:rowOff>84931</xdr:rowOff>
    </xdr:to>
    <xdr:sp macro="" textlink="">
      <xdr:nvSpPr>
        <xdr:cNvPr id="376028" name="Text Box 220" hidden="1">
          <a:extLst>
            <a:ext uri="{FF2B5EF4-FFF2-40B4-BE49-F238E27FC236}">
              <a16:creationId xmlns:a16="http://schemas.microsoft.com/office/drawing/2014/main" id="{BA4A7BDE-D02B-8B74-331D-A02D4C962DAB}"/>
            </a:ext>
          </a:extLst>
        </xdr:cNvPr>
        <xdr:cNvSpPr txBox="1">
          <a:spLocks noChangeArrowheads="1"/>
        </xdr:cNvSpPr>
      </xdr:nvSpPr>
      <xdr:spPr bwMode="auto">
        <a:xfrm>
          <a:off x="18332450" y="721995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140</xdr:row>
      <xdr:rowOff>105997</xdr:rowOff>
    </xdr:from>
    <xdr:to>
      <xdr:col>22</xdr:col>
      <xdr:colOff>429146</xdr:colOff>
      <xdr:row>144</xdr:row>
      <xdr:rowOff>65516</xdr:rowOff>
    </xdr:to>
    <xdr:sp macro="" textlink="">
      <xdr:nvSpPr>
        <xdr:cNvPr id="376027" name="Text Box 219" hidden="1">
          <a:extLst>
            <a:ext uri="{FF2B5EF4-FFF2-40B4-BE49-F238E27FC236}">
              <a16:creationId xmlns:a16="http://schemas.microsoft.com/office/drawing/2014/main" id="{40563A20-89E3-FA88-05C5-17F34E4AA2AD}"/>
            </a:ext>
          </a:extLst>
        </xdr:cNvPr>
        <xdr:cNvSpPr txBox="1">
          <a:spLocks noChangeArrowheads="1"/>
        </xdr:cNvSpPr>
      </xdr:nvSpPr>
      <xdr:spPr bwMode="auto">
        <a:xfrm>
          <a:off x="18332450" y="29210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49</xdr:row>
      <xdr:rowOff>103982</xdr:rowOff>
    </xdr:from>
    <xdr:to>
      <xdr:col>11</xdr:col>
      <xdr:colOff>636501</xdr:colOff>
      <xdr:row>53</xdr:row>
      <xdr:rowOff>228601</xdr:rowOff>
    </xdr:to>
    <xdr:sp macro="" textlink="">
      <xdr:nvSpPr>
        <xdr:cNvPr id="376026" name="Text Box 218" hidden="1">
          <a:extLst>
            <a:ext uri="{FF2B5EF4-FFF2-40B4-BE49-F238E27FC236}">
              <a16:creationId xmlns:a16="http://schemas.microsoft.com/office/drawing/2014/main" id="{5D3EA2E0-5004-6AFD-F9AD-7175013731AF}"/>
            </a:ext>
          </a:extLst>
        </xdr:cNvPr>
        <xdr:cNvSpPr txBox="1">
          <a:spLocks noChangeArrowheads="1"/>
        </xdr:cNvSpPr>
      </xdr:nvSpPr>
      <xdr:spPr bwMode="auto">
        <a:xfrm>
          <a:off x="9359900" y="1035050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163512</xdr:rowOff>
    </xdr:to>
    <xdr:sp macro="" textlink="">
      <xdr:nvSpPr>
        <xdr:cNvPr id="376025" name="Text Box 217" hidden="1">
          <a:extLst>
            <a:ext uri="{FF2B5EF4-FFF2-40B4-BE49-F238E27FC236}">
              <a16:creationId xmlns:a16="http://schemas.microsoft.com/office/drawing/2014/main" id="{918B06E0-F889-24D3-3EBA-C14FB1C99CDB}"/>
            </a:ext>
          </a:extLst>
        </xdr:cNvPr>
        <xdr:cNvSpPr txBox="1">
          <a:spLocks noChangeArrowheads="1"/>
        </xdr:cNvSpPr>
      </xdr:nvSpPr>
      <xdr:spPr bwMode="auto">
        <a:xfrm>
          <a:off x="2002790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32</xdr:row>
      <xdr:rowOff>95250</xdr:rowOff>
    </xdr:from>
    <xdr:to>
      <xdr:col>24</xdr:col>
      <xdr:colOff>467247</xdr:colOff>
      <xdr:row>38</xdr:row>
      <xdr:rowOff>161131</xdr:rowOff>
    </xdr:to>
    <xdr:sp macro="" textlink="">
      <xdr:nvSpPr>
        <xdr:cNvPr id="376024" name="Text Box 216" hidden="1">
          <a:extLst>
            <a:ext uri="{FF2B5EF4-FFF2-40B4-BE49-F238E27FC236}">
              <a16:creationId xmlns:a16="http://schemas.microsoft.com/office/drawing/2014/main" id="{3185BD81-108D-A078-FD81-08528434A4A1}"/>
            </a:ext>
          </a:extLst>
        </xdr:cNvPr>
        <xdr:cNvSpPr txBox="1">
          <a:spLocks noChangeArrowheads="1"/>
        </xdr:cNvSpPr>
      </xdr:nvSpPr>
      <xdr:spPr bwMode="auto">
        <a:xfrm>
          <a:off x="20027900" y="721995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140</xdr:row>
      <xdr:rowOff>105997</xdr:rowOff>
    </xdr:from>
    <xdr:to>
      <xdr:col>24</xdr:col>
      <xdr:colOff>467247</xdr:colOff>
      <xdr:row>145</xdr:row>
      <xdr:rowOff>1718</xdr:rowOff>
    </xdr:to>
    <xdr:sp macro="" textlink="">
      <xdr:nvSpPr>
        <xdr:cNvPr id="376023" name="Text Box 215" hidden="1">
          <a:extLst>
            <a:ext uri="{FF2B5EF4-FFF2-40B4-BE49-F238E27FC236}">
              <a16:creationId xmlns:a16="http://schemas.microsoft.com/office/drawing/2014/main" id="{3D115E36-3835-6CD4-46E1-716C5B6094FF}"/>
            </a:ext>
          </a:extLst>
        </xdr:cNvPr>
        <xdr:cNvSpPr txBox="1">
          <a:spLocks noChangeArrowheads="1"/>
        </xdr:cNvSpPr>
      </xdr:nvSpPr>
      <xdr:spPr bwMode="auto">
        <a:xfrm>
          <a:off x="20027900" y="29210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467247</xdr:colOff>
      <xdr:row>18</xdr:row>
      <xdr:rowOff>143668</xdr:rowOff>
    </xdr:to>
    <xdr:sp macro="" textlink="">
      <xdr:nvSpPr>
        <xdr:cNvPr id="376022" name="Text Box 214" hidden="1">
          <a:extLst>
            <a:ext uri="{FF2B5EF4-FFF2-40B4-BE49-F238E27FC236}">
              <a16:creationId xmlns:a16="http://schemas.microsoft.com/office/drawing/2014/main" id="{A33431E6-B8B9-3158-3539-4E62B2360C05}"/>
            </a:ext>
          </a:extLst>
        </xdr:cNvPr>
        <xdr:cNvSpPr txBox="1">
          <a:spLocks noChangeArrowheads="1"/>
        </xdr:cNvSpPr>
      </xdr:nvSpPr>
      <xdr:spPr bwMode="auto">
        <a:xfrm>
          <a:off x="20789900" y="3575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32</xdr:row>
      <xdr:rowOff>114300</xdr:rowOff>
    </xdr:from>
    <xdr:to>
      <xdr:col>25</xdr:col>
      <xdr:colOff>467247</xdr:colOff>
      <xdr:row>38</xdr:row>
      <xdr:rowOff>123031</xdr:rowOff>
    </xdr:to>
    <xdr:sp macro="" textlink="">
      <xdr:nvSpPr>
        <xdr:cNvPr id="376021" name="Text Box 213" hidden="1">
          <a:extLst>
            <a:ext uri="{FF2B5EF4-FFF2-40B4-BE49-F238E27FC236}">
              <a16:creationId xmlns:a16="http://schemas.microsoft.com/office/drawing/2014/main" id="{B1391F9C-E45B-19E8-9CF6-A24BCC8C1802}"/>
            </a:ext>
          </a:extLst>
        </xdr:cNvPr>
        <xdr:cNvSpPr txBox="1">
          <a:spLocks noChangeArrowheads="1"/>
        </xdr:cNvSpPr>
      </xdr:nvSpPr>
      <xdr:spPr bwMode="auto">
        <a:xfrm>
          <a:off x="20789900" y="723900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140</xdr:row>
      <xdr:rowOff>125047</xdr:rowOff>
    </xdr:from>
    <xdr:to>
      <xdr:col>25</xdr:col>
      <xdr:colOff>467247</xdr:colOff>
      <xdr:row>144</xdr:row>
      <xdr:rowOff>143569</xdr:rowOff>
    </xdr:to>
    <xdr:sp macro="" textlink="">
      <xdr:nvSpPr>
        <xdr:cNvPr id="376020" name="Text Box 212" hidden="1">
          <a:extLst>
            <a:ext uri="{FF2B5EF4-FFF2-40B4-BE49-F238E27FC236}">
              <a16:creationId xmlns:a16="http://schemas.microsoft.com/office/drawing/2014/main" id="{1B9CF232-8EA1-037A-631A-35014607AA1F}"/>
            </a:ext>
          </a:extLst>
        </xdr:cNvPr>
        <xdr:cNvSpPr txBox="1">
          <a:spLocks noChangeArrowheads="1"/>
        </xdr:cNvSpPr>
      </xdr:nvSpPr>
      <xdr:spPr bwMode="auto">
        <a:xfrm>
          <a:off x="20789900" y="29229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114300</xdr:rowOff>
    </xdr:from>
    <xdr:to>
      <xdr:col>18</xdr:col>
      <xdr:colOff>229489</xdr:colOff>
      <xdr:row>10</xdr:row>
      <xdr:rowOff>152400</xdr:rowOff>
    </xdr:to>
    <xdr:sp macro="" textlink="">
      <xdr:nvSpPr>
        <xdr:cNvPr id="376019" name="Text Box 211" hidden="1">
          <a:extLst>
            <a:ext uri="{FF2B5EF4-FFF2-40B4-BE49-F238E27FC236}">
              <a16:creationId xmlns:a16="http://schemas.microsoft.com/office/drawing/2014/main" id="{7827C708-1343-ED4E-C8BF-2F41A681AE7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50407</xdr:rowOff>
    </xdr:from>
    <xdr:to>
      <xdr:col>5</xdr:col>
      <xdr:colOff>105335</xdr:colOff>
      <xdr:row>241</xdr:row>
      <xdr:rowOff>50407</xdr:rowOff>
    </xdr:to>
    <xdr:sp macro="" textlink="">
      <xdr:nvSpPr>
        <xdr:cNvPr id="376018" name="Text Box 210" hidden="1">
          <a:extLst>
            <a:ext uri="{FF2B5EF4-FFF2-40B4-BE49-F238E27FC236}">
              <a16:creationId xmlns:a16="http://schemas.microsoft.com/office/drawing/2014/main" id="{3BB614E6-C87F-0BCB-DF60-C5E788330A9F}"/>
            </a:ext>
          </a:extLst>
        </xdr:cNvPr>
        <xdr:cNvSpPr txBox="1">
          <a:spLocks noChangeArrowheads="1"/>
        </xdr:cNvSpPr>
      </xdr:nvSpPr>
      <xdr:spPr bwMode="auto">
        <a:xfrm>
          <a:off x="3994150" y="4358640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10337</xdr:rowOff>
    </xdr:from>
    <xdr:to>
      <xdr:col>5</xdr:col>
      <xdr:colOff>105335</xdr:colOff>
      <xdr:row>240</xdr:row>
      <xdr:rowOff>149626</xdr:rowOff>
    </xdr:to>
    <xdr:sp macro="" textlink="">
      <xdr:nvSpPr>
        <xdr:cNvPr id="376017" name="Text Box 209" hidden="1">
          <a:extLst>
            <a:ext uri="{FF2B5EF4-FFF2-40B4-BE49-F238E27FC236}">
              <a16:creationId xmlns:a16="http://schemas.microsoft.com/office/drawing/2014/main" id="{48B9684E-A846-A1AD-0133-C5CAEAFC28FE}"/>
            </a:ext>
          </a:extLst>
        </xdr:cNvPr>
        <xdr:cNvSpPr txBox="1">
          <a:spLocks noChangeArrowheads="1"/>
        </xdr:cNvSpPr>
      </xdr:nvSpPr>
      <xdr:spPr bwMode="auto">
        <a:xfrm>
          <a:off x="3994150" y="4392295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10337</xdr:rowOff>
    </xdr:from>
    <xdr:to>
      <xdr:col>5</xdr:col>
      <xdr:colOff>105335</xdr:colOff>
      <xdr:row>242</xdr:row>
      <xdr:rowOff>50407</xdr:rowOff>
    </xdr:to>
    <xdr:sp macro="" textlink="">
      <xdr:nvSpPr>
        <xdr:cNvPr id="376016" name="Text Box 208" hidden="1">
          <a:extLst>
            <a:ext uri="{FF2B5EF4-FFF2-40B4-BE49-F238E27FC236}">
              <a16:creationId xmlns:a16="http://schemas.microsoft.com/office/drawing/2014/main" id="{0FF422CC-F95A-D79F-B1FA-0E101C8FC0CA}"/>
            </a:ext>
          </a:extLst>
        </xdr:cNvPr>
        <xdr:cNvSpPr txBox="1">
          <a:spLocks noChangeArrowheads="1"/>
        </xdr:cNvSpPr>
      </xdr:nvSpPr>
      <xdr:spPr bwMode="auto">
        <a:xfrm>
          <a:off x="3994150" y="4447540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10337</xdr:rowOff>
    </xdr:from>
    <xdr:to>
      <xdr:col>5</xdr:col>
      <xdr:colOff>105335</xdr:colOff>
      <xdr:row>229</xdr:row>
      <xdr:rowOff>149626</xdr:rowOff>
    </xdr:to>
    <xdr:sp macro="" textlink="">
      <xdr:nvSpPr>
        <xdr:cNvPr id="376015" name="Text Box 207" hidden="1">
          <a:extLst>
            <a:ext uri="{FF2B5EF4-FFF2-40B4-BE49-F238E27FC236}">
              <a16:creationId xmlns:a16="http://schemas.microsoft.com/office/drawing/2014/main" id="{3851E0AA-9545-4063-1CFD-28793F619585}"/>
            </a:ext>
          </a:extLst>
        </xdr:cNvPr>
        <xdr:cNvSpPr txBox="1">
          <a:spLocks noChangeArrowheads="1"/>
        </xdr:cNvSpPr>
      </xdr:nvSpPr>
      <xdr:spPr bwMode="auto">
        <a:xfrm>
          <a:off x="3994150" y="446595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126607</xdr:rowOff>
    </xdr:from>
    <xdr:to>
      <xdr:col>5</xdr:col>
      <xdr:colOff>105335</xdr:colOff>
      <xdr:row>206</xdr:row>
      <xdr:rowOff>149626</xdr:rowOff>
    </xdr:to>
    <xdr:sp macro="" textlink="">
      <xdr:nvSpPr>
        <xdr:cNvPr id="376014" name="Text Box 206" hidden="1">
          <a:extLst>
            <a:ext uri="{FF2B5EF4-FFF2-40B4-BE49-F238E27FC236}">
              <a16:creationId xmlns:a16="http://schemas.microsoft.com/office/drawing/2014/main" id="{DAB3B773-9B97-3603-8649-A31BC5115A43}"/>
            </a:ext>
          </a:extLst>
        </xdr:cNvPr>
        <xdr:cNvSpPr txBox="1">
          <a:spLocks noChangeArrowheads="1"/>
        </xdr:cNvSpPr>
      </xdr:nvSpPr>
      <xdr:spPr bwMode="auto">
        <a:xfrm>
          <a:off x="3994150" y="4034790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10337</xdr:rowOff>
    </xdr:from>
    <xdr:to>
      <xdr:col>5</xdr:col>
      <xdr:colOff>105335</xdr:colOff>
      <xdr:row>208</xdr:row>
      <xdr:rowOff>29387</xdr:rowOff>
    </xdr:to>
    <xdr:sp macro="" textlink="">
      <xdr:nvSpPr>
        <xdr:cNvPr id="376013" name="Text Box 205" hidden="1">
          <a:extLst>
            <a:ext uri="{FF2B5EF4-FFF2-40B4-BE49-F238E27FC236}">
              <a16:creationId xmlns:a16="http://schemas.microsoft.com/office/drawing/2014/main" id="{B0C57A4D-FF8C-BB33-C0AA-0908AFAF7344}"/>
            </a:ext>
          </a:extLst>
        </xdr:cNvPr>
        <xdr:cNvSpPr txBox="1">
          <a:spLocks noChangeArrowheads="1"/>
        </xdr:cNvSpPr>
      </xdr:nvSpPr>
      <xdr:spPr bwMode="auto">
        <a:xfrm>
          <a:off x="3994150" y="4079240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10337</xdr:rowOff>
    </xdr:from>
    <xdr:to>
      <xdr:col>5</xdr:col>
      <xdr:colOff>105335</xdr:colOff>
      <xdr:row>209</xdr:row>
      <xdr:rowOff>50407</xdr:rowOff>
    </xdr:to>
    <xdr:sp macro="" textlink="">
      <xdr:nvSpPr>
        <xdr:cNvPr id="376012" name="Text Box 204" hidden="1">
          <a:extLst>
            <a:ext uri="{FF2B5EF4-FFF2-40B4-BE49-F238E27FC236}">
              <a16:creationId xmlns:a16="http://schemas.microsoft.com/office/drawing/2014/main" id="{F343F1E7-E988-5752-39F0-0F9F6083D91B}"/>
            </a:ext>
          </a:extLst>
        </xdr:cNvPr>
        <xdr:cNvSpPr txBox="1">
          <a:spLocks noChangeArrowheads="1"/>
        </xdr:cNvSpPr>
      </xdr:nvSpPr>
      <xdr:spPr bwMode="auto">
        <a:xfrm>
          <a:off x="3994150" y="411607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10338</xdr:rowOff>
    </xdr:from>
    <xdr:to>
      <xdr:col>5</xdr:col>
      <xdr:colOff>105335</xdr:colOff>
      <xdr:row>216</xdr:row>
      <xdr:rowOff>29386</xdr:rowOff>
    </xdr:to>
    <xdr:sp macro="" textlink="">
      <xdr:nvSpPr>
        <xdr:cNvPr id="376011" name="Text Box 203" hidden="1">
          <a:extLst>
            <a:ext uri="{FF2B5EF4-FFF2-40B4-BE49-F238E27FC236}">
              <a16:creationId xmlns:a16="http://schemas.microsoft.com/office/drawing/2014/main" id="{F29F6E63-C9AA-96F8-31AF-AD0D111B12CC}"/>
            </a:ext>
          </a:extLst>
        </xdr:cNvPr>
        <xdr:cNvSpPr txBox="1">
          <a:spLocks noChangeArrowheads="1"/>
        </xdr:cNvSpPr>
      </xdr:nvSpPr>
      <xdr:spPr bwMode="auto">
        <a:xfrm>
          <a:off x="3994150" y="415290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7416</xdr:rowOff>
    </xdr:from>
    <xdr:to>
      <xdr:col>5</xdr:col>
      <xdr:colOff>105335</xdr:colOff>
      <xdr:row>68</xdr:row>
      <xdr:rowOff>7416</xdr:rowOff>
    </xdr:to>
    <xdr:sp macro="" textlink="">
      <xdr:nvSpPr>
        <xdr:cNvPr id="376010" name="Text Box 202" hidden="1">
          <a:extLst>
            <a:ext uri="{FF2B5EF4-FFF2-40B4-BE49-F238E27FC236}">
              <a16:creationId xmlns:a16="http://schemas.microsoft.com/office/drawing/2014/main" id="{5FA736F8-F8C9-ED85-26A5-CB1140D97D6A}"/>
            </a:ext>
          </a:extLst>
        </xdr:cNvPr>
        <xdr:cNvSpPr txBox="1">
          <a:spLocks noChangeArrowheads="1"/>
        </xdr:cNvSpPr>
      </xdr:nvSpPr>
      <xdr:spPr bwMode="auto">
        <a:xfrm>
          <a:off x="3994150" y="149669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123979</xdr:rowOff>
    </xdr:from>
    <xdr:to>
      <xdr:col>5</xdr:col>
      <xdr:colOff>124385</xdr:colOff>
      <xdr:row>83</xdr:row>
      <xdr:rowOff>59220</xdr:rowOff>
    </xdr:to>
    <xdr:sp macro="" textlink="">
      <xdr:nvSpPr>
        <xdr:cNvPr id="376009" name="Text Box 201" hidden="1">
          <a:extLst>
            <a:ext uri="{FF2B5EF4-FFF2-40B4-BE49-F238E27FC236}">
              <a16:creationId xmlns:a16="http://schemas.microsoft.com/office/drawing/2014/main" id="{562E978E-9079-9A85-C081-2B92E4105F94}"/>
            </a:ext>
          </a:extLst>
        </xdr:cNvPr>
        <xdr:cNvSpPr txBox="1">
          <a:spLocks noChangeArrowheads="1"/>
        </xdr:cNvSpPr>
      </xdr:nvSpPr>
      <xdr:spPr bwMode="auto">
        <a:xfrm>
          <a:off x="4013200" y="15100300"/>
          <a:ext cx="1314450" cy="320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7416</xdr:rowOff>
    </xdr:from>
    <xdr:to>
      <xdr:col>5</xdr:col>
      <xdr:colOff>105335</xdr:colOff>
      <xdr:row>83</xdr:row>
      <xdr:rowOff>60014</xdr:rowOff>
    </xdr:to>
    <xdr:sp macro="" textlink="">
      <xdr:nvSpPr>
        <xdr:cNvPr id="376008" name="Text Box 200" hidden="1">
          <a:extLst>
            <a:ext uri="{FF2B5EF4-FFF2-40B4-BE49-F238E27FC236}">
              <a16:creationId xmlns:a16="http://schemas.microsoft.com/office/drawing/2014/main" id="{90BEDE08-BBFE-8E9F-2818-4618EBF6952F}"/>
            </a:ext>
          </a:extLst>
        </xdr:cNvPr>
        <xdr:cNvSpPr txBox="1">
          <a:spLocks noChangeArrowheads="1"/>
        </xdr:cNvSpPr>
      </xdr:nvSpPr>
      <xdr:spPr bwMode="auto">
        <a:xfrm>
          <a:off x="3994150" y="14966950"/>
          <a:ext cx="1314450" cy="336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9387</xdr:rowOff>
    </xdr:from>
    <xdr:to>
      <xdr:col>5</xdr:col>
      <xdr:colOff>105335</xdr:colOff>
      <xdr:row>83</xdr:row>
      <xdr:rowOff>79064</xdr:rowOff>
    </xdr:to>
    <xdr:sp macro="" textlink="">
      <xdr:nvSpPr>
        <xdr:cNvPr id="376007" name="Text Box 199" hidden="1">
          <a:extLst>
            <a:ext uri="{FF2B5EF4-FFF2-40B4-BE49-F238E27FC236}">
              <a16:creationId xmlns:a16="http://schemas.microsoft.com/office/drawing/2014/main" id="{0D490CC0-A0AC-E251-3BBA-789003710B78}"/>
            </a:ext>
          </a:extLst>
        </xdr:cNvPr>
        <xdr:cNvSpPr txBox="1">
          <a:spLocks noChangeArrowheads="1"/>
        </xdr:cNvSpPr>
      </xdr:nvSpPr>
      <xdr:spPr bwMode="auto">
        <a:xfrm>
          <a:off x="3994150" y="14986000"/>
          <a:ext cx="1314450" cy="336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29039</xdr:rowOff>
    </xdr:from>
    <xdr:to>
      <xdr:col>5</xdr:col>
      <xdr:colOff>105335</xdr:colOff>
      <xdr:row>86</xdr:row>
      <xdr:rowOff>12170</xdr:rowOff>
    </xdr:to>
    <xdr:sp macro="" textlink="">
      <xdr:nvSpPr>
        <xdr:cNvPr id="376006" name="Text Box 198" hidden="1">
          <a:extLst>
            <a:ext uri="{FF2B5EF4-FFF2-40B4-BE49-F238E27FC236}">
              <a16:creationId xmlns:a16="http://schemas.microsoft.com/office/drawing/2014/main" id="{9D2BCF73-5444-FD75-7443-CA9875720E65}"/>
            </a:ext>
          </a:extLst>
        </xdr:cNvPr>
        <xdr:cNvSpPr txBox="1">
          <a:spLocks noChangeArrowheads="1"/>
        </xdr:cNvSpPr>
      </xdr:nvSpPr>
      <xdr:spPr bwMode="auto">
        <a:xfrm>
          <a:off x="3994150" y="15830550"/>
          <a:ext cx="1314450" cy="300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12170</xdr:rowOff>
    </xdr:from>
    <xdr:to>
      <xdr:col>5</xdr:col>
      <xdr:colOff>105335</xdr:colOff>
      <xdr:row>93</xdr:row>
      <xdr:rowOff>155474</xdr:rowOff>
    </xdr:to>
    <xdr:sp macro="" textlink="">
      <xdr:nvSpPr>
        <xdr:cNvPr id="376005" name="Text Box 197" hidden="1">
          <a:extLst>
            <a:ext uri="{FF2B5EF4-FFF2-40B4-BE49-F238E27FC236}">
              <a16:creationId xmlns:a16="http://schemas.microsoft.com/office/drawing/2014/main" id="{3150CCE5-31A6-89F2-841E-5B7E789EABF5}"/>
            </a:ext>
          </a:extLst>
        </xdr:cNvPr>
        <xdr:cNvSpPr txBox="1">
          <a:spLocks noChangeArrowheads="1"/>
        </xdr:cNvSpPr>
      </xdr:nvSpPr>
      <xdr:spPr bwMode="auto">
        <a:xfrm>
          <a:off x="3994150" y="18834100"/>
          <a:ext cx="1314450" cy="149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82814</xdr:rowOff>
    </xdr:from>
    <xdr:to>
      <xdr:col>5</xdr:col>
      <xdr:colOff>105335</xdr:colOff>
      <xdr:row>93</xdr:row>
      <xdr:rowOff>12302</xdr:rowOff>
    </xdr:to>
    <xdr:sp macro="" textlink="">
      <xdr:nvSpPr>
        <xdr:cNvPr id="376004" name="Text Box 196" hidden="1">
          <a:extLst>
            <a:ext uri="{FF2B5EF4-FFF2-40B4-BE49-F238E27FC236}">
              <a16:creationId xmlns:a16="http://schemas.microsoft.com/office/drawing/2014/main" id="{2C0F2ADC-419C-1F6F-5EF9-7F1CFF991EDA}"/>
            </a:ext>
          </a:extLst>
        </xdr:cNvPr>
        <xdr:cNvSpPr txBox="1">
          <a:spLocks noChangeArrowheads="1"/>
        </xdr:cNvSpPr>
      </xdr:nvSpPr>
      <xdr:spPr bwMode="auto">
        <a:xfrm>
          <a:off x="3994150" y="18942050"/>
          <a:ext cx="1314450" cy="125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38364</xdr:rowOff>
    </xdr:from>
    <xdr:to>
      <xdr:col>5</xdr:col>
      <xdr:colOff>105335</xdr:colOff>
      <xdr:row>93</xdr:row>
      <xdr:rowOff>85624</xdr:rowOff>
    </xdr:to>
    <xdr:sp macro="" textlink="">
      <xdr:nvSpPr>
        <xdr:cNvPr id="376003" name="Text Box 195" hidden="1">
          <a:extLst>
            <a:ext uri="{FF2B5EF4-FFF2-40B4-BE49-F238E27FC236}">
              <a16:creationId xmlns:a16="http://schemas.microsoft.com/office/drawing/2014/main" id="{36302C11-7800-2600-54A6-977457DAF209}"/>
            </a:ext>
          </a:extLst>
        </xdr:cNvPr>
        <xdr:cNvSpPr txBox="1">
          <a:spLocks noChangeArrowheads="1"/>
        </xdr:cNvSpPr>
      </xdr:nvSpPr>
      <xdr:spPr bwMode="auto">
        <a:xfrm>
          <a:off x="3994150" y="1906905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48684</xdr:rowOff>
    </xdr:from>
    <xdr:to>
      <xdr:col>5</xdr:col>
      <xdr:colOff>105335</xdr:colOff>
      <xdr:row>94</xdr:row>
      <xdr:rowOff>143569</xdr:rowOff>
    </xdr:to>
    <xdr:sp macro="" textlink="">
      <xdr:nvSpPr>
        <xdr:cNvPr id="376002" name="Text Box 194" hidden="1">
          <a:extLst>
            <a:ext uri="{FF2B5EF4-FFF2-40B4-BE49-F238E27FC236}">
              <a16:creationId xmlns:a16="http://schemas.microsoft.com/office/drawing/2014/main" id="{1500F37C-E184-1B75-9A09-DE298D35812F}"/>
            </a:ext>
          </a:extLst>
        </xdr:cNvPr>
        <xdr:cNvSpPr txBox="1">
          <a:spLocks noChangeArrowheads="1"/>
        </xdr:cNvSpPr>
      </xdr:nvSpPr>
      <xdr:spPr bwMode="auto">
        <a:xfrm>
          <a:off x="3994150" y="1925320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151219</xdr:rowOff>
    </xdr:from>
    <xdr:to>
      <xdr:col>5</xdr:col>
      <xdr:colOff>105335</xdr:colOff>
      <xdr:row>119</xdr:row>
      <xdr:rowOff>48558</xdr:rowOff>
    </xdr:to>
    <xdr:sp macro="" textlink="">
      <xdr:nvSpPr>
        <xdr:cNvPr id="376001" name="Text Box 193" hidden="1">
          <a:extLst>
            <a:ext uri="{FF2B5EF4-FFF2-40B4-BE49-F238E27FC236}">
              <a16:creationId xmlns:a16="http://schemas.microsoft.com/office/drawing/2014/main" id="{0FCF4762-5941-1680-5EA9-9E6CB2B30C32}"/>
            </a:ext>
          </a:extLst>
        </xdr:cNvPr>
        <xdr:cNvSpPr txBox="1">
          <a:spLocks noChangeArrowheads="1"/>
        </xdr:cNvSpPr>
      </xdr:nvSpPr>
      <xdr:spPr bwMode="auto">
        <a:xfrm>
          <a:off x="3994150" y="23723600"/>
          <a:ext cx="1314450" cy="156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64988</xdr:rowOff>
    </xdr:from>
    <xdr:to>
      <xdr:col>5</xdr:col>
      <xdr:colOff>105335</xdr:colOff>
      <xdr:row>117</xdr:row>
      <xdr:rowOff>145010</xdr:rowOff>
    </xdr:to>
    <xdr:sp macro="" textlink="">
      <xdr:nvSpPr>
        <xdr:cNvPr id="376000" name="Text Box 192" hidden="1">
          <a:extLst>
            <a:ext uri="{FF2B5EF4-FFF2-40B4-BE49-F238E27FC236}">
              <a16:creationId xmlns:a16="http://schemas.microsoft.com/office/drawing/2014/main" id="{0A92852E-9A54-495E-155A-427B17B67E89}"/>
            </a:ext>
          </a:extLst>
        </xdr:cNvPr>
        <xdr:cNvSpPr txBox="1">
          <a:spLocks noChangeArrowheads="1"/>
        </xdr:cNvSpPr>
      </xdr:nvSpPr>
      <xdr:spPr bwMode="auto">
        <a:xfrm>
          <a:off x="3994150" y="23964900"/>
          <a:ext cx="1314450" cy="102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50673</xdr:rowOff>
    </xdr:from>
    <xdr:to>
      <xdr:col>5</xdr:col>
      <xdr:colOff>105335</xdr:colOff>
      <xdr:row>117</xdr:row>
      <xdr:rowOff>49878</xdr:rowOff>
    </xdr:to>
    <xdr:sp macro="" textlink="">
      <xdr:nvSpPr>
        <xdr:cNvPr id="375999" name="Text Box 191" hidden="1">
          <a:extLst>
            <a:ext uri="{FF2B5EF4-FFF2-40B4-BE49-F238E27FC236}">
              <a16:creationId xmlns:a16="http://schemas.microsoft.com/office/drawing/2014/main" id="{52CCE5D2-553C-C724-DD26-FEB7D9230567}"/>
            </a:ext>
          </a:extLst>
        </xdr:cNvPr>
        <xdr:cNvSpPr txBox="1">
          <a:spLocks noChangeArrowheads="1"/>
        </xdr:cNvSpPr>
      </xdr:nvSpPr>
      <xdr:spPr bwMode="auto">
        <a:xfrm>
          <a:off x="3994150" y="24149050"/>
          <a:ext cx="13144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12573</xdr:rowOff>
    </xdr:from>
    <xdr:to>
      <xdr:col>5</xdr:col>
      <xdr:colOff>105335</xdr:colOff>
      <xdr:row>117</xdr:row>
      <xdr:rowOff>114436</xdr:rowOff>
    </xdr:to>
    <xdr:sp macro="" textlink="">
      <xdr:nvSpPr>
        <xdr:cNvPr id="375998" name="Text Box 190" hidden="1">
          <a:extLst>
            <a:ext uri="{FF2B5EF4-FFF2-40B4-BE49-F238E27FC236}">
              <a16:creationId xmlns:a16="http://schemas.microsoft.com/office/drawing/2014/main" id="{F88CA888-D75F-8889-85B5-A9277F2C44B5}"/>
            </a:ext>
          </a:extLst>
        </xdr:cNvPr>
        <xdr:cNvSpPr txBox="1">
          <a:spLocks noChangeArrowheads="1"/>
        </xdr:cNvSpPr>
      </xdr:nvSpPr>
      <xdr:spPr bwMode="auto">
        <a:xfrm>
          <a:off x="3994150" y="2411095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136</xdr:row>
      <xdr:rowOff>86946</xdr:rowOff>
    </xdr:from>
    <xdr:to>
      <xdr:col>21</xdr:col>
      <xdr:colOff>257697</xdr:colOff>
      <xdr:row>140</xdr:row>
      <xdr:rowOff>125047</xdr:rowOff>
    </xdr:to>
    <xdr:sp macro="" textlink="">
      <xdr:nvSpPr>
        <xdr:cNvPr id="375997" name="Text Box 189" hidden="1">
          <a:extLst>
            <a:ext uri="{FF2B5EF4-FFF2-40B4-BE49-F238E27FC236}">
              <a16:creationId xmlns:a16="http://schemas.microsoft.com/office/drawing/2014/main" id="{D2E50943-5815-1609-03DE-C6BFFA0EB70E}"/>
            </a:ext>
          </a:extLst>
        </xdr:cNvPr>
        <xdr:cNvSpPr txBox="1">
          <a:spLocks noChangeArrowheads="1"/>
        </xdr:cNvSpPr>
      </xdr:nvSpPr>
      <xdr:spPr bwMode="auto">
        <a:xfrm>
          <a:off x="17513300" y="284543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86518</xdr:rowOff>
    </xdr:to>
    <xdr:sp macro="" textlink="">
      <xdr:nvSpPr>
        <xdr:cNvPr id="375996" name="Text Box 188" hidden="1">
          <a:extLst>
            <a:ext uri="{FF2B5EF4-FFF2-40B4-BE49-F238E27FC236}">
              <a16:creationId xmlns:a16="http://schemas.microsoft.com/office/drawing/2014/main" id="{C0DBF1A4-0090-03D0-BD39-D5ABF708AD34}"/>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32</xdr:row>
      <xdr:rowOff>95250</xdr:rowOff>
    </xdr:from>
    <xdr:to>
      <xdr:col>22</xdr:col>
      <xdr:colOff>429146</xdr:colOff>
      <xdr:row>38</xdr:row>
      <xdr:rowOff>84931</xdr:rowOff>
    </xdr:to>
    <xdr:sp macro="" textlink="">
      <xdr:nvSpPr>
        <xdr:cNvPr id="375995" name="Text Box 187" hidden="1">
          <a:extLst>
            <a:ext uri="{FF2B5EF4-FFF2-40B4-BE49-F238E27FC236}">
              <a16:creationId xmlns:a16="http://schemas.microsoft.com/office/drawing/2014/main" id="{B15D0B88-83A5-C2DE-7BE8-E9B7F5ED61B0}"/>
            </a:ext>
          </a:extLst>
        </xdr:cNvPr>
        <xdr:cNvSpPr txBox="1">
          <a:spLocks noChangeArrowheads="1"/>
        </xdr:cNvSpPr>
      </xdr:nvSpPr>
      <xdr:spPr bwMode="auto">
        <a:xfrm>
          <a:off x="18332450" y="721995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140</xdr:row>
      <xdr:rowOff>105997</xdr:rowOff>
    </xdr:from>
    <xdr:to>
      <xdr:col>22</xdr:col>
      <xdr:colOff>429146</xdr:colOff>
      <xdr:row>144</xdr:row>
      <xdr:rowOff>65516</xdr:rowOff>
    </xdr:to>
    <xdr:sp macro="" textlink="">
      <xdr:nvSpPr>
        <xdr:cNvPr id="375994" name="Text Box 186" hidden="1">
          <a:extLst>
            <a:ext uri="{FF2B5EF4-FFF2-40B4-BE49-F238E27FC236}">
              <a16:creationId xmlns:a16="http://schemas.microsoft.com/office/drawing/2014/main" id="{0F88CC5C-20F7-F266-C8B3-EF84C99BD006}"/>
            </a:ext>
          </a:extLst>
        </xdr:cNvPr>
        <xdr:cNvSpPr txBox="1">
          <a:spLocks noChangeArrowheads="1"/>
        </xdr:cNvSpPr>
      </xdr:nvSpPr>
      <xdr:spPr bwMode="auto">
        <a:xfrm>
          <a:off x="18332450" y="29210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49</xdr:row>
      <xdr:rowOff>103982</xdr:rowOff>
    </xdr:from>
    <xdr:to>
      <xdr:col>11</xdr:col>
      <xdr:colOff>636501</xdr:colOff>
      <xdr:row>53</xdr:row>
      <xdr:rowOff>228601</xdr:rowOff>
    </xdr:to>
    <xdr:sp macro="" textlink="">
      <xdr:nvSpPr>
        <xdr:cNvPr id="375993" name="Text Box 185" hidden="1">
          <a:extLst>
            <a:ext uri="{FF2B5EF4-FFF2-40B4-BE49-F238E27FC236}">
              <a16:creationId xmlns:a16="http://schemas.microsoft.com/office/drawing/2014/main" id="{64AD33D2-2AF8-AB67-AB6B-CFE2F8BE2335}"/>
            </a:ext>
          </a:extLst>
        </xdr:cNvPr>
        <xdr:cNvSpPr txBox="1">
          <a:spLocks noChangeArrowheads="1"/>
        </xdr:cNvSpPr>
      </xdr:nvSpPr>
      <xdr:spPr bwMode="auto">
        <a:xfrm>
          <a:off x="9359900" y="1035050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163512</xdr:rowOff>
    </xdr:to>
    <xdr:sp macro="" textlink="">
      <xdr:nvSpPr>
        <xdr:cNvPr id="375992" name="Text Box 184" hidden="1">
          <a:extLst>
            <a:ext uri="{FF2B5EF4-FFF2-40B4-BE49-F238E27FC236}">
              <a16:creationId xmlns:a16="http://schemas.microsoft.com/office/drawing/2014/main" id="{D627FF02-AF27-9F67-BBB3-5A2C9F216CCE}"/>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32</xdr:row>
      <xdr:rowOff>95250</xdr:rowOff>
    </xdr:from>
    <xdr:to>
      <xdr:col>24</xdr:col>
      <xdr:colOff>467247</xdr:colOff>
      <xdr:row>38</xdr:row>
      <xdr:rowOff>161131</xdr:rowOff>
    </xdr:to>
    <xdr:sp macro="" textlink="">
      <xdr:nvSpPr>
        <xdr:cNvPr id="375991" name="Text Box 183" hidden="1">
          <a:extLst>
            <a:ext uri="{FF2B5EF4-FFF2-40B4-BE49-F238E27FC236}">
              <a16:creationId xmlns:a16="http://schemas.microsoft.com/office/drawing/2014/main" id="{3AA3A633-E05F-4364-7C6B-9D22E2258247}"/>
            </a:ext>
          </a:extLst>
        </xdr:cNvPr>
        <xdr:cNvSpPr txBox="1">
          <a:spLocks noChangeArrowheads="1"/>
        </xdr:cNvSpPr>
      </xdr:nvSpPr>
      <xdr:spPr bwMode="auto">
        <a:xfrm>
          <a:off x="20027900" y="721995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140</xdr:row>
      <xdr:rowOff>105997</xdr:rowOff>
    </xdr:from>
    <xdr:to>
      <xdr:col>24</xdr:col>
      <xdr:colOff>467247</xdr:colOff>
      <xdr:row>145</xdr:row>
      <xdr:rowOff>1718</xdr:rowOff>
    </xdr:to>
    <xdr:sp macro="" textlink="">
      <xdr:nvSpPr>
        <xdr:cNvPr id="375990" name="Text Box 182" hidden="1">
          <a:extLst>
            <a:ext uri="{FF2B5EF4-FFF2-40B4-BE49-F238E27FC236}">
              <a16:creationId xmlns:a16="http://schemas.microsoft.com/office/drawing/2014/main" id="{54BE69C6-1920-5CFB-DC9E-B6412857FF35}"/>
            </a:ext>
          </a:extLst>
        </xdr:cNvPr>
        <xdr:cNvSpPr txBox="1">
          <a:spLocks noChangeArrowheads="1"/>
        </xdr:cNvSpPr>
      </xdr:nvSpPr>
      <xdr:spPr bwMode="auto">
        <a:xfrm>
          <a:off x="20027900" y="29210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467247</xdr:colOff>
      <xdr:row>18</xdr:row>
      <xdr:rowOff>143668</xdr:rowOff>
    </xdr:to>
    <xdr:sp macro="" textlink="">
      <xdr:nvSpPr>
        <xdr:cNvPr id="375989" name="Text Box 181" hidden="1">
          <a:extLst>
            <a:ext uri="{FF2B5EF4-FFF2-40B4-BE49-F238E27FC236}">
              <a16:creationId xmlns:a16="http://schemas.microsoft.com/office/drawing/2014/main" id="{9308D868-5AA9-B472-4033-FFAE7835F4A8}"/>
            </a:ext>
          </a:extLst>
        </xdr:cNvPr>
        <xdr:cNvSpPr txBox="1">
          <a:spLocks noChangeArrowheads="1"/>
        </xdr:cNvSpPr>
      </xdr:nvSpPr>
      <xdr:spPr bwMode="auto">
        <a:xfrm>
          <a:off x="20789900" y="35750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32</xdr:row>
      <xdr:rowOff>114300</xdr:rowOff>
    </xdr:from>
    <xdr:to>
      <xdr:col>25</xdr:col>
      <xdr:colOff>467247</xdr:colOff>
      <xdr:row>38</xdr:row>
      <xdr:rowOff>123031</xdr:rowOff>
    </xdr:to>
    <xdr:sp macro="" textlink="">
      <xdr:nvSpPr>
        <xdr:cNvPr id="375988" name="Text Box 180" hidden="1">
          <a:extLst>
            <a:ext uri="{FF2B5EF4-FFF2-40B4-BE49-F238E27FC236}">
              <a16:creationId xmlns:a16="http://schemas.microsoft.com/office/drawing/2014/main" id="{CB47D3E7-01C9-CC1E-8BAA-9676B0EB9CA7}"/>
            </a:ext>
          </a:extLst>
        </xdr:cNvPr>
        <xdr:cNvSpPr txBox="1">
          <a:spLocks noChangeArrowheads="1"/>
        </xdr:cNvSpPr>
      </xdr:nvSpPr>
      <xdr:spPr bwMode="auto">
        <a:xfrm>
          <a:off x="20789900" y="72390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140</xdr:row>
      <xdr:rowOff>125047</xdr:rowOff>
    </xdr:from>
    <xdr:to>
      <xdr:col>25</xdr:col>
      <xdr:colOff>467247</xdr:colOff>
      <xdr:row>144</xdr:row>
      <xdr:rowOff>143569</xdr:rowOff>
    </xdr:to>
    <xdr:sp macro="" textlink="">
      <xdr:nvSpPr>
        <xdr:cNvPr id="375987" name="Text Box 179" hidden="1">
          <a:extLst>
            <a:ext uri="{FF2B5EF4-FFF2-40B4-BE49-F238E27FC236}">
              <a16:creationId xmlns:a16="http://schemas.microsoft.com/office/drawing/2014/main" id="{41241FE8-CA1F-6421-50B6-CC3A1EBF55A4}"/>
            </a:ext>
          </a:extLst>
        </xdr:cNvPr>
        <xdr:cNvSpPr txBox="1">
          <a:spLocks noChangeArrowheads="1"/>
        </xdr:cNvSpPr>
      </xdr:nvSpPr>
      <xdr:spPr bwMode="auto">
        <a:xfrm>
          <a:off x="20789900" y="292290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114300</xdr:rowOff>
    </xdr:from>
    <xdr:to>
      <xdr:col>18</xdr:col>
      <xdr:colOff>229489</xdr:colOff>
      <xdr:row>10</xdr:row>
      <xdr:rowOff>152400</xdr:rowOff>
    </xdr:to>
    <xdr:sp macro="" textlink="">
      <xdr:nvSpPr>
        <xdr:cNvPr id="376085" name="Text Box 277" hidden="1">
          <a:extLst>
            <a:ext uri="{FF2B5EF4-FFF2-40B4-BE49-F238E27FC236}">
              <a16:creationId xmlns:a16="http://schemas.microsoft.com/office/drawing/2014/main" id="{4EFFDDDD-2311-F8F4-7E1B-8F6C153A01E1}"/>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50407</xdr:rowOff>
    </xdr:from>
    <xdr:to>
      <xdr:col>5</xdr:col>
      <xdr:colOff>105335</xdr:colOff>
      <xdr:row>241</xdr:row>
      <xdr:rowOff>50407</xdr:rowOff>
    </xdr:to>
    <xdr:sp macro="" textlink="">
      <xdr:nvSpPr>
        <xdr:cNvPr id="376084" name="Text Box 276" hidden="1">
          <a:extLst>
            <a:ext uri="{FF2B5EF4-FFF2-40B4-BE49-F238E27FC236}">
              <a16:creationId xmlns:a16="http://schemas.microsoft.com/office/drawing/2014/main" id="{216B778D-A51E-4B3B-0985-8EECB18576FC}"/>
            </a:ext>
          </a:extLst>
        </xdr:cNvPr>
        <xdr:cNvSpPr txBox="1">
          <a:spLocks noChangeArrowheads="1"/>
        </xdr:cNvSpPr>
      </xdr:nvSpPr>
      <xdr:spPr bwMode="auto">
        <a:xfrm>
          <a:off x="3994150" y="43586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10337</xdr:rowOff>
    </xdr:from>
    <xdr:to>
      <xdr:col>5</xdr:col>
      <xdr:colOff>105335</xdr:colOff>
      <xdr:row>240</xdr:row>
      <xdr:rowOff>149626</xdr:rowOff>
    </xdr:to>
    <xdr:sp macro="" textlink="">
      <xdr:nvSpPr>
        <xdr:cNvPr id="376083" name="Text Box 275" hidden="1">
          <a:extLst>
            <a:ext uri="{FF2B5EF4-FFF2-40B4-BE49-F238E27FC236}">
              <a16:creationId xmlns:a16="http://schemas.microsoft.com/office/drawing/2014/main" id="{25C80F4F-54E2-1F79-9D35-AFB553C63ADF}"/>
            </a:ext>
          </a:extLst>
        </xdr:cNvPr>
        <xdr:cNvSpPr txBox="1">
          <a:spLocks noChangeArrowheads="1"/>
        </xdr:cNvSpPr>
      </xdr:nvSpPr>
      <xdr:spPr bwMode="auto">
        <a:xfrm>
          <a:off x="3994150" y="43922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10337</xdr:rowOff>
    </xdr:from>
    <xdr:to>
      <xdr:col>5</xdr:col>
      <xdr:colOff>105335</xdr:colOff>
      <xdr:row>242</xdr:row>
      <xdr:rowOff>50407</xdr:rowOff>
    </xdr:to>
    <xdr:sp macro="" textlink="">
      <xdr:nvSpPr>
        <xdr:cNvPr id="376082" name="Text Box 274" hidden="1">
          <a:extLst>
            <a:ext uri="{FF2B5EF4-FFF2-40B4-BE49-F238E27FC236}">
              <a16:creationId xmlns:a16="http://schemas.microsoft.com/office/drawing/2014/main" id="{429E9008-BB53-4409-1318-752E9E973D8E}"/>
            </a:ext>
          </a:extLst>
        </xdr:cNvPr>
        <xdr:cNvSpPr txBox="1">
          <a:spLocks noChangeArrowheads="1"/>
        </xdr:cNvSpPr>
      </xdr:nvSpPr>
      <xdr:spPr bwMode="auto">
        <a:xfrm>
          <a:off x="3994150" y="44475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10337</xdr:rowOff>
    </xdr:from>
    <xdr:to>
      <xdr:col>5</xdr:col>
      <xdr:colOff>105335</xdr:colOff>
      <xdr:row>229</xdr:row>
      <xdr:rowOff>149626</xdr:rowOff>
    </xdr:to>
    <xdr:sp macro="" textlink="">
      <xdr:nvSpPr>
        <xdr:cNvPr id="376081" name="Text Box 273" hidden="1">
          <a:extLst>
            <a:ext uri="{FF2B5EF4-FFF2-40B4-BE49-F238E27FC236}">
              <a16:creationId xmlns:a16="http://schemas.microsoft.com/office/drawing/2014/main" id="{C73D1DBF-581C-4150-9D41-E7551DAE7667}"/>
            </a:ext>
          </a:extLst>
        </xdr:cNvPr>
        <xdr:cNvSpPr txBox="1">
          <a:spLocks noChangeArrowheads="1"/>
        </xdr:cNvSpPr>
      </xdr:nvSpPr>
      <xdr:spPr bwMode="auto">
        <a:xfrm>
          <a:off x="3994150" y="44659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126607</xdr:rowOff>
    </xdr:from>
    <xdr:to>
      <xdr:col>5</xdr:col>
      <xdr:colOff>105335</xdr:colOff>
      <xdr:row>206</xdr:row>
      <xdr:rowOff>149626</xdr:rowOff>
    </xdr:to>
    <xdr:sp macro="" textlink="">
      <xdr:nvSpPr>
        <xdr:cNvPr id="376080" name="Text Box 272" hidden="1">
          <a:extLst>
            <a:ext uri="{FF2B5EF4-FFF2-40B4-BE49-F238E27FC236}">
              <a16:creationId xmlns:a16="http://schemas.microsoft.com/office/drawing/2014/main" id="{2C297DF3-473A-0131-E952-D47248058157}"/>
            </a:ext>
          </a:extLst>
        </xdr:cNvPr>
        <xdr:cNvSpPr txBox="1">
          <a:spLocks noChangeArrowheads="1"/>
        </xdr:cNvSpPr>
      </xdr:nvSpPr>
      <xdr:spPr bwMode="auto">
        <a:xfrm>
          <a:off x="3994150" y="40347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10337</xdr:rowOff>
    </xdr:from>
    <xdr:to>
      <xdr:col>5</xdr:col>
      <xdr:colOff>105335</xdr:colOff>
      <xdr:row>208</xdr:row>
      <xdr:rowOff>29387</xdr:rowOff>
    </xdr:to>
    <xdr:sp macro="" textlink="">
      <xdr:nvSpPr>
        <xdr:cNvPr id="376079" name="Text Box 271" hidden="1">
          <a:extLst>
            <a:ext uri="{FF2B5EF4-FFF2-40B4-BE49-F238E27FC236}">
              <a16:creationId xmlns:a16="http://schemas.microsoft.com/office/drawing/2014/main" id="{B8189285-05C2-07D9-F5C0-589F6FCD233D}"/>
            </a:ext>
          </a:extLst>
        </xdr:cNvPr>
        <xdr:cNvSpPr txBox="1">
          <a:spLocks noChangeArrowheads="1"/>
        </xdr:cNvSpPr>
      </xdr:nvSpPr>
      <xdr:spPr bwMode="auto">
        <a:xfrm>
          <a:off x="3994150" y="40792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10337</xdr:rowOff>
    </xdr:from>
    <xdr:to>
      <xdr:col>5</xdr:col>
      <xdr:colOff>105335</xdr:colOff>
      <xdr:row>209</xdr:row>
      <xdr:rowOff>50407</xdr:rowOff>
    </xdr:to>
    <xdr:sp macro="" textlink="">
      <xdr:nvSpPr>
        <xdr:cNvPr id="376078" name="Text Box 270" hidden="1">
          <a:extLst>
            <a:ext uri="{FF2B5EF4-FFF2-40B4-BE49-F238E27FC236}">
              <a16:creationId xmlns:a16="http://schemas.microsoft.com/office/drawing/2014/main" id="{2C725D4D-ADFB-E23B-C33D-5ADAAD19241B}"/>
            </a:ext>
          </a:extLst>
        </xdr:cNvPr>
        <xdr:cNvSpPr txBox="1">
          <a:spLocks noChangeArrowheads="1"/>
        </xdr:cNvSpPr>
      </xdr:nvSpPr>
      <xdr:spPr bwMode="auto">
        <a:xfrm>
          <a:off x="3994150" y="41160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10338</xdr:rowOff>
    </xdr:from>
    <xdr:to>
      <xdr:col>5</xdr:col>
      <xdr:colOff>105335</xdr:colOff>
      <xdr:row>216</xdr:row>
      <xdr:rowOff>29386</xdr:rowOff>
    </xdr:to>
    <xdr:sp macro="" textlink="">
      <xdr:nvSpPr>
        <xdr:cNvPr id="376077" name="Text Box 269" hidden="1">
          <a:extLst>
            <a:ext uri="{FF2B5EF4-FFF2-40B4-BE49-F238E27FC236}">
              <a16:creationId xmlns:a16="http://schemas.microsoft.com/office/drawing/2014/main" id="{140DFF26-1D74-10A0-1D2F-5653B1454B88}"/>
            </a:ext>
          </a:extLst>
        </xdr:cNvPr>
        <xdr:cNvSpPr txBox="1">
          <a:spLocks noChangeArrowheads="1"/>
        </xdr:cNvSpPr>
      </xdr:nvSpPr>
      <xdr:spPr bwMode="auto">
        <a:xfrm>
          <a:off x="3994150" y="41529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7416</xdr:rowOff>
    </xdr:from>
    <xdr:to>
      <xdr:col>5</xdr:col>
      <xdr:colOff>105335</xdr:colOff>
      <xdr:row>68</xdr:row>
      <xdr:rowOff>7416</xdr:rowOff>
    </xdr:to>
    <xdr:sp macro="" textlink="">
      <xdr:nvSpPr>
        <xdr:cNvPr id="376076" name="Text Box 268" hidden="1">
          <a:extLst>
            <a:ext uri="{FF2B5EF4-FFF2-40B4-BE49-F238E27FC236}">
              <a16:creationId xmlns:a16="http://schemas.microsoft.com/office/drawing/2014/main" id="{B97DBFA9-DD1D-481D-58D2-6335947CA3FC}"/>
            </a:ext>
          </a:extLst>
        </xdr:cNvPr>
        <xdr:cNvSpPr txBox="1">
          <a:spLocks noChangeArrowheads="1"/>
        </xdr:cNvSpPr>
      </xdr:nvSpPr>
      <xdr:spPr bwMode="auto">
        <a:xfrm>
          <a:off x="3994150" y="149669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123979</xdr:rowOff>
    </xdr:from>
    <xdr:to>
      <xdr:col>5</xdr:col>
      <xdr:colOff>124385</xdr:colOff>
      <xdr:row>83</xdr:row>
      <xdr:rowOff>59220</xdr:rowOff>
    </xdr:to>
    <xdr:sp macro="" textlink="">
      <xdr:nvSpPr>
        <xdr:cNvPr id="376075" name="Text Box 267" hidden="1">
          <a:extLst>
            <a:ext uri="{FF2B5EF4-FFF2-40B4-BE49-F238E27FC236}">
              <a16:creationId xmlns:a16="http://schemas.microsoft.com/office/drawing/2014/main" id="{77E07BA7-E3A8-5A75-B1B6-A458BC615232}"/>
            </a:ext>
          </a:extLst>
        </xdr:cNvPr>
        <xdr:cNvSpPr txBox="1">
          <a:spLocks noChangeArrowheads="1"/>
        </xdr:cNvSpPr>
      </xdr:nvSpPr>
      <xdr:spPr bwMode="auto">
        <a:xfrm>
          <a:off x="4013200" y="15100300"/>
          <a:ext cx="1314450" cy="320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7416</xdr:rowOff>
    </xdr:from>
    <xdr:to>
      <xdr:col>5</xdr:col>
      <xdr:colOff>105335</xdr:colOff>
      <xdr:row>83</xdr:row>
      <xdr:rowOff>60014</xdr:rowOff>
    </xdr:to>
    <xdr:sp macro="" textlink="">
      <xdr:nvSpPr>
        <xdr:cNvPr id="376074" name="Text Box 266" hidden="1">
          <a:extLst>
            <a:ext uri="{FF2B5EF4-FFF2-40B4-BE49-F238E27FC236}">
              <a16:creationId xmlns:a16="http://schemas.microsoft.com/office/drawing/2014/main" id="{5FE3F569-A597-8CE0-95F9-04D5BD0A2240}"/>
            </a:ext>
          </a:extLst>
        </xdr:cNvPr>
        <xdr:cNvSpPr txBox="1">
          <a:spLocks noChangeArrowheads="1"/>
        </xdr:cNvSpPr>
      </xdr:nvSpPr>
      <xdr:spPr bwMode="auto">
        <a:xfrm>
          <a:off x="3994150" y="1496695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9387</xdr:rowOff>
    </xdr:from>
    <xdr:to>
      <xdr:col>5</xdr:col>
      <xdr:colOff>105335</xdr:colOff>
      <xdr:row>83</xdr:row>
      <xdr:rowOff>79064</xdr:rowOff>
    </xdr:to>
    <xdr:sp macro="" textlink="">
      <xdr:nvSpPr>
        <xdr:cNvPr id="376073" name="Text Box 265" hidden="1">
          <a:extLst>
            <a:ext uri="{FF2B5EF4-FFF2-40B4-BE49-F238E27FC236}">
              <a16:creationId xmlns:a16="http://schemas.microsoft.com/office/drawing/2014/main" id="{E5030379-778D-63B7-471B-EC61751B1974}"/>
            </a:ext>
          </a:extLst>
        </xdr:cNvPr>
        <xdr:cNvSpPr txBox="1">
          <a:spLocks noChangeArrowheads="1"/>
        </xdr:cNvSpPr>
      </xdr:nvSpPr>
      <xdr:spPr bwMode="auto">
        <a:xfrm>
          <a:off x="3994150" y="1498600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29039</xdr:rowOff>
    </xdr:from>
    <xdr:to>
      <xdr:col>5</xdr:col>
      <xdr:colOff>105335</xdr:colOff>
      <xdr:row>86</xdr:row>
      <xdr:rowOff>12170</xdr:rowOff>
    </xdr:to>
    <xdr:sp macro="" textlink="">
      <xdr:nvSpPr>
        <xdr:cNvPr id="376072" name="Text Box 264" hidden="1">
          <a:extLst>
            <a:ext uri="{FF2B5EF4-FFF2-40B4-BE49-F238E27FC236}">
              <a16:creationId xmlns:a16="http://schemas.microsoft.com/office/drawing/2014/main" id="{4EEADA7E-BBB3-3501-96F2-6305D603FC60}"/>
            </a:ext>
          </a:extLst>
        </xdr:cNvPr>
        <xdr:cNvSpPr txBox="1">
          <a:spLocks noChangeArrowheads="1"/>
        </xdr:cNvSpPr>
      </xdr:nvSpPr>
      <xdr:spPr bwMode="auto">
        <a:xfrm>
          <a:off x="3994150" y="15830550"/>
          <a:ext cx="1314450" cy="300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12170</xdr:rowOff>
    </xdr:from>
    <xdr:to>
      <xdr:col>5</xdr:col>
      <xdr:colOff>105335</xdr:colOff>
      <xdr:row>93</xdr:row>
      <xdr:rowOff>155474</xdr:rowOff>
    </xdr:to>
    <xdr:sp macro="" textlink="">
      <xdr:nvSpPr>
        <xdr:cNvPr id="376071" name="Text Box 263" hidden="1">
          <a:extLst>
            <a:ext uri="{FF2B5EF4-FFF2-40B4-BE49-F238E27FC236}">
              <a16:creationId xmlns:a16="http://schemas.microsoft.com/office/drawing/2014/main" id="{57F1C4BD-A3E3-109B-3D2A-DD24D4FDF0EB}"/>
            </a:ext>
          </a:extLst>
        </xdr:cNvPr>
        <xdr:cNvSpPr txBox="1">
          <a:spLocks noChangeArrowheads="1"/>
        </xdr:cNvSpPr>
      </xdr:nvSpPr>
      <xdr:spPr bwMode="auto">
        <a:xfrm>
          <a:off x="3994150" y="18834100"/>
          <a:ext cx="1314450" cy="149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82814</xdr:rowOff>
    </xdr:from>
    <xdr:to>
      <xdr:col>5</xdr:col>
      <xdr:colOff>105335</xdr:colOff>
      <xdr:row>93</xdr:row>
      <xdr:rowOff>12302</xdr:rowOff>
    </xdr:to>
    <xdr:sp macro="" textlink="">
      <xdr:nvSpPr>
        <xdr:cNvPr id="376070" name="Text Box 262" hidden="1">
          <a:extLst>
            <a:ext uri="{FF2B5EF4-FFF2-40B4-BE49-F238E27FC236}">
              <a16:creationId xmlns:a16="http://schemas.microsoft.com/office/drawing/2014/main" id="{D1A0A3AD-6960-9E7A-416A-76486E3DCB57}"/>
            </a:ext>
          </a:extLst>
        </xdr:cNvPr>
        <xdr:cNvSpPr txBox="1">
          <a:spLocks noChangeArrowheads="1"/>
        </xdr:cNvSpPr>
      </xdr:nvSpPr>
      <xdr:spPr bwMode="auto">
        <a:xfrm>
          <a:off x="3994150" y="18942050"/>
          <a:ext cx="1314450" cy="125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38364</xdr:rowOff>
    </xdr:from>
    <xdr:to>
      <xdr:col>5</xdr:col>
      <xdr:colOff>105335</xdr:colOff>
      <xdr:row>93</xdr:row>
      <xdr:rowOff>85624</xdr:rowOff>
    </xdr:to>
    <xdr:sp macro="" textlink="">
      <xdr:nvSpPr>
        <xdr:cNvPr id="376069" name="Text Box 261" hidden="1">
          <a:extLst>
            <a:ext uri="{FF2B5EF4-FFF2-40B4-BE49-F238E27FC236}">
              <a16:creationId xmlns:a16="http://schemas.microsoft.com/office/drawing/2014/main" id="{6D91119E-D7A2-F055-A15A-6CB53B87CC88}"/>
            </a:ext>
          </a:extLst>
        </xdr:cNvPr>
        <xdr:cNvSpPr txBox="1">
          <a:spLocks noChangeArrowheads="1"/>
        </xdr:cNvSpPr>
      </xdr:nvSpPr>
      <xdr:spPr bwMode="auto">
        <a:xfrm>
          <a:off x="3994150" y="190690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48684</xdr:rowOff>
    </xdr:from>
    <xdr:to>
      <xdr:col>5</xdr:col>
      <xdr:colOff>105335</xdr:colOff>
      <xdr:row>94</xdr:row>
      <xdr:rowOff>143569</xdr:rowOff>
    </xdr:to>
    <xdr:sp macro="" textlink="">
      <xdr:nvSpPr>
        <xdr:cNvPr id="376068" name="Text Box 260" hidden="1">
          <a:extLst>
            <a:ext uri="{FF2B5EF4-FFF2-40B4-BE49-F238E27FC236}">
              <a16:creationId xmlns:a16="http://schemas.microsoft.com/office/drawing/2014/main" id="{5134E23B-BE0B-DEE3-B83B-CB6B1D699BD3}"/>
            </a:ext>
          </a:extLst>
        </xdr:cNvPr>
        <xdr:cNvSpPr txBox="1">
          <a:spLocks noChangeArrowheads="1"/>
        </xdr:cNvSpPr>
      </xdr:nvSpPr>
      <xdr:spPr bwMode="auto">
        <a:xfrm>
          <a:off x="3994150" y="1925320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151219</xdr:rowOff>
    </xdr:from>
    <xdr:to>
      <xdr:col>5</xdr:col>
      <xdr:colOff>105335</xdr:colOff>
      <xdr:row>119</xdr:row>
      <xdr:rowOff>48558</xdr:rowOff>
    </xdr:to>
    <xdr:sp macro="" textlink="">
      <xdr:nvSpPr>
        <xdr:cNvPr id="376067" name="Text Box 259" hidden="1">
          <a:extLst>
            <a:ext uri="{FF2B5EF4-FFF2-40B4-BE49-F238E27FC236}">
              <a16:creationId xmlns:a16="http://schemas.microsoft.com/office/drawing/2014/main" id="{7FB99196-DCA1-EA12-FAC8-C36FCCF7F666}"/>
            </a:ext>
          </a:extLst>
        </xdr:cNvPr>
        <xdr:cNvSpPr txBox="1">
          <a:spLocks noChangeArrowheads="1"/>
        </xdr:cNvSpPr>
      </xdr:nvSpPr>
      <xdr:spPr bwMode="auto">
        <a:xfrm>
          <a:off x="3994150" y="23723600"/>
          <a:ext cx="1314450" cy="156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64988</xdr:rowOff>
    </xdr:from>
    <xdr:to>
      <xdr:col>5</xdr:col>
      <xdr:colOff>105335</xdr:colOff>
      <xdr:row>117</xdr:row>
      <xdr:rowOff>145010</xdr:rowOff>
    </xdr:to>
    <xdr:sp macro="" textlink="">
      <xdr:nvSpPr>
        <xdr:cNvPr id="376066" name="Text Box 258" hidden="1">
          <a:extLst>
            <a:ext uri="{FF2B5EF4-FFF2-40B4-BE49-F238E27FC236}">
              <a16:creationId xmlns:a16="http://schemas.microsoft.com/office/drawing/2014/main" id="{44E51674-6A5E-DC27-7345-FE47353D5322}"/>
            </a:ext>
          </a:extLst>
        </xdr:cNvPr>
        <xdr:cNvSpPr txBox="1">
          <a:spLocks noChangeArrowheads="1"/>
        </xdr:cNvSpPr>
      </xdr:nvSpPr>
      <xdr:spPr bwMode="auto">
        <a:xfrm>
          <a:off x="3994150" y="23964900"/>
          <a:ext cx="131445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50673</xdr:rowOff>
    </xdr:from>
    <xdr:to>
      <xdr:col>5</xdr:col>
      <xdr:colOff>105335</xdr:colOff>
      <xdr:row>117</xdr:row>
      <xdr:rowOff>49878</xdr:rowOff>
    </xdr:to>
    <xdr:sp macro="" textlink="">
      <xdr:nvSpPr>
        <xdr:cNvPr id="376065" name="Text Box 257" hidden="1">
          <a:extLst>
            <a:ext uri="{FF2B5EF4-FFF2-40B4-BE49-F238E27FC236}">
              <a16:creationId xmlns:a16="http://schemas.microsoft.com/office/drawing/2014/main" id="{E6D8DD0E-0468-E489-D0E5-34290D2A86C5}"/>
            </a:ext>
          </a:extLst>
        </xdr:cNvPr>
        <xdr:cNvSpPr txBox="1">
          <a:spLocks noChangeArrowheads="1"/>
        </xdr:cNvSpPr>
      </xdr:nvSpPr>
      <xdr:spPr bwMode="auto">
        <a:xfrm>
          <a:off x="3994150" y="2414905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12573</xdr:rowOff>
    </xdr:from>
    <xdr:to>
      <xdr:col>5</xdr:col>
      <xdr:colOff>105335</xdr:colOff>
      <xdr:row>117</xdr:row>
      <xdr:rowOff>114436</xdr:rowOff>
    </xdr:to>
    <xdr:sp macro="" textlink="">
      <xdr:nvSpPr>
        <xdr:cNvPr id="376064" name="Text Box 256" hidden="1">
          <a:extLst>
            <a:ext uri="{FF2B5EF4-FFF2-40B4-BE49-F238E27FC236}">
              <a16:creationId xmlns:a16="http://schemas.microsoft.com/office/drawing/2014/main" id="{D45AE0A6-E147-2C24-8C55-94B9ED8D0B98}"/>
            </a:ext>
          </a:extLst>
        </xdr:cNvPr>
        <xdr:cNvSpPr txBox="1">
          <a:spLocks noChangeArrowheads="1"/>
        </xdr:cNvSpPr>
      </xdr:nvSpPr>
      <xdr:spPr bwMode="auto">
        <a:xfrm>
          <a:off x="3994150" y="24110950"/>
          <a:ext cx="13144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136</xdr:row>
      <xdr:rowOff>86946</xdr:rowOff>
    </xdr:from>
    <xdr:to>
      <xdr:col>21</xdr:col>
      <xdr:colOff>257697</xdr:colOff>
      <xdr:row>140</xdr:row>
      <xdr:rowOff>125047</xdr:rowOff>
    </xdr:to>
    <xdr:sp macro="" textlink="">
      <xdr:nvSpPr>
        <xdr:cNvPr id="376063" name="Text Box 255" hidden="1">
          <a:extLst>
            <a:ext uri="{FF2B5EF4-FFF2-40B4-BE49-F238E27FC236}">
              <a16:creationId xmlns:a16="http://schemas.microsoft.com/office/drawing/2014/main" id="{2EC1C950-8F64-D531-1653-7687AC1C7AFB}"/>
            </a:ext>
          </a:extLst>
        </xdr:cNvPr>
        <xdr:cNvSpPr txBox="1">
          <a:spLocks noChangeArrowheads="1"/>
        </xdr:cNvSpPr>
      </xdr:nvSpPr>
      <xdr:spPr bwMode="auto">
        <a:xfrm>
          <a:off x="17513300" y="28454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86518</xdr:rowOff>
    </xdr:to>
    <xdr:sp macro="" textlink="">
      <xdr:nvSpPr>
        <xdr:cNvPr id="376062" name="Text Box 254" hidden="1">
          <a:extLst>
            <a:ext uri="{FF2B5EF4-FFF2-40B4-BE49-F238E27FC236}">
              <a16:creationId xmlns:a16="http://schemas.microsoft.com/office/drawing/2014/main" id="{A4CCAF54-872D-3BA4-F5D6-940458518C06}"/>
            </a:ext>
          </a:extLst>
        </xdr:cNvPr>
        <xdr:cNvSpPr txBox="1">
          <a:spLocks noChangeArrowheads="1"/>
        </xdr:cNvSpPr>
      </xdr:nvSpPr>
      <xdr:spPr bwMode="auto">
        <a:xfrm>
          <a:off x="183324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32</xdr:row>
      <xdr:rowOff>95250</xdr:rowOff>
    </xdr:from>
    <xdr:to>
      <xdr:col>22</xdr:col>
      <xdr:colOff>429146</xdr:colOff>
      <xdr:row>38</xdr:row>
      <xdr:rowOff>84931</xdr:rowOff>
    </xdr:to>
    <xdr:sp macro="" textlink="">
      <xdr:nvSpPr>
        <xdr:cNvPr id="376061" name="Text Box 253" hidden="1">
          <a:extLst>
            <a:ext uri="{FF2B5EF4-FFF2-40B4-BE49-F238E27FC236}">
              <a16:creationId xmlns:a16="http://schemas.microsoft.com/office/drawing/2014/main" id="{8B6029A9-EC35-F3B7-C11B-BC06B163DBEF}"/>
            </a:ext>
          </a:extLst>
        </xdr:cNvPr>
        <xdr:cNvSpPr txBox="1">
          <a:spLocks noChangeArrowheads="1"/>
        </xdr:cNvSpPr>
      </xdr:nvSpPr>
      <xdr:spPr bwMode="auto">
        <a:xfrm>
          <a:off x="18332450" y="721995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140</xdr:row>
      <xdr:rowOff>105997</xdr:rowOff>
    </xdr:from>
    <xdr:to>
      <xdr:col>22</xdr:col>
      <xdr:colOff>429146</xdr:colOff>
      <xdr:row>144</xdr:row>
      <xdr:rowOff>65516</xdr:rowOff>
    </xdr:to>
    <xdr:sp macro="" textlink="">
      <xdr:nvSpPr>
        <xdr:cNvPr id="376060" name="Text Box 252" hidden="1">
          <a:extLst>
            <a:ext uri="{FF2B5EF4-FFF2-40B4-BE49-F238E27FC236}">
              <a16:creationId xmlns:a16="http://schemas.microsoft.com/office/drawing/2014/main" id="{351E045A-79D4-CA3E-C354-7A1E3ACD75DC}"/>
            </a:ext>
          </a:extLst>
        </xdr:cNvPr>
        <xdr:cNvSpPr txBox="1">
          <a:spLocks noChangeArrowheads="1"/>
        </xdr:cNvSpPr>
      </xdr:nvSpPr>
      <xdr:spPr bwMode="auto">
        <a:xfrm>
          <a:off x="18332450" y="29210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49</xdr:row>
      <xdr:rowOff>103982</xdr:rowOff>
    </xdr:from>
    <xdr:to>
      <xdr:col>11</xdr:col>
      <xdr:colOff>636501</xdr:colOff>
      <xdr:row>53</xdr:row>
      <xdr:rowOff>228601</xdr:rowOff>
    </xdr:to>
    <xdr:sp macro="" textlink="">
      <xdr:nvSpPr>
        <xdr:cNvPr id="376059" name="Text Box 251" hidden="1">
          <a:extLst>
            <a:ext uri="{FF2B5EF4-FFF2-40B4-BE49-F238E27FC236}">
              <a16:creationId xmlns:a16="http://schemas.microsoft.com/office/drawing/2014/main" id="{CA9022C4-3D94-EDEC-94C8-79A565404A08}"/>
            </a:ext>
          </a:extLst>
        </xdr:cNvPr>
        <xdr:cNvSpPr txBox="1">
          <a:spLocks noChangeArrowheads="1"/>
        </xdr:cNvSpPr>
      </xdr:nvSpPr>
      <xdr:spPr bwMode="auto">
        <a:xfrm>
          <a:off x="9359900" y="1035050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163512</xdr:rowOff>
    </xdr:to>
    <xdr:sp macro="" textlink="">
      <xdr:nvSpPr>
        <xdr:cNvPr id="376058" name="Text Box 250" hidden="1">
          <a:extLst>
            <a:ext uri="{FF2B5EF4-FFF2-40B4-BE49-F238E27FC236}">
              <a16:creationId xmlns:a16="http://schemas.microsoft.com/office/drawing/2014/main" id="{D359858D-42E9-571B-FE6B-844B49411819}"/>
            </a:ext>
          </a:extLst>
        </xdr:cNvPr>
        <xdr:cNvSpPr txBox="1">
          <a:spLocks noChangeArrowheads="1"/>
        </xdr:cNvSpPr>
      </xdr:nvSpPr>
      <xdr:spPr bwMode="auto">
        <a:xfrm>
          <a:off x="2002790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32</xdr:row>
      <xdr:rowOff>95250</xdr:rowOff>
    </xdr:from>
    <xdr:to>
      <xdr:col>24</xdr:col>
      <xdr:colOff>467247</xdr:colOff>
      <xdr:row>38</xdr:row>
      <xdr:rowOff>161131</xdr:rowOff>
    </xdr:to>
    <xdr:sp macro="" textlink="">
      <xdr:nvSpPr>
        <xdr:cNvPr id="376057" name="Text Box 249" hidden="1">
          <a:extLst>
            <a:ext uri="{FF2B5EF4-FFF2-40B4-BE49-F238E27FC236}">
              <a16:creationId xmlns:a16="http://schemas.microsoft.com/office/drawing/2014/main" id="{16F404D2-142F-1B58-64E1-9CDAC25D7937}"/>
            </a:ext>
          </a:extLst>
        </xdr:cNvPr>
        <xdr:cNvSpPr txBox="1">
          <a:spLocks noChangeArrowheads="1"/>
        </xdr:cNvSpPr>
      </xdr:nvSpPr>
      <xdr:spPr bwMode="auto">
        <a:xfrm>
          <a:off x="20027900" y="721995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140</xdr:row>
      <xdr:rowOff>105997</xdr:rowOff>
    </xdr:from>
    <xdr:to>
      <xdr:col>24</xdr:col>
      <xdr:colOff>467247</xdr:colOff>
      <xdr:row>145</xdr:row>
      <xdr:rowOff>1718</xdr:rowOff>
    </xdr:to>
    <xdr:sp macro="" textlink="">
      <xdr:nvSpPr>
        <xdr:cNvPr id="376056" name="Text Box 248" hidden="1">
          <a:extLst>
            <a:ext uri="{FF2B5EF4-FFF2-40B4-BE49-F238E27FC236}">
              <a16:creationId xmlns:a16="http://schemas.microsoft.com/office/drawing/2014/main" id="{17EDB58D-2D86-DCB2-D7BC-5FE4E4CAFB18}"/>
            </a:ext>
          </a:extLst>
        </xdr:cNvPr>
        <xdr:cNvSpPr txBox="1">
          <a:spLocks noChangeArrowheads="1"/>
        </xdr:cNvSpPr>
      </xdr:nvSpPr>
      <xdr:spPr bwMode="auto">
        <a:xfrm>
          <a:off x="20027900" y="29210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467247</xdr:colOff>
      <xdr:row>18</xdr:row>
      <xdr:rowOff>143668</xdr:rowOff>
    </xdr:to>
    <xdr:sp macro="" textlink="">
      <xdr:nvSpPr>
        <xdr:cNvPr id="376055" name="Text Box 247" hidden="1">
          <a:extLst>
            <a:ext uri="{FF2B5EF4-FFF2-40B4-BE49-F238E27FC236}">
              <a16:creationId xmlns:a16="http://schemas.microsoft.com/office/drawing/2014/main" id="{80324CBE-00A9-56C4-19FE-28B69AA72ED7}"/>
            </a:ext>
          </a:extLst>
        </xdr:cNvPr>
        <xdr:cNvSpPr txBox="1">
          <a:spLocks noChangeArrowheads="1"/>
        </xdr:cNvSpPr>
      </xdr:nvSpPr>
      <xdr:spPr bwMode="auto">
        <a:xfrm>
          <a:off x="20789900" y="3575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32</xdr:row>
      <xdr:rowOff>114300</xdr:rowOff>
    </xdr:from>
    <xdr:to>
      <xdr:col>25</xdr:col>
      <xdr:colOff>467247</xdr:colOff>
      <xdr:row>38</xdr:row>
      <xdr:rowOff>123031</xdr:rowOff>
    </xdr:to>
    <xdr:sp macro="" textlink="">
      <xdr:nvSpPr>
        <xdr:cNvPr id="376054" name="Text Box 246" hidden="1">
          <a:extLst>
            <a:ext uri="{FF2B5EF4-FFF2-40B4-BE49-F238E27FC236}">
              <a16:creationId xmlns:a16="http://schemas.microsoft.com/office/drawing/2014/main" id="{1D5E927F-C3FF-2DE9-C8E8-E2CA2128FC7A}"/>
            </a:ext>
          </a:extLst>
        </xdr:cNvPr>
        <xdr:cNvSpPr txBox="1">
          <a:spLocks noChangeArrowheads="1"/>
        </xdr:cNvSpPr>
      </xdr:nvSpPr>
      <xdr:spPr bwMode="auto">
        <a:xfrm>
          <a:off x="20789900" y="723900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140</xdr:row>
      <xdr:rowOff>125047</xdr:rowOff>
    </xdr:from>
    <xdr:to>
      <xdr:col>25</xdr:col>
      <xdr:colOff>467247</xdr:colOff>
      <xdr:row>144</xdr:row>
      <xdr:rowOff>143569</xdr:rowOff>
    </xdr:to>
    <xdr:sp macro="" textlink="">
      <xdr:nvSpPr>
        <xdr:cNvPr id="376053" name="Text Box 245" hidden="1">
          <a:extLst>
            <a:ext uri="{FF2B5EF4-FFF2-40B4-BE49-F238E27FC236}">
              <a16:creationId xmlns:a16="http://schemas.microsoft.com/office/drawing/2014/main" id="{7EF3A848-31BB-1387-C2BD-AB6520971BA2}"/>
            </a:ext>
          </a:extLst>
        </xdr:cNvPr>
        <xdr:cNvSpPr txBox="1">
          <a:spLocks noChangeArrowheads="1"/>
        </xdr:cNvSpPr>
      </xdr:nvSpPr>
      <xdr:spPr bwMode="auto">
        <a:xfrm>
          <a:off x="20789900" y="29229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114300</xdr:rowOff>
    </xdr:from>
    <xdr:to>
      <xdr:col>18</xdr:col>
      <xdr:colOff>229489</xdr:colOff>
      <xdr:row>10</xdr:row>
      <xdr:rowOff>152400</xdr:rowOff>
    </xdr:to>
    <xdr:sp macro="" textlink="">
      <xdr:nvSpPr>
        <xdr:cNvPr id="376118" name="Text Box 310" hidden="1">
          <a:extLst>
            <a:ext uri="{FF2B5EF4-FFF2-40B4-BE49-F238E27FC236}">
              <a16:creationId xmlns:a16="http://schemas.microsoft.com/office/drawing/2014/main" id="{4A315ED2-6DDE-80CD-4759-F53FDBCE1946}"/>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88507</xdr:rowOff>
    </xdr:from>
    <xdr:to>
      <xdr:col>5</xdr:col>
      <xdr:colOff>105335</xdr:colOff>
      <xdr:row>235</xdr:row>
      <xdr:rowOff>88508</xdr:rowOff>
    </xdr:to>
    <xdr:sp macro="" textlink="">
      <xdr:nvSpPr>
        <xdr:cNvPr id="376117" name="Text Box 309" hidden="1">
          <a:extLst>
            <a:ext uri="{FF2B5EF4-FFF2-40B4-BE49-F238E27FC236}">
              <a16:creationId xmlns:a16="http://schemas.microsoft.com/office/drawing/2014/main" id="{F61F4CAC-0293-51F5-F1A7-6D33231D149D}"/>
            </a:ext>
          </a:extLst>
        </xdr:cNvPr>
        <xdr:cNvSpPr txBox="1">
          <a:spLocks noChangeArrowheads="1"/>
        </xdr:cNvSpPr>
      </xdr:nvSpPr>
      <xdr:spPr bwMode="auto">
        <a:xfrm>
          <a:off x="3994150" y="423354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50407</xdr:rowOff>
    </xdr:from>
    <xdr:to>
      <xdr:col>5</xdr:col>
      <xdr:colOff>105335</xdr:colOff>
      <xdr:row>235</xdr:row>
      <xdr:rowOff>6865</xdr:rowOff>
    </xdr:to>
    <xdr:sp macro="" textlink="">
      <xdr:nvSpPr>
        <xdr:cNvPr id="376116" name="Text Box 308" hidden="1">
          <a:extLst>
            <a:ext uri="{FF2B5EF4-FFF2-40B4-BE49-F238E27FC236}">
              <a16:creationId xmlns:a16="http://schemas.microsoft.com/office/drawing/2014/main" id="{4F913E32-E65E-68E2-FD19-E65C4FEBFF9D}"/>
            </a:ext>
          </a:extLst>
        </xdr:cNvPr>
        <xdr:cNvSpPr txBox="1">
          <a:spLocks noChangeArrowheads="1"/>
        </xdr:cNvSpPr>
      </xdr:nvSpPr>
      <xdr:spPr bwMode="auto">
        <a:xfrm>
          <a:off x="3994150" y="4266565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50407</xdr:rowOff>
    </xdr:from>
    <xdr:to>
      <xdr:col>5</xdr:col>
      <xdr:colOff>105335</xdr:colOff>
      <xdr:row>236</xdr:row>
      <xdr:rowOff>88508</xdr:rowOff>
    </xdr:to>
    <xdr:sp macro="" textlink="">
      <xdr:nvSpPr>
        <xdr:cNvPr id="376115" name="Text Box 307" hidden="1">
          <a:extLst>
            <a:ext uri="{FF2B5EF4-FFF2-40B4-BE49-F238E27FC236}">
              <a16:creationId xmlns:a16="http://schemas.microsoft.com/office/drawing/2014/main" id="{3C608763-7A3C-DAF6-5C1E-353F262A5366}"/>
            </a:ext>
          </a:extLst>
        </xdr:cNvPr>
        <xdr:cNvSpPr txBox="1">
          <a:spLocks noChangeArrowheads="1"/>
        </xdr:cNvSpPr>
      </xdr:nvSpPr>
      <xdr:spPr bwMode="auto">
        <a:xfrm>
          <a:off x="3994150" y="43218100"/>
          <a:ext cx="1314450" cy="353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50407</xdr:rowOff>
    </xdr:from>
    <xdr:to>
      <xdr:col>5</xdr:col>
      <xdr:colOff>105335</xdr:colOff>
      <xdr:row>224</xdr:row>
      <xdr:rowOff>6864</xdr:rowOff>
    </xdr:to>
    <xdr:sp macro="" textlink="">
      <xdr:nvSpPr>
        <xdr:cNvPr id="376114" name="Text Box 306" hidden="1">
          <a:extLst>
            <a:ext uri="{FF2B5EF4-FFF2-40B4-BE49-F238E27FC236}">
              <a16:creationId xmlns:a16="http://schemas.microsoft.com/office/drawing/2014/main" id="{D23B754A-0199-CF16-12E6-672713B820FE}"/>
            </a:ext>
          </a:extLst>
        </xdr:cNvPr>
        <xdr:cNvSpPr txBox="1">
          <a:spLocks noChangeArrowheads="1"/>
        </xdr:cNvSpPr>
      </xdr:nvSpPr>
      <xdr:spPr bwMode="auto">
        <a:xfrm>
          <a:off x="3994150" y="4340225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149626</xdr:rowOff>
    </xdr:from>
    <xdr:to>
      <xdr:col>5</xdr:col>
      <xdr:colOff>105335</xdr:colOff>
      <xdr:row>201</xdr:row>
      <xdr:rowOff>6864</xdr:rowOff>
    </xdr:to>
    <xdr:sp macro="" textlink="">
      <xdr:nvSpPr>
        <xdr:cNvPr id="376113" name="Text Box 305" hidden="1">
          <a:extLst>
            <a:ext uri="{FF2B5EF4-FFF2-40B4-BE49-F238E27FC236}">
              <a16:creationId xmlns:a16="http://schemas.microsoft.com/office/drawing/2014/main" id="{41FE51B2-C653-B57B-75A4-36ACE63E3B6B}"/>
            </a:ext>
          </a:extLst>
        </xdr:cNvPr>
        <xdr:cNvSpPr txBox="1">
          <a:spLocks noChangeArrowheads="1"/>
        </xdr:cNvSpPr>
      </xdr:nvSpPr>
      <xdr:spPr bwMode="auto">
        <a:xfrm>
          <a:off x="3994150" y="3909695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50407</xdr:rowOff>
    </xdr:from>
    <xdr:to>
      <xdr:col>5</xdr:col>
      <xdr:colOff>105335</xdr:colOff>
      <xdr:row>202</xdr:row>
      <xdr:rowOff>88507</xdr:rowOff>
    </xdr:to>
    <xdr:sp macro="" textlink="">
      <xdr:nvSpPr>
        <xdr:cNvPr id="376112" name="Text Box 304" hidden="1">
          <a:extLst>
            <a:ext uri="{FF2B5EF4-FFF2-40B4-BE49-F238E27FC236}">
              <a16:creationId xmlns:a16="http://schemas.microsoft.com/office/drawing/2014/main" id="{5597B5B0-AA75-DD0D-A27A-2B76FE09433E}"/>
            </a:ext>
          </a:extLst>
        </xdr:cNvPr>
        <xdr:cNvSpPr txBox="1">
          <a:spLocks noChangeArrowheads="1"/>
        </xdr:cNvSpPr>
      </xdr:nvSpPr>
      <xdr:spPr bwMode="auto">
        <a:xfrm>
          <a:off x="3994150" y="39535100"/>
          <a:ext cx="13144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50408</xdr:rowOff>
    </xdr:from>
    <xdr:to>
      <xdr:col>5</xdr:col>
      <xdr:colOff>105335</xdr:colOff>
      <xdr:row>203</xdr:row>
      <xdr:rowOff>88508</xdr:rowOff>
    </xdr:to>
    <xdr:sp macro="" textlink="">
      <xdr:nvSpPr>
        <xdr:cNvPr id="376111" name="Text Box 303" hidden="1">
          <a:extLst>
            <a:ext uri="{FF2B5EF4-FFF2-40B4-BE49-F238E27FC236}">
              <a16:creationId xmlns:a16="http://schemas.microsoft.com/office/drawing/2014/main" id="{122C112D-6EC0-1BB3-B647-8D4C1D71DC02}"/>
            </a:ext>
          </a:extLst>
        </xdr:cNvPr>
        <xdr:cNvSpPr txBox="1">
          <a:spLocks noChangeArrowheads="1"/>
        </xdr:cNvSpPr>
      </xdr:nvSpPr>
      <xdr:spPr bwMode="auto">
        <a:xfrm>
          <a:off x="3994150" y="399034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50407</xdr:rowOff>
    </xdr:from>
    <xdr:to>
      <xdr:col>5</xdr:col>
      <xdr:colOff>105335</xdr:colOff>
      <xdr:row>210</xdr:row>
      <xdr:rowOff>88507</xdr:rowOff>
    </xdr:to>
    <xdr:sp macro="" textlink="">
      <xdr:nvSpPr>
        <xdr:cNvPr id="376110" name="Text Box 302" hidden="1">
          <a:extLst>
            <a:ext uri="{FF2B5EF4-FFF2-40B4-BE49-F238E27FC236}">
              <a16:creationId xmlns:a16="http://schemas.microsoft.com/office/drawing/2014/main" id="{4D654AAB-E7AB-A77B-6E4D-849F9E9716A5}"/>
            </a:ext>
          </a:extLst>
        </xdr:cNvPr>
        <xdr:cNvSpPr txBox="1">
          <a:spLocks noChangeArrowheads="1"/>
        </xdr:cNvSpPr>
      </xdr:nvSpPr>
      <xdr:spPr bwMode="auto">
        <a:xfrm>
          <a:off x="3994150" y="40271700"/>
          <a:ext cx="1314450" cy="169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145957</xdr:rowOff>
    </xdr:from>
    <xdr:to>
      <xdr:col>5</xdr:col>
      <xdr:colOff>105335</xdr:colOff>
      <xdr:row>60</xdr:row>
      <xdr:rowOff>145957</xdr:rowOff>
    </xdr:to>
    <xdr:sp macro="" textlink="">
      <xdr:nvSpPr>
        <xdr:cNvPr id="376109" name="Text Box 301" hidden="1">
          <a:extLst>
            <a:ext uri="{FF2B5EF4-FFF2-40B4-BE49-F238E27FC236}">
              <a16:creationId xmlns:a16="http://schemas.microsoft.com/office/drawing/2014/main" id="{F2FD763D-1C48-59CE-D19A-BA058080BC9B}"/>
            </a:ext>
          </a:extLst>
        </xdr:cNvPr>
        <xdr:cNvSpPr txBox="1">
          <a:spLocks noChangeArrowheads="1"/>
        </xdr:cNvSpPr>
      </xdr:nvSpPr>
      <xdr:spPr bwMode="auto">
        <a:xfrm>
          <a:off x="3994150" y="134556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25893</xdr:rowOff>
    </xdr:from>
    <xdr:to>
      <xdr:col>5</xdr:col>
      <xdr:colOff>124385</xdr:colOff>
      <xdr:row>82</xdr:row>
      <xdr:rowOff>1687</xdr:rowOff>
    </xdr:to>
    <xdr:sp macro="" textlink="">
      <xdr:nvSpPr>
        <xdr:cNvPr id="376108" name="Text Box 300" hidden="1">
          <a:extLst>
            <a:ext uri="{FF2B5EF4-FFF2-40B4-BE49-F238E27FC236}">
              <a16:creationId xmlns:a16="http://schemas.microsoft.com/office/drawing/2014/main" id="{B5D67607-B05C-C5A7-7841-031CFBB1A7C9}"/>
            </a:ext>
          </a:extLst>
        </xdr:cNvPr>
        <xdr:cNvSpPr txBox="1">
          <a:spLocks noChangeArrowheads="1"/>
        </xdr:cNvSpPr>
      </xdr:nvSpPr>
      <xdr:spPr bwMode="auto">
        <a:xfrm>
          <a:off x="4013200" y="13785850"/>
          <a:ext cx="1314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145957</xdr:rowOff>
    </xdr:from>
    <xdr:to>
      <xdr:col>5</xdr:col>
      <xdr:colOff>105335</xdr:colOff>
      <xdr:row>80</xdr:row>
      <xdr:rowOff>113542</xdr:rowOff>
    </xdr:to>
    <xdr:sp macro="" textlink="">
      <xdr:nvSpPr>
        <xdr:cNvPr id="376107" name="Text Box 299" hidden="1">
          <a:extLst>
            <a:ext uri="{FF2B5EF4-FFF2-40B4-BE49-F238E27FC236}">
              <a16:creationId xmlns:a16="http://schemas.microsoft.com/office/drawing/2014/main" id="{95D4EF4C-DF6B-B622-957D-40EB0C5FDDC0}"/>
            </a:ext>
          </a:extLst>
        </xdr:cNvPr>
        <xdr:cNvSpPr txBox="1">
          <a:spLocks noChangeArrowheads="1"/>
        </xdr:cNvSpPr>
      </xdr:nvSpPr>
      <xdr:spPr bwMode="auto">
        <a:xfrm>
          <a:off x="3994150" y="134556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165007</xdr:rowOff>
    </xdr:from>
    <xdr:to>
      <xdr:col>5</xdr:col>
      <xdr:colOff>105335</xdr:colOff>
      <xdr:row>80</xdr:row>
      <xdr:rowOff>144115</xdr:rowOff>
    </xdr:to>
    <xdr:sp macro="" textlink="">
      <xdr:nvSpPr>
        <xdr:cNvPr id="376106" name="Text Box 298" hidden="1">
          <a:extLst>
            <a:ext uri="{FF2B5EF4-FFF2-40B4-BE49-F238E27FC236}">
              <a16:creationId xmlns:a16="http://schemas.microsoft.com/office/drawing/2014/main" id="{73E02B12-F1DD-786E-5CDB-1D7DB730D4AB}"/>
            </a:ext>
          </a:extLst>
        </xdr:cNvPr>
        <xdr:cNvSpPr txBox="1">
          <a:spLocks noChangeArrowheads="1"/>
        </xdr:cNvSpPr>
      </xdr:nvSpPr>
      <xdr:spPr bwMode="auto">
        <a:xfrm>
          <a:off x="3994150" y="13474700"/>
          <a:ext cx="131445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125102</xdr:rowOff>
    </xdr:from>
    <xdr:to>
      <xdr:col>5</xdr:col>
      <xdr:colOff>105335</xdr:colOff>
      <xdr:row>84</xdr:row>
      <xdr:rowOff>19315</xdr:rowOff>
    </xdr:to>
    <xdr:sp macro="" textlink="">
      <xdr:nvSpPr>
        <xdr:cNvPr id="376105" name="Text Box 297" hidden="1">
          <a:extLst>
            <a:ext uri="{FF2B5EF4-FFF2-40B4-BE49-F238E27FC236}">
              <a16:creationId xmlns:a16="http://schemas.microsoft.com/office/drawing/2014/main" id="{0FB22011-CF15-04D8-6D46-45DA7500B0D1}"/>
            </a:ext>
          </a:extLst>
        </xdr:cNvPr>
        <xdr:cNvSpPr txBox="1">
          <a:spLocks noChangeArrowheads="1"/>
        </xdr:cNvSpPr>
      </xdr:nvSpPr>
      <xdr:spPr bwMode="auto">
        <a:xfrm>
          <a:off x="3994150" y="14668500"/>
          <a:ext cx="1314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2418</xdr:rowOff>
    </xdr:from>
    <xdr:to>
      <xdr:col>5</xdr:col>
      <xdr:colOff>105335</xdr:colOff>
      <xdr:row>93</xdr:row>
      <xdr:rowOff>31649</xdr:rowOff>
    </xdr:to>
    <xdr:sp macro="" textlink="">
      <xdr:nvSpPr>
        <xdr:cNvPr id="376104" name="Text Box 296" hidden="1">
          <a:extLst>
            <a:ext uri="{FF2B5EF4-FFF2-40B4-BE49-F238E27FC236}">
              <a16:creationId xmlns:a16="http://schemas.microsoft.com/office/drawing/2014/main" id="{D3BC4A83-A454-1BBE-B930-B40D95A47748}"/>
            </a:ext>
          </a:extLst>
        </xdr:cNvPr>
        <xdr:cNvSpPr txBox="1">
          <a:spLocks noChangeArrowheads="1"/>
        </xdr:cNvSpPr>
      </xdr:nvSpPr>
      <xdr:spPr bwMode="auto">
        <a:xfrm>
          <a:off x="3994150" y="17583150"/>
          <a:ext cx="1314450" cy="244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113542</xdr:rowOff>
    </xdr:from>
    <xdr:to>
      <xdr:col>5</xdr:col>
      <xdr:colOff>105335</xdr:colOff>
      <xdr:row>92</xdr:row>
      <xdr:rowOff>2236</xdr:rowOff>
    </xdr:to>
    <xdr:sp macro="" textlink="">
      <xdr:nvSpPr>
        <xdr:cNvPr id="376103" name="Text Box 295" hidden="1">
          <a:extLst>
            <a:ext uri="{FF2B5EF4-FFF2-40B4-BE49-F238E27FC236}">
              <a16:creationId xmlns:a16="http://schemas.microsoft.com/office/drawing/2014/main" id="{8F3307AF-6495-8CDF-BA2B-26C6ABD37AE1}"/>
            </a:ext>
          </a:extLst>
        </xdr:cNvPr>
        <xdr:cNvSpPr txBox="1">
          <a:spLocks noChangeArrowheads="1"/>
        </xdr:cNvSpPr>
      </xdr:nvSpPr>
      <xdr:spPr bwMode="auto">
        <a:xfrm>
          <a:off x="3994150" y="1769110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59713</xdr:rowOff>
    </xdr:from>
    <xdr:to>
      <xdr:col>5</xdr:col>
      <xdr:colOff>105335</xdr:colOff>
      <xdr:row>92</xdr:row>
      <xdr:rowOff>97486</xdr:rowOff>
    </xdr:to>
    <xdr:sp macro="" textlink="">
      <xdr:nvSpPr>
        <xdr:cNvPr id="376102" name="Text Box 294" hidden="1">
          <a:extLst>
            <a:ext uri="{FF2B5EF4-FFF2-40B4-BE49-F238E27FC236}">
              <a16:creationId xmlns:a16="http://schemas.microsoft.com/office/drawing/2014/main" id="{82C0AF72-694B-57A7-6DF1-DC934D0FCFBD}"/>
            </a:ext>
          </a:extLst>
        </xdr:cNvPr>
        <xdr:cNvSpPr txBox="1">
          <a:spLocks noChangeArrowheads="1"/>
        </xdr:cNvSpPr>
      </xdr:nvSpPr>
      <xdr:spPr bwMode="auto">
        <a:xfrm>
          <a:off x="3994150" y="1781810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68362</xdr:rowOff>
    </xdr:from>
    <xdr:to>
      <xdr:col>5</xdr:col>
      <xdr:colOff>105335</xdr:colOff>
      <xdr:row>94</xdr:row>
      <xdr:rowOff>95944</xdr:rowOff>
    </xdr:to>
    <xdr:sp macro="" textlink="">
      <xdr:nvSpPr>
        <xdr:cNvPr id="376101" name="Text Box 293" hidden="1">
          <a:extLst>
            <a:ext uri="{FF2B5EF4-FFF2-40B4-BE49-F238E27FC236}">
              <a16:creationId xmlns:a16="http://schemas.microsoft.com/office/drawing/2014/main" id="{6B61E01E-2748-4B5C-90E0-9A03661D9B6B}"/>
            </a:ext>
          </a:extLst>
        </xdr:cNvPr>
        <xdr:cNvSpPr txBox="1">
          <a:spLocks noChangeArrowheads="1"/>
        </xdr:cNvSpPr>
      </xdr:nvSpPr>
      <xdr:spPr bwMode="auto">
        <a:xfrm>
          <a:off x="3994150" y="1800225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173603</xdr:rowOff>
    </xdr:from>
    <xdr:to>
      <xdr:col>5</xdr:col>
      <xdr:colOff>105335</xdr:colOff>
      <xdr:row>114</xdr:row>
      <xdr:rowOff>150685</xdr:rowOff>
    </xdr:to>
    <xdr:sp macro="" textlink="">
      <xdr:nvSpPr>
        <xdr:cNvPr id="376100" name="Text Box 292" hidden="1">
          <a:extLst>
            <a:ext uri="{FF2B5EF4-FFF2-40B4-BE49-F238E27FC236}">
              <a16:creationId xmlns:a16="http://schemas.microsoft.com/office/drawing/2014/main" id="{058D17C4-6F33-3A1D-92BD-D0284BAC20A4}"/>
            </a:ext>
          </a:extLst>
        </xdr:cNvPr>
        <xdr:cNvSpPr txBox="1">
          <a:spLocks noChangeArrowheads="1"/>
        </xdr:cNvSpPr>
      </xdr:nvSpPr>
      <xdr:spPr bwMode="auto">
        <a:xfrm>
          <a:off x="3994150" y="2242185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46869</xdr:rowOff>
    </xdr:from>
    <xdr:to>
      <xdr:col>5</xdr:col>
      <xdr:colOff>105335</xdr:colOff>
      <xdr:row>113</xdr:row>
      <xdr:rowOff>10488</xdr:rowOff>
    </xdr:to>
    <xdr:sp macro="" textlink="">
      <xdr:nvSpPr>
        <xdr:cNvPr id="376099" name="Text Box 291" hidden="1">
          <a:extLst>
            <a:ext uri="{FF2B5EF4-FFF2-40B4-BE49-F238E27FC236}">
              <a16:creationId xmlns:a16="http://schemas.microsoft.com/office/drawing/2014/main" id="{F5E8E312-7AB8-D84F-415A-AD795C02686A}"/>
            </a:ext>
          </a:extLst>
        </xdr:cNvPr>
        <xdr:cNvSpPr txBox="1">
          <a:spLocks noChangeArrowheads="1"/>
        </xdr:cNvSpPr>
      </xdr:nvSpPr>
      <xdr:spPr bwMode="auto">
        <a:xfrm>
          <a:off x="3994150" y="226568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46075</xdr:rowOff>
    </xdr:from>
    <xdr:to>
      <xdr:col>5</xdr:col>
      <xdr:colOff>105335</xdr:colOff>
      <xdr:row>112</xdr:row>
      <xdr:rowOff>11509</xdr:rowOff>
    </xdr:to>
    <xdr:sp macro="" textlink="">
      <xdr:nvSpPr>
        <xdr:cNvPr id="376098" name="Text Box 290" hidden="1">
          <a:extLst>
            <a:ext uri="{FF2B5EF4-FFF2-40B4-BE49-F238E27FC236}">
              <a16:creationId xmlns:a16="http://schemas.microsoft.com/office/drawing/2014/main" id="{702A12AE-D532-0DED-E840-3D32BA6E2D20}"/>
            </a:ext>
          </a:extLst>
        </xdr:cNvPr>
        <xdr:cNvSpPr txBox="1">
          <a:spLocks noChangeArrowheads="1"/>
        </xdr:cNvSpPr>
      </xdr:nvSpPr>
      <xdr:spPr bwMode="auto">
        <a:xfrm>
          <a:off x="3994150" y="2284095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30961</xdr:rowOff>
    </xdr:from>
    <xdr:to>
      <xdr:col>5</xdr:col>
      <xdr:colOff>105335</xdr:colOff>
      <xdr:row>112</xdr:row>
      <xdr:rowOff>68956</xdr:rowOff>
    </xdr:to>
    <xdr:sp macro="" textlink="">
      <xdr:nvSpPr>
        <xdr:cNvPr id="376097" name="Text Box 289" hidden="1">
          <a:extLst>
            <a:ext uri="{FF2B5EF4-FFF2-40B4-BE49-F238E27FC236}">
              <a16:creationId xmlns:a16="http://schemas.microsoft.com/office/drawing/2014/main" id="{4B34B8E3-B146-64B8-CF5A-CCBC5C657744}"/>
            </a:ext>
          </a:extLst>
        </xdr:cNvPr>
        <xdr:cNvSpPr txBox="1">
          <a:spLocks noChangeArrowheads="1"/>
        </xdr:cNvSpPr>
      </xdr:nvSpPr>
      <xdr:spPr bwMode="auto">
        <a:xfrm>
          <a:off x="3994150" y="22802850"/>
          <a:ext cx="1314450" cy="104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130</xdr:row>
      <xdr:rowOff>126900</xdr:rowOff>
    </xdr:from>
    <xdr:to>
      <xdr:col>21</xdr:col>
      <xdr:colOff>257697</xdr:colOff>
      <xdr:row>134</xdr:row>
      <xdr:rowOff>144627</xdr:rowOff>
    </xdr:to>
    <xdr:sp macro="" textlink="">
      <xdr:nvSpPr>
        <xdr:cNvPr id="376096" name="Text Box 288" hidden="1">
          <a:extLst>
            <a:ext uri="{FF2B5EF4-FFF2-40B4-BE49-F238E27FC236}">
              <a16:creationId xmlns:a16="http://schemas.microsoft.com/office/drawing/2014/main" id="{5EE6D865-80E0-DF3B-5564-4DDAD61D3CC0}"/>
            </a:ext>
          </a:extLst>
        </xdr:cNvPr>
        <xdr:cNvSpPr txBox="1">
          <a:spLocks noChangeArrowheads="1"/>
        </xdr:cNvSpPr>
      </xdr:nvSpPr>
      <xdr:spPr bwMode="auto">
        <a:xfrm>
          <a:off x="17513300" y="272034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76200</xdr:rowOff>
    </xdr:to>
    <xdr:sp macro="" textlink="">
      <xdr:nvSpPr>
        <xdr:cNvPr id="376095" name="Text Box 287" hidden="1">
          <a:extLst>
            <a:ext uri="{FF2B5EF4-FFF2-40B4-BE49-F238E27FC236}">
              <a16:creationId xmlns:a16="http://schemas.microsoft.com/office/drawing/2014/main" id="{90720B37-F461-0EF5-CDBB-F8C8CB204853}"/>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23</xdr:row>
      <xdr:rowOff>95250</xdr:rowOff>
    </xdr:from>
    <xdr:to>
      <xdr:col>22</xdr:col>
      <xdr:colOff>429146</xdr:colOff>
      <xdr:row>29</xdr:row>
      <xdr:rowOff>76200</xdr:rowOff>
    </xdr:to>
    <xdr:sp macro="" textlink="">
      <xdr:nvSpPr>
        <xdr:cNvPr id="376094" name="Text Box 286" hidden="1">
          <a:extLst>
            <a:ext uri="{FF2B5EF4-FFF2-40B4-BE49-F238E27FC236}">
              <a16:creationId xmlns:a16="http://schemas.microsoft.com/office/drawing/2014/main" id="{FA28A4C1-A9A1-F2AF-9657-2377B5C607CE}"/>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134</xdr:row>
      <xdr:rowOff>144627</xdr:rowOff>
    </xdr:from>
    <xdr:to>
      <xdr:col>22</xdr:col>
      <xdr:colOff>429146</xdr:colOff>
      <xdr:row>138</xdr:row>
      <xdr:rowOff>103616</xdr:rowOff>
    </xdr:to>
    <xdr:sp macro="" textlink="">
      <xdr:nvSpPr>
        <xdr:cNvPr id="376093" name="Text Box 285" hidden="1">
          <a:extLst>
            <a:ext uri="{FF2B5EF4-FFF2-40B4-BE49-F238E27FC236}">
              <a16:creationId xmlns:a16="http://schemas.microsoft.com/office/drawing/2014/main" id="{5C9A502A-A46C-3507-7BE6-83961960A827}"/>
            </a:ext>
          </a:extLst>
        </xdr:cNvPr>
        <xdr:cNvSpPr txBox="1">
          <a:spLocks noChangeArrowheads="1"/>
        </xdr:cNvSpPr>
      </xdr:nvSpPr>
      <xdr:spPr bwMode="auto">
        <a:xfrm>
          <a:off x="18332450" y="279590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32</xdr:row>
      <xdr:rowOff>95250</xdr:rowOff>
    </xdr:from>
    <xdr:to>
      <xdr:col>11</xdr:col>
      <xdr:colOff>636501</xdr:colOff>
      <xdr:row>37</xdr:row>
      <xdr:rowOff>38100</xdr:rowOff>
    </xdr:to>
    <xdr:sp macro="" textlink="">
      <xdr:nvSpPr>
        <xdr:cNvPr id="376092" name="Text Box 284" hidden="1">
          <a:extLst>
            <a:ext uri="{FF2B5EF4-FFF2-40B4-BE49-F238E27FC236}">
              <a16:creationId xmlns:a16="http://schemas.microsoft.com/office/drawing/2014/main" id="{ECD8A705-E576-69EC-0E97-B82FBF9632D7}"/>
            </a:ext>
          </a:extLst>
        </xdr:cNvPr>
        <xdr:cNvSpPr txBox="1">
          <a:spLocks noChangeArrowheads="1"/>
        </xdr:cNvSpPr>
      </xdr:nvSpPr>
      <xdr:spPr bwMode="auto">
        <a:xfrm>
          <a:off x="9359900" y="72199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171450</xdr:rowOff>
    </xdr:to>
    <xdr:sp macro="" textlink="">
      <xdr:nvSpPr>
        <xdr:cNvPr id="376091" name="Text Box 283" hidden="1">
          <a:extLst>
            <a:ext uri="{FF2B5EF4-FFF2-40B4-BE49-F238E27FC236}">
              <a16:creationId xmlns:a16="http://schemas.microsoft.com/office/drawing/2014/main" id="{DF12F305-C14A-7C97-A825-338CD5AAB480}"/>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467247</xdr:colOff>
      <xdr:row>29</xdr:row>
      <xdr:rowOff>152400</xdr:rowOff>
    </xdr:to>
    <xdr:sp macro="" textlink="">
      <xdr:nvSpPr>
        <xdr:cNvPr id="376090" name="Text Box 282" hidden="1">
          <a:extLst>
            <a:ext uri="{FF2B5EF4-FFF2-40B4-BE49-F238E27FC236}">
              <a16:creationId xmlns:a16="http://schemas.microsoft.com/office/drawing/2014/main" id="{DCAD4EEE-5B13-F9F2-6997-A8EC7DD770ED}"/>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144627</xdr:rowOff>
    </xdr:from>
    <xdr:to>
      <xdr:col>24</xdr:col>
      <xdr:colOff>467247</xdr:colOff>
      <xdr:row>139</xdr:row>
      <xdr:rowOff>27416</xdr:rowOff>
    </xdr:to>
    <xdr:sp macro="" textlink="">
      <xdr:nvSpPr>
        <xdr:cNvPr id="376089" name="Text Box 281" hidden="1">
          <a:extLst>
            <a:ext uri="{FF2B5EF4-FFF2-40B4-BE49-F238E27FC236}">
              <a16:creationId xmlns:a16="http://schemas.microsoft.com/office/drawing/2014/main" id="{43A7FAA0-9282-9967-B4AC-EE51F3592C15}"/>
            </a:ext>
          </a:extLst>
        </xdr:cNvPr>
        <xdr:cNvSpPr txBox="1">
          <a:spLocks noChangeArrowheads="1"/>
        </xdr:cNvSpPr>
      </xdr:nvSpPr>
      <xdr:spPr bwMode="auto">
        <a:xfrm>
          <a:off x="20027900" y="279590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467247</xdr:colOff>
      <xdr:row>18</xdr:row>
      <xdr:rowOff>133350</xdr:rowOff>
    </xdr:to>
    <xdr:sp macro="" textlink="">
      <xdr:nvSpPr>
        <xdr:cNvPr id="376088" name="Text Box 280" hidden="1">
          <a:extLst>
            <a:ext uri="{FF2B5EF4-FFF2-40B4-BE49-F238E27FC236}">
              <a16:creationId xmlns:a16="http://schemas.microsoft.com/office/drawing/2014/main" id="{D2F2A6C5-9461-3231-995A-2DA9A461ABD2}"/>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114300</xdr:rowOff>
    </xdr:from>
    <xdr:to>
      <xdr:col>25</xdr:col>
      <xdr:colOff>467247</xdr:colOff>
      <xdr:row>29</xdr:row>
      <xdr:rowOff>95250</xdr:rowOff>
    </xdr:to>
    <xdr:sp macro="" textlink="">
      <xdr:nvSpPr>
        <xdr:cNvPr id="376087" name="Text Box 279" hidden="1">
          <a:extLst>
            <a:ext uri="{FF2B5EF4-FFF2-40B4-BE49-F238E27FC236}">
              <a16:creationId xmlns:a16="http://schemas.microsoft.com/office/drawing/2014/main" id="{7BDAB598-C1FA-92A7-F125-A59DAC0261F8}"/>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153094</xdr:rowOff>
    </xdr:from>
    <xdr:to>
      <xdr:col>25</xdr:col>
      <xdr:colOff>467247</xdr:colOff>
      <xdr:row>139</xdr:row>
      <xdr:rowOff>1719</xdr:rowOff>
    </xdr:to>
    <xdr:sp macro="" textlink="">
      <xdr:nvSpPr>
        <xdr:cNvPr id="376086" name="Text Box 278" hidden="1">
          <a:extLst>
            <a:ext uri="{FF2B5EF4-FFF2-40B4-BE49-F238E27FC236}">
              <a16:creationId xmlns:a16="http://schemas.microsoft.com/office/drawing/2014/main" id="{466D23E9-74CE-847F-1873-A797BD3B0810}"/>
            </a:ext>
          </a:extLst>
        </xdr:cNvPr>
        <xdr:cNvSpPr txBox="1">
          <a:spLocks noChangeArrowheads="1"/>
        </xdr:cNvSpPr>
      </xdr:nvSpPr>
      <xdr:spPr bwMode="auto">
        <a:xfrm>
          <a:off x="20789900" y="279781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36</xdr:row>
      <xdr:rowOff>76200</xdr:rowOff>
    </xdr:from>
    <xdr:to>
      <xdr:col>11</xdr:col>
      <xdr:colOff>731751</xdr:colOff>
      <xdr:row>40</xdr:row>
      <xdr:rowOff>114300</xdr:rowOff>
    </xdr:to>
    <xdr:sp macro="" textlink="">
      <xdr:nvSpPr>
        <xdr:cNvPr id="376119" name="Text Box 311" hidden="1">
          <a:extLst>
            <a:ext uri="{FF2B5EF4-FFF2-40B4-BE49-F238E27FC236}">
              <a16:creationId xmlns:a16="http://schemas.microsoft.com/office/drawing/2014/main" id="{8606B32F-07D8-ECBC-6489-C5912C1049BC}"/>
            </a:ext>
          </a:extLst>
        </xdr:cNvPr>
        <xdr:cNvSpPr txBox="1">
          <a:spLocks noChangeArrowheads="1"/>
        </xdr:cNvSpPr>
      </xdr:nvSpPr>
      <xdr:spPr bwMode="auto">
        <a:xfrm>
          <a:off x="9398000" y="7937500"/>
          <a:ext cx="13716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36</xdr:row>
      <xdr:rowOff>76200</xdr:rowOff>
    </xdr:from>
    <xdr:to>
      <xdr:col>13</xdr:col>
      <xdr:colOff>504800</xdr:colOff>
      <xdr:row>40</xdr:row>
      <xdr:rowOff>114300</xdr:rowOff>
    </xdr:to>
    <xdr:sp macro="" textlink="">
      <xdr:nvSpPr>
        <xdr:cNvPr id="376120" name="Text Box 312" hidden="1">
          <a:extLst>
            <a:ext uri="{FF2B5EF4-FFF2-40B4-BE49-F238E27FC236}">
              <a16:creationId xmlns:a16="http://schemas.microsoft.com/office/drawing/2014/main" id="{EC74BB19-DA55-45D9-D2C5-349F9DC1D2DD}"/>
            </a:ext>
          </a:extLst>
        </xdr:cNvPr>
        <xdr:cNvSpPr txBox="1">
          <a:spLocks noChangeArrowheads="1"/>
        </xdr:cNvSpPr>
      </xdr:nvSpPr>
      <xdr:spPr bwMode="auto">
        <a:xfrm>
          <a:off x="11125200" y="793750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114300</xdr:rowOff>
    </xdr:from>
    <xdr:to>
      <xdr:col>18</xdr:col>
      <xdr:colOff>229489</xdr:colOff>
      <xdr:row>10</xdr:row>
      <xdr:rowOff>152400</xdr:rowOff>
    </xdr:to>
    <xdr:sp macro="" textlink="">
      <xdr:nvSpPr>
        <xdr:cNvPr id="376155" name="Text Box 347" hidden="1">
          <a:extLst>
            <a:ext uri="{FF2B5EF4-FFF2-40B4-BE49-F238E27FC236}">
              <a16:creationId xmlns:a16="http://schemas.microsoft.com/office/drawing/2014/main" id="{289DAD83-88C3-D16D-813F-46005D698CB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88507</xdr:rowOff>
    </xdr:from>
    <xdr:to>
      <xdr:col>5</xdr:col>
      <xdr:colOff>105335</xdr:colOff>
      <xdr:row>235</xdr:row>
      <xdr:rowOff>88508</xdr:rowOff>
    </xdr:to>
    <xdr:sp macro="" textlink="">
      <xdr:nvSpPr>
        <xdr:cNvPr id="376154" name="Text Box 346" hidden="1">
          <a:extLst>
            <a:ext uri="{FF2B5EF4-FFF2-40B4-BE49-F238E27FC236}">
              <a16:creationId xmlns:a16="http://schemas.microsoft.com/office/drawing/2014/main" id="{EA86264C-329E-062A-797A-92045A00A1E7}"/>
            </a:ext>
          </a:extLst>
        </xdr:cNvPr>
        <xdr:cNvSpPr txBox="1">
          <a:spLocks noChangeArrowheads="1"/>
        </xdr:cNvSpPr>
      </xdr:nvSpPr>
      <xdr:spPr bwMode="auto">
        <a:xfrm>
          <a:off x="3994150" y="423354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50407</xdr:rowOff>
    </xdr:from>
    <xdr:to>
      <xdr:col>5</xdr:col>
      <xdr:colOff>105335</xdr:colOff>
      <xdr:row>235</xdr:row>
      <xdr:rowOff>6865</xdr:rowOff>
    </xdr:to>
    <xdr:sp macro="" textlink="">
      <xdr:nvSpPr>
        <xdr:cNvPr id="376153" name="Text Box 345" hidden="1">
          <a:extLst>
            <a:ext uri="{FF2B5EF4-FFF2-40B4-BE49-F238E27FC236}">
              <a16:creationId xmlns:a16="http://schemas.microsoft.com/office/drawing/2014/main" id="{4F87CE42-9D49-DF6A-AE21-F81D68A3F54F}"/>
            </a:ext>
          </a:extLst>
        </xdr:cNvPr>
        <xdr:cNvSpPr txBox="1">
          <a:spLocks noChangeArrowheads="1"/>
        </xdr:cNvSpPr>
      </xdr:nvSpPr>
      <xdr:spPr bwMode="auto">
        <a:xfrm>
          <a:off x="3994150" y="4266565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50407</xdr:rowOff>
    </xdr:from>
    <xdr:to>
      <xdr:col>5</xdr:col>
      <xdr:colOff>105335</xdr:colOff>
      <xdr:row>236</xdr:row>
      <xdr:rowOff>88508</xdr:rowOff>
    </xdr:to>
    <xdr:sp macro="" textlink="">
      <xdr:nvSpPr>
        <xdr:cNvPr id="376152" name="Text Box 344" hidden="1">
          <a:extLst>
            <a:ext uri="{FF2B5EF4-FFF2-40B4-BE49-F238E27FC236}">
              <a16:creationId xmlns:a16="http://schemas.microsoft.com/office/drawing/2014/main" id="{8711E70E-4BDB-0AD0-303C-F333156F8EF1}"/>
            </a:ext>
          </a:extLst>
        </xdr:cNvPr>
        <xdr:cNvSpPr txBox="1">
          <a:spLocks noChangeArrowheads="1"/>
        </xdr:cNvSpPr>
      </xdr:nvSpPr>
      <xdr:spPr bwMode="auto">
        <a:xfrm>
          <a:off x="3994150" y="43218100"/>
          <a:ext cx="1314450" cy="353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50407</xdr:rowOff>
    </xdr:from>
    <xdr:to>
      <xdr:col>5</xdr:col>
      <xdr:colOff>105335</xdr:colOff>
      <xdr:row>224</xdr:row>
      <xdr:rowOff>6864</xdr:rowOff>
    </xdr:to>
    <xdr:sp macro="" textlink="">
      <xdr:nvSpPr>
        <xdr:cNvPr id="376151" name="Text Box 343" hidden="1">
          <a:extLst>
            <a:ext uri="{FF2B5EF4-FFF2-40B4-BE49-F238E27FC236}">
              <a16:creationId xmlns:a16="http://schemas.microsoft.com/office/drawing/2014/main" id="{CB700919-6B46-F690-9369-E3A10ED32518}"/>
            </a:ext>
          </a:extLst>
        </xdr:cNvPr>
        <xdr:cNvSpPr txBox="1">
          <a:spLocks noChangeArrowheads="1"/>
        </xdr:cNvSpPr>
      </xdr:nvSpPr>
      <xdr:spPr bwMode="auto">
        <a:xfrm>
          <a:off x="3994150" y="4340225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149626</xdr:rowOff>
    </xdr:from>
    <xdr:to>
      <xdr:col>5</xdr:col>
      <xdr:colOff>105335</xdr:colOff>
      <xdr:row>201</xdr:row>
      <xdr:rowOff>6864</xdr:rowOff>
    </xdr:to>
    <xdr:sp macro="" textlink="">
      <xdr:nvSpPr>
        <xdr:cNvPr id="376150" name="Text Box 342" hidden="1">
          <a:extLst>
            <a:ext uri="{FF2B5EF4-FFF2-40B4-BE49-F238E27FC236}">
              <a16:creationId xmlns:a16="http://schemas.microsoft.com/office/drawing/2014/main" id="{B5DEF912-37FB-9FE9-FCD1-F1DD967926B5}"/>
            </a:ext>
          </a:extLst>
        </xdr:cNvPr>
        <xdr:cNvSpPr txBox="1">
          <a:spLocks noChangeArrowheads="1"/>
        </xdr:cNvSpPr>
      </xdr:nvSpPr>
      <xdr:spPr bwMode="auto">
        <a:xfrm>
          <a:off x="3994150" y="3909695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50407</xdr:rowOff>
    </xdr:from>
    <xdr:to>
      <xdr:col>5</xdr:col>
      <xdr:colOff>105335</xdr:colOff>
      <xdr:row>202</xdr:row>
      <xdr:rowOff>88507</xdr:rowOff>
    </xdr:to>
    <xdr:sp macro="" textlink="">
      <xdr:nvSpPr>
        <xdr:cNvPr id="376149" name="Text Box 341" hidden="1">
          <a:extLst>
            <a:ext uri="{FF2B5EF4-FFF2-40B4-BE49-F238E27FC236}">
              <a16:creationId xmlns:a16="http://schemas.microsoft.com/office/drawing/2014/main" id="{857CCBE7-5C5F-4A20-A627-89F0D5C12545}"/>
            </a:ext>
          </a:extLst>
        </xdr:cNvPr>
        <xdr:cNvSpPr txBox="1">
          <a:spLocks noChangeArrowheads="1"/>
        </xdr:cNvSpPr>
      </xdr:nvSpPr>
      <xdr:spPr bwMode="auto">
        <a:xfrm>
          <a:off x="3994150" y="39535100"/>
          <a:ext cx="13144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50408</xdr:rowOff>
    </xdr:from>
    <xdr:to>
      <xdr:col>5</xdr:col>
      <xdr:colOff>105335</xdr:colOff>
      <xdr:row>203</xdr:row>
      <xdr:rowOff>88508</xdr:rowOff>
    </xdr:to>
    <xdr:sp macro="" textlink="">
      <xdr:nvSpPr>
        <xdr:cNvPr id="376148" name="Text Box 340" hidden="1">
          <a:extLst>
            <a:ext uri="{FF2B5EF4-FFF2-40B4-BE49-F238E27FC236}">
              <a16:creationId xmlns:a16="http://schemas.microsoft.com/office/drawing/2014/main" id="{DA343549-D4F0-750C-546F-9CD05C97779A}"/>
            </a:ext>
          </a:extLst>
        </xdr:cNvPr>
        <xdr:cNvSpPr txBox="1">
          <a:spLocks noChangeArrowheads="1"/>
        </xdr:cNvSpPr>
      </xdr:nvSpPr>
      <xdr:spPr bwMode="auto">
        <a:xfrm>
          <a:off x="3994150" y="399034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50407</xdr:rowOff>
    </xdr:from>
    <xdr:to>
      <xdr:col>5</xdr:col>
      <xdr:colOff>105335</xdr:colOff>
      <xdr:row>210</xdr:row>
      <xdr:rowOff>88507</xdr:rowOff>
    </xdr:to>
    <xdr:sp macro="" textlink="">
      <xdr:nvSpPr>
        <xdr:cNvPr id="376147" name="Text Box 339" hidden="1">
          <a:extLst>
            <a:ext uri="{FF2B5EF4-FFF2-40B4-BE49-F238E27FC236}">
              <a16:creationId xmlns:a16="http://schemas.microsoft.com/office/drawing/2014/main" id="{F8FC3B03-315D-9BEF-5509-DC95AE0EA62E}"/>
            </a:ext>
          </a:extLst>
        </xdr:cNvPr>
        <xdr:cNvSpPr txBox="1">
          <a:spLocks noChangeArrowheads="1"/>
        </xdr:cNvSpPr>
      </xdr:nvSpPr>
      <xdr:spPr bwMode="auto">
        <a:xfrm>
          <a:off x="3994150" y="40271700"/>
          <a:ext cx="1314450" cy="169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145957</xdr:rowOff>
    </xdr:from>
    <xdr:to>
      <xdr:col>5</xdr:col>
      <xdr:colOff>105335</xdr:colOff>
      <xdr:row>60</xdr:row>
      <xdr:rowOff>145957</xdr:rowOff>
    </xdr:to>
    <xdr:sp macro="" textlink="">
      <xdr:nvSpPr>
        <xdr:cNvPr id="376146" name="Text Box 338" hidden="1">
          <a:extLst>
            <a:ext uri="{FF2B5EF4-FFF2-40B4-BE49-F238E27FC236}">
              <a16:creationId xmlns:a16="http://schemas.microsoft.com/office/drawing/2014/main" id="{A7970612-7607-96F2-BA84-75E814710C9D}"/>
            </a:ext>
          </a:extLst>
        </xdr:cNvPr>
        <xdr:cNvSpPr txBox="1">
          <a:spLocks noChangeArrowheads="1"/>
        </xdr:cNvSpPr>
      </xdr:nvSpPr>
      <xdr:spPr bwMode="auto">
        <a:xfrm>
          <a:off x="3994150" y="134556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25893</xdr:rowOff>
    </xdr:from>
    <xdr:to>
      <xdr:col>5</xdr:col>
      <xdr:colOff>124385</xdr:colOff>
      <xdr:row>82</xdr:row>
      <xdr:rowOff>1687</xdr:rowOff>
    </xdr:to>
    <xdr:sp macro="" textlink="">
      <xdr:nvSpPr>
        <xdr:cNvPr id="376145" name="Text Box 337" hidden="1">
          <a:extLst>
            <a:ext uri="{FF2B5EF4-FFF2-40B4-BE49-F238E27FC236}">
              <a16:creationId xmlns:a16="http://schemas.microsoft.com/office/drawing/2014/main" id="{097E716D-1AE4-EF15-A1AF-9E61E66148E7}"/>
            </a:ext>
          </a:extLst>
        </xdr:cNvPr>
        <xdr:cNvSpPr txBox="1">
          <a:spLocks noChangeArrowheads="1"/>
        </xdr:cNvSpPr>
      </xdr:nvSpPr>
      <xdr:spPr bwMode="auto">
        <a:xfrm>
          <a:off x="4013200" y="13785850"/>
          <a:ext cx="1314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145957</xdr:rowOff>
    </xdr:from>
    <xdr:to>
      <xdr:col>5</xdr:col>
      <xdr:colOff>105335</xdr:colOff>
      <xdr:row>80</xdr:row>
      <xdr:rowOff>113542</xdr:rowOff>
    </xdr:to>
    <xdr:sp macro="" textlink="">
      <xdr:nvSpPr>
        <xdr:cNvPr id="376144" name="Text Box 336" hidden="1">
          <a:extLst>
            <a:ext uri="{FF2B5EF4-FFF2-40B4-BE49-F238E27FC236}">
              <a16:creationId xmlns:a16="http://schemas.microsoft.com/office/drawing/2014/main" id="{CE8CE87D-DC62-F49B-6783-97D161EB42CA}"/>
            </a:ext>
          </a:extLst>
        </xdr:cNvPr>
        <xdr:cNvSpPr txBox="1">
          <a:spLocks noChangeArrowheads="1"/>
        </xdr:cNvSpPr>
      </xdr:nvSpPr>
      <xdr:spPr bwMode="auto">
        <a:xfrm>
          <a:off x="3994150" y="134556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165007</xdr:rowOff>
    </xdr:from>
    <xdr:to>
      <xdr:col>5</xdr:col>
      <xdr:colOff>105335</xdr:colOff>
      <xdr:row>80</xdr:row>
      <xdr:rowOff>144115</xdr:rowOff>
    </xdr:to>
    <xdr:sp macro="" textlink="">
      <xdr:nvSpPr>
        <xdr:cNvPr id="376143" name="Text Box 335" hidden="1">
          <a:extLst>
            <a:ext uri="{FF2B5EF4-FFF2-40B4-BE49-F238E27FC236}">
              <a16:creationId xmlns:a16="http://schemas.microsoft.com/office/drawing/2014/main" id="{F60890AF-2B37-369B-693C-DB2B6035E27F}"/>
            </a:ext>
          </a:extLst>
        </xdr:cNvPr>
        <xdr:cNvSpPr txBox="1">
          <a:spLocks noChangeArrowheads="1"/>
        </xdr:cNvSpPr>
      </xdr:nvSpPr>
      <xdr:spPr bwMode="auto">
        <a:xfrm>
          <a:off x="3994150" y="13474700"/>
          <a:ext cx="131445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125102</xdr:rowOff>
    </xdr:from>
    <xdr:to>
      <xdr:col>5</xdr:col>
      <xdr:colOff>105335</xdr:colOff>
      <xdr:row>84</xdr:row>
      <xdr:rowOff>19315</xdr:rowOff>
    </xdr:to>
    <xdr:sp macro="" textlink="">
      <xdr:nvSpPr>
        <xdr:cNvPr id="376142" name="Text Box 334" hidden="1">
          <a:extLst>
            <a:ext uri="{FF2B5EF4-FFF2-40B4-BE49-F238E27FC236}">
              <a16:creationId xmlns:a16="http://schemas.microsoft.com/office/drawing/2014/main" id="{D63059A1-FEE7-CBFD-C252-08B3D6316EA4}"/>
            </a:ext>
          </a:extLst>
        </xdr:cNvPr>
        <xdr:cNvSpPr txBox="1">
          <a:spLocks noChangeArrowheads="1"/>
        </xdr:cNvSpPr>
      </xdr:nvSpPr>
      <xdr:spPr bwMode="auto">
        <a:xfrm>
          <a:off x="3994150" y="14668500"/>
          <a:ext cx="1314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2418</xdr:rowOff>
    </xdr:from>
    <xdr:to>
      <xdr:col>5</xdr:col>
      <xdr:colOff>105335</xdr:colOff>
      <xdr:row>93</xdr:row>
      <xdr:rowOff>31649</xdr:rowOff>
    </xdr:to>
    <xdr:sp macro="" textlink="">
      <xdr:nvSpPr>
        <xdr:cNvPr id="376141" name="Text Box 333" hidden="1">
          <a:extLst>
            <a:ext uri="{FF2B5EF4-FFF2-40B4-BE49-F238E27FC236}">
              <a16:creationId xmlns:a16="http://schemas.microsoft.com/office/drawing/2014/main" id="{0BB78F55-C34F-39E7-25A8-2A89A60BA80B}"/>
            </a:ext>
          </a:extLst>
        </xdr:cNvPr>
        <xdr:cNvSpPr txBox="1">
          <a:spLocks noChangeArrowheads="1"/>
        </xdr:cNvSpPr>
      </xdr:nvSpPr>
      <xdr:spPr bwMode="auto">
        <a:xfrm>
          <a:off x="3994150" y="17583150"/>
          <a:ext cx="1314450" cy="244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113542</xdr:rowOff>
    </xdr:from>
    <xdr:to>
      <xdr:col>5</xdr:col>
      <xdr:colOff>105335</xdr:colOff>
      <xdr:row>92</xdr:row>
      <xdr:rowOff>2236</xdr:rowOff>
    </xdr:to>
    <xdr:sp macro="" textlink="">
      <xdr:nvSpPr>
        <xdr:cNvPr id="376140" name="Text Box 332" hidden="1">
          <a:extLst>
            <a:ext uri="{FF2B5EF4-FFF2-40B4-BE49-F238E27FC236}">
              <a16:creationId xmlns:a16="http://schemas.microsoft.com/office/drawing/2014/main" id="{8BDCF42B-E7B7-DC12-43EA-392156CC4FB3}"/>
            </a:ext>
          </a:extLst>
        </xdr:cNvPr>
        <xdr:cNvSpPr txBox="1">
          <a:spLocks noChangeArrowheads="1"/>
        </xdr:cNvSpPr>
      </xdr:nvSpPr>
      <xdr:spPr bwMode="auto">
        <a:xfrm>
          <a:off x="3994150" y="1769110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59713</xdr:rowOff>
    </xdr:from>
    <xdr:to>
      <xdr:col>5</xdr:col>
      <xdr:colOff>105335</xdr:colOff>
      <xdr:row>92</xdr:row>
      <xdr:rowOff>97486</xdr:rowOff>
    </xdr:to>
    <xdr:sp macro="" textlink="">
      <xdr:nvSpPr>
        <xdr:cNvPr id="376139" name="Text Box 331" hidden="1">
          <a:extLst>
            <a:ext uri="{FF2B5EF4-FFF2-40B4-BE49-F238E27FC236}">
              <a16:creationId xmlns:a16="http://schemas.microsoft.com/office/drawing/2014/main" id="{C2925C56-2A77-2023-44D7-81023C70A08F}"/>
            </a:ext>
          </a:extLst>
        </xdr:cNvPr>
        <xdr:cNvSpPr txBox="1">
          <a:spLocks noChangeArrowheads="1"/>
        </xdr:cNvSpPr>
      </xdr:nvSpPr>
      <xdr:spPr bwMode="auto">
        <a:xfrm>
          <a:off x="3994150" y="1781810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68362</xdr:rowOff>
    </xdr:from>
    <xdr:to>
      <xdr:col>5</xdr:col>
      <xdr:colOff>105335</xdr:colOff>
      <xdr:row>94</xdr:row>
      <xdr:rowOff>95944</xdr:rowOff>
    </xdr:to>
    <xdr:sp macro="" textlink="">
      <xdr:nvSpPr>
        <xdr:cNvPr id="376138" name="Text Box 330" hidden="1">
          <a:extLst>
            <a:ext uri="{FF2B5EF4-FFF2-40B4-BE49-F238E27FC236}">
              <a16:creationId xmlns:a16="http://schemas.microsoft.com/office/drawing/2014/main" id="{853E206F-F223-E8C4-44C2-143D32DC51E4}"/>
            </a:ext>
          </a:extLst>
        </xdr:cNvPr>
        <xdr:cNvSpPr txBox="1">
          <a:spLocks noChangeArrowheads="1"/>
        </xdr:cNvSpPr>
      </xdr:nvSpPr>
      <xdr:spPr bwMode="auto">
        <a:xfrm>
          <a:off x="3994150" y="1800225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173603</xdr:rowOff>
    </xdr:from>
    <xdr:to>
      <xdr:col>5</xdr:col>
      <xdr:colOff>105335</xdr:colOff>
      <xdr:row>114</xdr:row>
      <xdr:rowOff>150685</xdr:rowOff>
    </xdr:to>
    <xdr:sp macro="" textlink="">
      <xdr:nvSpPr>
        <xdr:cNvPr id="376137" name="Text Box 329" hidden="1">
          <a:extLst>
            <a:ext uri="{FF2B5EF4-FFF2-40B4-BE49-F238E27FC236}">
              <a16:creationId xmlns:a16="http://schemas.microsoft.com/office/drawing/2014/main" id="{2553C463-94E7-B891-96D4-DD9208ECF91A}"/>
            </a:ext>
          </a:extLst>
        </xdr:cNvPr>
        <xdr:cNvSpPr txBox="1">
          <a:spLocks noChangeArrowheads="1"/>
        </xdr:cNvSpPr>
      </xdr:nvSpPr>
      <xdr:spPr bwMode="auto">
        <a:xfrm>
          <a:off x="3994150" y="2242185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46869</xdr:rowOff>
    </xdr:from>
    <xdr:to>
      <xdr:col>5</xdr:col>
      <xdr:colOff>105335</xdr:colOff>
      <xdr:row>113</xdr:row>
      <xdr:rowOff>10488</xdr:rowOff>
    </xdr:to>
    <xdr:sp macro="" textlink="">
      <xdr:nvSpPr>
        <xdr:cNvPr id="376136" name="Text Box 328" hidden="1">
          <a:extLst>
            <a:ext uri="{FF2B5EF4-FFF2-40B4-BE49-F238E27FC236}">
              <a16:creationId xmlns:a16="http://schemas.microsoft.com/office/drawing/2014/main" id="{1113C332-F172-5A03-E012-4516703BBC62}"/>
            </a:ext>
          </a:extLst>
        </xdr:cNvPr>
        <xdr:cNvSpPr txBox="1">
          <a:spLocks noChangeArrowheads="1"/>
        </xdr:cNvSpPr>
      </xdr:nvSpPr>
      <xdr:spPr bwMode="auto">
        <a:xfrm>
          <a:off x="3994150" y="226568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46075</xdr:rowOff>
    </xdr:from>
    <xdr:to>
      <xdr:col>5</xdr:col>
      <xdr:colOff>105335</xdr:colOff>
      <xdr:row>112</xdr:row>
      <xdr:rowOff>11509</xdr:rowOff>
    </xdr:to>
    <xdr:sp macro="" textlink="">
      <xdr:nvSpPr>
        <xdr:cNvPr id="376135" name="Text Box 327" hidden="1">
          <a:extLst>
            <a:ext uri="{FF2B5EF4-FFF2-40B4-BE49-F238E27FC236}">
              <a16:creationId xmlns:a16="http://schemas.microsoft.com/office/drawing/2014/main" id="{70462800-9A40-1E45-13DA-56D97438C4D9}"/>
            </a:ext>
          </a:extLst>
        </xdr:cNvPr>
        <xdr:cNvSpPr txBox="1">
          <a:spLocks noChangeArrowheads="1"/>
        </xdr:cNvSpPr>
      </xdr:nvSpPr>
      <xdr:spPr bwMode="auto">
        <a:xfrm>
          <a:off x="3994150" y="2284095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30961</xdr:rowOff>
    </xdr:from>
    <xdr:to>
      <xdr:col>5</xdr:col>
      <xdr:colOff>105335</xdr:colOff>
      <xdr:row>112</xdr:row>
      <xdr:rowOff>68956</xdr:rowOff>
    </xdr:to>
    <xdr:sp macro="" textlink="">
      <xdr:nvSpPr>
        <xdr:cNvPr id="376134" name="Text Box 326" hidden="1">
          <a:extLst>
            <a:ext uri="{FF2B5EF4-FFF2-40B4-BE49-F238E27FC236}">
              <a16:creationId xmlns:a16="http://schemas.microsoft.com/office/drawing/2014/main" id="{91AF69DE-95DE-E96C-8096-5CF38A7D9EB2}"/>
            </a:ext>
          </a:extLst>
        </xdr:cNvPr>
        <xdr:cNvSpPr txBox="1">
          <a:spLocks noChangeArrowheads="1"/>
        </xdr:cNvSpPr>
      </xdr:nvSpPr>
      <xdr:spPr bwMode="auto">
        <a:xfrm>
          <a:off x="3994150" y="22802850"/>
          <a:ext cx="1314450" cy="104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130</xdr:row>
      <xdr:rowOff>126900</xdr:rowOff>
    </xdr:from>
    <xdr:to>
      <xdr:col>21</xdr:col>
      <xdr:colOff>257697</xdr:colOff>
      <xdr:row>134</xdr:row>
      <xdr:rowOff>144627</xdr:rowOff>
    </xdr:to>
    <xdr:sp macro="" textlink="">
      <xdr:nvSpPr>
        <xdr:cNvPr id="376133" name="Text Box 325" hidden="1">
          <a:extLst>
            <a:ext uri="{FF2B5EF4-FFF2-40B4-BE49-F238E27FC236}">
              <a16:creationId xmlns:a16="http://schemas.microsoft.com/office/drawing/2014/main" id="{4AFEF2AA-B2E3-3E79-EEB1-F4163202E92C}"/>
            </a:ext>
          </a:extLst>
        </xdr:cNvPr>
        <xdr:cNvSpPr txBox="1">
          <a:spLocks noChangeArrowheads="1"/>
        </xdr:cNvSpPr>
      </xdr:nvSpPr>
      <xdr:spPr bwMode="auto">
        <a:xfrm>
          <a:off x="17513300" y="272034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76200</xdr:rowOff>
    </xdr:to>
    <xdr:sp macro="" textlink="">
      <xdr:nvSpPr>
        <xdr:cNvPr id="376132" name="Text Box 324" hidden="1">
          <a:extLst>
            <a:ext uri="{FF2B5EF4-FFF2-40B4-BE49-F238E27FC236}">
              <a16:creationId xmlns:a16="http://schemas.microsoft.com/office/drawing/2014/main" id="{329C3DF2-548C-E8E3-16EA-82E4A4AA90C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23</xdr:row>
      <xdr:rowOff>95250</xdr:rowOff>
    </xdr:from>
    <xdr:to>
      <xdr:col>22</xdr:col>
      <xdr:colOff>429146</xdr:colOff>
      <xdr:row>29</xdr:row>
      <xdr:rowOff>76200</xdr:rowOff>
    </xdr:to>
    <xdr:sp macro="" textlink="">
      <xdr:nvSpPr>
        <xdr:cNvPr id="376131" name="Text Box 323" hidden="1">
          <a:extLst>
            <a:ext uri="{FF2B5EF4-FFF2-40B4-BE49-F238E27FC236}">
              <a16:creationId xmlns:a16="http://schemas.microsoft.com/office/drawing/2014/main" id="{74FE3474-95EF-5087-720C-B65903EBE5E9}"/>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134</xdr:row>
      <xdr:rowOff>144627</xdr:rowOff>
    </xdr:from>
    <xdr:to>
      <xdr:col>22</xdr:col>
      <xdr:colOff>429146</xdr:colOff>
      <xdr:row>138</xdr:row>
      <xdr:rowOff>103616</xdr:rowOff>
    </xdr:to>
    <xdr:sp macro="" textlink="">
      <xdr:nvSpPr>
        <xdr:cNvPr id="376130" name="Text Box 322" hidden="1">
          <a:extLst>
            <a:ext uri="{FF2B5EF4-FFF2-40B4-BE49-F238E27FC236}">
              <a16:creationId xmlns:a16="http://schemas.microsoft.com/office/drawing/2014/main" id="{6ACABC78-B79E-2AE9-B334-332B373FBF7F}"/>
            </a:ext>
          </a:extLst>
        </xdr:cNvPr>
        <xdr:cNvSpPr txBox="1">
          <a:spLocks noChangeArrowheads="1"/>
        </xdr:cNvSpPr>
      </xdr:nvSpPr>
      <xdr:spPr bwMode="auto">
        <a:xfrm>
          <a:off x="18332450" y="279590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32</xdr:row>
      <xdr:rowOff>95250</xdr:rowOff>
    </xdr:from>
    <xdr:to>
      <xdr:col>11</xdr:col>
      <xdr:colOff>636501</xdr:colOff>
      <xdr:row>37</xdr:row>
      <xdr:rowOff>38100</xdr:rowOff>
    </xdr:to>
    <xdr:sp macro="" textlink="">
      <xdr:nvSpPr>
        <xdr:cNvPr id="376129" name="Text Box 321" hidden="1">
          <a:extLst>
            <a:ext uri="{FF2B5EF4-FFF2-40B4-BE49-F238E27FC236}">
              <a16:creationId xmlns:a16="http://schemas.microsoft.com/office/drawing/2014/main" id="{8C73C23C-ED62-90AB-84D1-98128F634BCD}"/>
            </a:ext>
          </a:extLst>
        </xdr:cNvPr>
        <xdr:cNvSpPr txBox="1">
          <a:spLocks noChangeArrowheads="1"/>
        </xdr:cNvSpPr>
      </xdr:nvSpPr>
      <xdr:spPr bwMode="auto">
        <a:xfrm>
          <a:off x="9359900" y="72199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171450</xdr:rowOff>
    </xdr:to>
    <xdr:sp macro="" textlink="">
      <xdr:nvSpPr>
        <xdr:cNvPr id="376128" name="Text Box 320" hidden="1">
          <a:extLst>
            <a:ext uri="{FF2B5EF4-FFF2-40B4-BE49-F238E27FC236}">
              <a16:creationId xmlns:a16="http://schemas.microsoft.com/office/drawing/2014/main" id="{D229D49E-5632-80D7-8D26-B2BD9CE8F7D5}"/>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467247</xdr:colOff>
      <xdr:row>29</xdr:row>
      <xdr:rowOff>152400</xdr:rowOff>
    </xdr:to>
    <xdr:sp macro="" textlink="">
      <xdr:nvSpPr>
        <xdr:cNvPr id="376127" name="Text Box 319" hidden="1">
          <a:extLst>
            <a:ext uri="{FF2B5EF4-FFF2-40B4-BE49-F238E27FC236}">
              <a16:creationId xmlns:a16="http://schemas.microsoft.com/office/drawing/2014/main" id="{619C35D9-C66E-188F-1A6E-13DE9612F65F}"/>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144627</xdr:rowOff>
    </xdr:from>
    <xdr:to>
      <xdr:col>24</xdr:col>
      <xdr:colOff>467247</xdr:colOff>
      <xdr:row>139</xdr:row>
      <xdr:rowOff>27416</xdr:rowOff>
    </xdr:to>
    <xdr:sp macro="" textlink="">
      <xdr:nvSpPr>
        <xdr:cNvPr id="376126" name="Text Box 318" hidden="1">
          <a:extLst>
            <a:ext uri="{FF2B5EF4-FFF2-40B4-BE49-F238E27FC236}">
              <a16:creationId xmlns:a16="http://schemas.microsoft.com/office/drawing/2014/main" id="{209A7F8D-7F10-DE97-8E78-DA7F145AC844}"/>
            </a:ext>
          </a:extLst>
        </xdr:cNvPr>
        <xdr:cNvSpPr txBox="1">
          <a:spLocks noChangeArrowheads="1"/>
        </xdr:cNvSpPr>
      </xdr:nvSpPr>
      <xdr:spPr bwMode="auto">
        <a:xfrm>
          <a:off x="20027900" y="279590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467247</xdr:colOff>
      <xdr:row>18</xdr:row>
      <xdr:rowOff>133350</xdr:rowOff>
    </xdr:to>
    <xdr:sp macro="" textlink="">
      <xdr:nvSpPr>
        <xdr:cNvPr id="376125" name="Text Box 317" hidden="1">
          <a:extLst>
            <a:ext uri="{FF2B5EF4-FFF2-40B4-BE49-F238E27FC236}">
              <a16:creationId xmlns:a16="http://schemas.microsoft.com/office/drawing/2014/main" id="{9D4D595F-9BC5-AE9C-7473-4A096B8ED622}"/>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114300</xdr:rowOff>
    </xdr:from>
    <xdr:to>
      <xdr:col>25</xdr:col>
      <xdr:colOff>467247</xdr:colOff>
      <xdr:row>29</xdr:row>
      <xdr:rowOff>95250</xdr:rowOff>
    </xdr:to>
    <xdr:sp macro="" textlink="">
      <xdr:nvSpPr>
        <xdr:cNvPr id="376124" name="Text Box 316" hidden="1">
          <a:extLst>
            <a:ext uri="{FF2B5EF4-FFF2-40B4-BE49-F238E27FC236}">
              <a16:creationId xmlns:a16="http://schemas.microsoft.com/office/drawing/2014/main" id="{7F6271C5-6F52-4FB0-C311-0FC23F4E7495}"/>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153094</xdr:rowOff>
    </xdr:from>
    <xdr:to>
      <xdr:col>25</xdr:col>
      <xdr:colOff>467247</xdr:colOff>
      <xdr:row>139</xdr:row>
      <xdr:rowOff>1719</xdr:rowOff>
    </xdr:to>
    <xdr:sp macro="" textlink="">
      <xdr:nvSpPr>
        <xdr:cNvPr id="376123" name="Text Box 315" hidden="1">
          <a:extLst>
            <a:ext uri="{FF2B5EF4-FFF2-40B4-BE49-F238E27FC236}">
              <a16:creationId xmlns:a16="http://schemas.microsoft.com/office/drawing/2014/main" id="{645AC416-88E0-22E4-CE89-714D04D6D672}"/>
            </a:ext>
          </a:extLst>
        </xdr:cNvPr>
        <xdr:cNvSpPr txBox="1">
          <a:spLocks noChangeArrowheads="1"/>
        </xdr:cNvSpPr>
      </xdr:nvSpPr>
      <xdr:spPr bwMode="auto">
        <a:xfrm>
          <a:off x="20789900" y="279781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36</xdr:row>
      <xdr:rowOff>76200</xdr:rowOff>
    </xdr:from>
    <xdr:to>
      <xdr:col>11</xdr:col>
      <xdr:colOff>731751</xdr:colOff>
      <xdr:row>40</xdr:row>
      <xdr:rowOff>114300</xdr:rowOff>
    </xdr:to>
    <xdr:sp macro="" textlink="">
      <xdr:nvSpPr>
        <xdr:cNvPr id="376122" name="Text Box 314" hidden="1">
          <a:extLst>
            <a:ext uri="{FF2B5EF4-FFF2-40B4-BE49-F238E27FC236}">
              <a16:creationId xmlns:a16="http://schemas.microsoft.com/office/drawing/2014/main" id="{74AD9851-4DB9-5EA4-069C-21740ACCA481}"/>
            </a:ext>
          </a:extLst>
        </xdr:cNvPr>
        <xdr:cNvSpPr txBox="1">
          <a:spLocks noChangeArrowheads="1"/>
        </xdr:cNvSpPr>
      </xdr:nvSpPr>
      <xdr:spPr bwMode="auto">
        <a:xfrm>
          <a:off x="9398000" y="7937500"/>
          <a:ext cx="13716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36</xdr:row>
      <xdr:rowOff>76200</xdr:rowOff>
    </xdr:from>
    <xdr:to>
      <xdr:col>13</xdr:col>
      <xdr:colOff>504800</xdr:colOff>
      <xdr:row>40</xdr:row>
      <xdr:rowOff>114300</xdr:rowOff>
    </xdr:to>
    <xdr:sp macro="" textlink="">
      <xdr:nvSpPr>
        <xdr:cNvPr id="376121" name="Text Box 313" hidden="1">
          <a:extLst>
            <a:ext uri="{FF2B5EF4-FFF2-40B4-BE49-F238E27FC236}">
              <a16:creationId xmlns:a16="http://schemas.microsoft.com/office/drawing/2014/main" id="{6992A4B7-0E60-0828-FC29-A049DBDD5C9A}"/>
            </a:ext>
          </a:extLst>
        </xdr:cNvPr>
        <xdr:cNvSpPr txBox="1">
          <a:spLocks noChangeArrowheads="1"/>
        </xdr:cNvSpPr>
      </xdr:nvSpPr>
      <xdr:spPr bwMode="auto">
        <a:xfrm>
          <a:off x="11125200" y="793750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114300</xdr:rowOff>
    </xdr:from>
    <xdr:to>
      <xdr:col>18</xdr:col>
      <xdr:colOff>229489</xdr:colOff>
      <xdr:row>10</xdr:row>
      <xdr:rowOff>152400</xdr:rowOff>
    </xdr:to>
    <xdr:sp macro="" textlink="">
      <xdr:nvSpPr>
        <xdr:cNvPr id="376190" name="Text Box 382" hidden="1">
          <a:extLst>
            <a:ext uri="{FF2B5EF4-FFF2-40B4-BE49-F238E27FC236}">
              <a16:creationId xmlns:a16="http://schemas.microsoft.com/office/drawing/2014/main" id="{478B04D7-86F1-7A9A-4D71-4BDF0E3AE560}"/>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88507</xdr:rowOff>
    </xdr:from>
    <xdr:to>
      <xdr:col>5</xdr:col>
      <xdr:colOff>105335</xdr:colOff>
      <xdr:row>235</xdr:row>
      <xdr:rowOff>88508</xdr:rowOff>
    </xdr:to>
    <xdr:sp macro="" textlink="">
      <xdr:nvSpPr>
        <xdr:cNvPr id="376189" name="Text Box 381" hidden="1">
          <a:extLst>
            <a:ext uri="{FF2B5EF4-FFF2-40B4-BE49-F238E27FC236}">
              <a16:creationId xmlns:a16="http://schemas.microsoft.com/office/drawing/2014/main" id="{F0BE34C0-66CB-C692-499B-A51CCBD06CA5}"/>
            </a:ext>
          </a:extLst>
        </xdr:cNvPr>
        <xdr:cNvSpPr txBox="1">
          <a:spLocks noChangeArrowheads="1"/>
        </xdr:cNvSpPr>
      </xdr:nvSpPr>
      <xdr:spPr bwMode="auto">
        <a:xfrm>
          <a:off x="3994150" y="423354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50407</xdr:rowOff>
    </xdr:from>
    <xdr:to>
      <xdr:col>5</xdr:col>
      <xdr:colOff>105335</xdr:colOff>
      <xdr:row>235</xdr:row>
      <xdr:rowOff>6865</xdr:rowOff>
    </xdr:to>
    <xdr:sp macro="" textlink="">
      <xdr:nvSpPr>
        <xdr:cNvPr id="376188" name="Text Box 380" hidden="1">
          <a:extLst>
            <a:ext uri="{FF2B5EF4-FFF2-40B4-BE49-F238E27FC236}">
              <a16:creationId xmlns:a16="http://schemas.microsoft.com/office/drawing/2014/main" id="{FAF0F7FB-528B-EA35-EFBB-B59FAB65B977}"/>
            </a:ext>
          </a:extLst>
        </xdr:cNvPr>
        <xdr:cNvSpPr txBox="1">
          <a:spLocks noChangeArrowheads="1"/>
        </xdr:cNvSpPr>
      </xdr:nvSpPr>
      <xdr:spPr bwMode="auto">
        <a:xfrm>
          <a:off x="3994150" y="42665650"/>
          <a:ext cx="1314450" cy="3816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50407</xdr:rowOff>
    </xdr:from>
    <xdr:to>
      <xdr:col>5</xdr:col>
      <xdr:colOff>105335</xdr:colOff>
      <xdr:row>236</xdr:row>
      <xdr:rowOff>88508</xdr:rowOff>
    </xdr:to>
    <xdr:sp macro="" textlink="">
      <xdr:nvSpPr>
        <xdr:cNvPr id="376187" name="Text Box 379" hidden="1">
          <a:extLst>
            <a:ext uri="{FF2B5EF4-FFF2-40B4-BE49-F238E27FC236}">
              <a16:creationId xmlns:a16="http://schemas.microsoft.com/office/drawing/2014/main" id="{CAD1CCD5-E25F-D83B-2C88-40D764FCC97C}"/>
            </a:ext>
          </a:extLst>
        </xdr:cNvPr>
        <xdr:cNvSpPr txBox="1">
          <a:spLocks noChangeArrowheads="1"/>
        </xdr:cNvSpPr>
      </xdr:nvSpPr>
      <xdr:spPr bwMode="auto">
        <a:xfrm>
          <a:off x="3994150" y="432181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50407</xdr:rowOff>
    </xdr:from>
    <xdr:to>
      <xdr:col>5</xdr:col>
      <xdr:colOff>105335</xdr:colOff>
      <xdr:row>224</xdr:row>
      <xdr:rowOff>6864</xdr:rowOff>
    </xdr:to>
    <xdr:sp macro="" textlink="">
      <xdr:nvSpPr>
        <xdr:cNvPr id="376186" name="Text Box 378" hidden="1">
          <a:extLst>
            <a:ext uri="{FF2B5EF4-FFF2-40B4-BE49-F238E27FC236}">
              <a16:creationId xmlns:a16="http://schemas.microsoft.com/office/drawing/2014/main" id="{BAF95D75-B096-E336-A198-61ACE26CD62E}"/>
            </a:ext>
          </a:extLst>
        </xdr:cNvPr>
        <xdr:cNvSpPr txBox="1">
          <a:spLocks noChangeArrowheads="1"/>
        </xdr:cNvSpPr>
      </xdr:nvSpPr>
      <xdr:spPr bwMode="auto">
        <a:xfrm>
          <a:off x="3994150" y="43402250"/>
          <a:ext cx="1314450" cy="105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149626</xdr:rowOff>
    </xdr:from>
    <xdr:to>
      <xdr:col>5</xdr:col>
      <xdr:colOff>105335</xdr:colOff>
      <xdr:row>201</xdr:row>
      <xdr:rowOff>6864</xdr:rowOff>
    </xdr:to>
    <xdr:sp macro="" textlink="">
      <xdr:nvSpPr>
        <xdr:cNvPr id="376185" name="Text Box 377" hidden="1">
          <a:extLst>
            <a:ext uri="{FF2B5EF4-FFF2-40B4-BE49-F238E27FC236}">
              <a16:creationId xmlns:a16="http://schemas.microsoft.com/office/drawing/2014/main" id="{F6A61F4C-75C4-FCF4-7311-3510FE64BDAE}"/>
            </a:ext>
          </a:extLst>
        </xdr:cNvPr>
        <xdr:cNvSpPr txBox="1">
          <a:spLocks noChangeArrowheads="1"/>
        </xdr:cNvSpPr>
      </xdr:nvSpPr>
      <xdr:spPr bwMode="auto">
        <a:xfrm>
          <a:off x="3994150" y="39096950"/>
          <a:ext cx="1314450"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50407</xdr:rowOff>
    </xdr:from>
    <xdr:to>
      <xdr:col>5</xdr:col>
      <xdr:colOff>105335</xdr:colOff>
      <xdr:row>202</xdr:row>
      <xdr:rowOff>88507</xdr:rowOff>
    </xdr:to>
    <xdr:sp macro="" textlink="">
      <xdr:nvSpPr>
        <xdr:cNvPr id="376184" name="Text Box 376" hidden="1">
          <a:extLst>
            <a:ext uri="{FF2B5EF4-FFF2-40B4-BE49-F238E27FC236}">
              <a16:creationId xmlns:a16="http://schemas.microsoft.com/office/drawing/2014/main" id="{016656CE-67B9-9FFF-C8F7-0FA90FD91C96}"/>
            </a:ext>
          </a:extLst>
        </xdr:cNvPr>
        <xdr:cNvSpPr txBox="1">
          <a:spLocks noChangeArrowheads="1"/>
        </xdr:cNvSpPr>
      </xdr:nvSpPr>
      <xdr:spPr bwMode="auto">
        <a:xfrm>
          <a:off x="3994150" y="3953510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50408</xdr:rowOff>
    </xdr:from>
    <xdr:to>
      <xdr:col>5</xdr:col>
      <xdr:colOff>105335</xdr:colOff>
      <xdr:row>203</xdr:row>
      <xdr:rowOff>88508</xdr:rowOff>
    </xdr:to>
    <xdr:sp macro="" textlink="">
      <xdr:nvSpPr>
        <xdr:cNvPr id="376183" name="Text Box 375" hidden="1">
          <a:extLst>
            <a:ext uri="{FF2B5EF4-FFF2-40B4-BE49-F238E27FC236}">
              <a16:creationId xmlns:a16="http://schemas.microsoft.com/office/drawing/2014/main" id="{305CC0C7-B42C-8CE5-8A8D-DDD6C31B2A3A}"/>
            </a:ext>
          </a:extLst>
        </xdr:cNvPr>
        <xdr:cNvSpPr txBox="1">
          <a:spLocks noChangeArrowheads="1"/>
        </xdr:cNvSpPr>
      </xdr:nvSpPr>
      <xdr:spPr bwMode="auto">
        <a:xfrm>
          <a:off x="3994150" y="399034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50407</xdr:rowOff>
    </xdr:from>
    <xdr:to>
      <xdr:col>5</xdr:col>
      <xdr:colOff>105335</xdr:colOff>
      <xdr:row>210</xdr:row>
      <xdr:rowOff>88507</xdr:rowOff>
    </xdr:to>
    <xdr:sp macro="" textlink="">
      <xdr:nvSpPr>
        <xdr:cNvPr id="376182" name="Text Box 374" hidden="1">
          <a:extLst>
            <a:ext uri="{FF2B5EF4-FFF2-40B4-BE49-F238E27FC236}">
              <a16:creationId xmlns:a16="http://schemas.microsoft.com/office/drawing/2014/main" id="{E0F4F60D-AC02-C5C6-14F4-EB2471D572B4}"/>
            </a:ext>
          </a:extLst>
        </xdr:cNvPr>
        <xdr:cNvSpPr txBox="1">
          <a:spLocks noChangeArrowheads="1"/>
        </xdr:cNvSpPr>
      </xdr:nvSpPr>
      <xdr:spPr bwMode="auto">
        <a:xfrm>
          <a:off x="3994150" y="40271700"/>
          <a:ext cx="13144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145957</xdr:rowOff>
    </xdr:from>
    <xdr:to>
      <xdr:col>5</xdr:col>
      <xdr:colOff>105335</xdr:colOff>
      <xdr:row>60</xdr:row>
      <xdr:rowOff>145957</xdr:rowOff>
    </xdr:to>
    <xdr:sp macro="" textlink="">
      <xdr:nvSpPr>
        <xdr:cNvPr id="376181" name="Text Box 373" hidden="1">
          <a:extLst>
            <a:ext uri="{FF2B5EF4-FFF2-40B4-BE49-F238E27FC236}">
              <a16:creationId xmlns:a16="http://schemas.microsoft.com/office/drawing/2014/main" id="{012EC611-8E0A-595F-A982-8082444BE366}"/>
            </a:ext>
          </a:extLst>
        </xdr:cNvPr>
        <xdr:cNvSpPr txBox="1">
          <a:spLocks noChangeArrowheads="1"/>
        </xdr:cNvSpPr>
      </xdr:nvSpPr>
      <xdr:spPr bwMode="auto">
        <a:xfrm>
          <a:off x="3994150" y="134556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25893</xdr:rowOff>
    </xdr:from>
    <xdr:to>
      <xdr:col>5</xdr:col>
      <xdr:colOff>124385</xdr:colOff>
      <xdr:row>82</xdr:row>
      <xdr:rowOff>1687</xdr:rowOff>
    </xdr:to>
    <xdr:sp macro="" textlink="">
      <xdr:nvSpPr>
        <xdr:cNvPr id="376180" name="Text Box 372" hidden="1">
          <a:extLst>
            <a:ext uri="{FF2B5EF4-FFF2-40B4-BE49-F238E27FC236}">
              <a16:creationId xmlns:a16="http://schemas.microsoft.com/office/drawing/2014/main" id="{96393D78-FF24-7AB0-4C5C-CA49D5EDFBD2}"/>
            </a:ext>
          </a:extLst>
        </xdr:cNvPr>
        <xdr:cNvSpPr txBox="1">
          <a:spLocks noChangeArrowheads="1"/>
        </xdr:cNvSpPr>
      </xdr:nvSpPr>
      <xdr:spPr bwMode="auto">
        <a:xfrm>
          <a:off x="4013200" y="13785850"/>
          <a:ext cx="1314450" cy="416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145957</xdr:rowOff>
    </xdr:from>
    <xdr:to>
      <xdr:col>5</xdr:col>
      <xdr:colOff>105335</xdr:colOff>
      <xdr:row>80</xdr:row>
      <xdr:rowOff>113542</xdr:rowOff>
    </xdr:to>
    <xdr:sp macro="" textlink="">
      <xdr:nvSpPr>
        <xdr:cNvPr id="376179" name="Text Box 371" hidden="1">
          <a:extLst>
            <a:ext uri="{FF2B5EF4-FFF2-40B4-BE49-F238E27FC236}">
              <a16:creationId xmlns:a16="http://schemas.microsoft.com/office/drawing/2014/main" id="{B9203DE2-1880-7016-5488-48F1DFBA3CA4}"/>
            </a:ext>
          </a:extLst>
        </xdr:cNvPr>
        <xdr:cNvSpPr txBox="1">
          <a:spLocks noChangeArrowheads="1"/>
        </xdr:cNvSpPr>
      </xdr:nvSpPr>
      <xdr:spPr bwMode="auto">
        <a:xfrm>
          <a:off x="3994150" y="134556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165007</xdr:rowOff>
    </xdr:from>
    <xdr:to>
      <xdr:col>5</xdr:col>
      <xdr:colOff>105335</xdr:colOff>
      <xdr:row>80</xdr:row>
      <xdr:rowOff>144115</xdr:rowOff>
    </xdr:to>
    <xdr:sp macro="" textlink="">
      <xdr:nvSpPr>
        <xdr:cNvPr id="376178" name="Text Box 370" hidden="1">
          <a:extLst>
            <a:ext uri="{FF2B5EF4-FFF2-40B4-BE49-F238E27FC236}">
              <a16:creationId xmlns:a16="http://schemas.microsoft.com/office/drawing/2014/main" id="{A918AC66-7C89-7CF8-F57D-559187846E3F}"/>
            </a:ext>
          </a:extLst>
        </xdr:cNvPr>
        <xdr:cNvSpPr txBox="1">
          <a:spLocks noChangeArrowheads="1"/>
        </xdr:cNvSpPr>
      </xdr:nvSpPr>
      <xdr:spPr bwMode="auto">
        <a:xfrm>
          <a:off x="3994150" y="13474700"/>
          <a:ext cx="131445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125102</xdr:rowOff>
    </xdr:from>
    <xdr:to>
      <xdr:col>5</xdr:col>
      <xdr:colOff>105335</xdr:colOff>
      <xdr:row>84</xdr:row>
      <xdr:rowOff>19315</xdr:rowOff>
    </xdr:to>
    <xdr:sp macro="" textlink="">
      <xdr:nvSpPr>
        <xdr:cNvPr id="376177" name="Text Box 369" hidden="1">
          <a:extLst>
            <a:ext uri="{FF2B5EF4-FFF2-40B4-BE49-F238E27FC236}">
              <a16:creationId xmlns:a16="http://schemas.microsoft.com/office/drawing/2014/main" id="{033ECE85-200F-1A01-A2AB-BD214F1BB788}"/>
            </a:ext>
          </a:extLst>
        </xdr:cNvPr>
        <xdr:cNvSpPr txBox="1">
          <a:spLocks noChangeArrowheads="1"/>
        </xdr:cNvSpPr>
      </xdr:nvSpPr>
      <xdr:spPr bwMode="auto">
        <a:xfrm>
          <a:off x="3994150" y="14668500"/>
          <a:ext cx="1314450" cy="368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2418</xdr:rowOff>
    </xdr:from>
    <xdr:to>
      <xdr:col>5</xdr:col>
      <xdr:colOff>105335</xdr:colOff>
      <xdr:row>93</xdr:row>
      <xdr:rowOff>31649</xdr:rowOff>
    </xdr:to>
    <xdr:sp macro="" textlink="">
      <xdr:nvSpPr>
        <xdr:cNvPr id="376176" name="Text Box 368" hidden="1">
          <a:extLst>
            <a:ext uri="{FF2B5EF4-FFF2-40B4-BE49-F238E27FC236}">
              <a16:creationId xmlns:a16="http://schemas.microsoft.com/office/drawing/2014/main" id="{0D4DEC18-188D-9760-AF29-93FF1AD892C1}"/>
            </a:ext>
          </a:extLst>
        </xdr:cNvPr>
        <xdr:cNvSpPr txBox="1">
          <a:spLocks noChangeArrowheads="1"/>
        </xdr:cNvSpPr>
      </xdr:nvSpPr>
      <xdr:spPr bwMode="auto">
        <a:xfrm>
          <a:off x="3994150" y="17583150"/>
          <a:ext cx="1314450" cy="244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113542</xdr:rowOff>
    </xdr:from>
    <xdr:to>
      <xdr:col>5</xdr:col>
      <xdr:colOff>105335</xdr:colOff>
      <xdr:row>92</xdr:row>
      <xdr:rowOff>2236</xdr:rowOff>
    </xdr:to>
    <xdr:sp macro="" textlink="">
      <xdr:nvSpPr>
        <xdr:cNvPr id="376175" name="Text Box 367" hidden="1">
          <a:extLst>
            <a:ext uri="{FF2B5EF4-FFF2-40B4-BE49-F238E27FC236}">
              <a16:creationId xmlns:a16="http://schemas.microsoft.com/office/drawing/2014/main" id="{1584BB7B-04C3-B69E-0963-72E932575602}"/>
            </a:ext>
          </a:extLst>
        </xdr:cNvPr>
        <xdr:cNvSpPr txBox="1">
          <a:spLocks noChangeArrowheads="1"/>
        </xdr:cNvSpPr>
      </xdr:nvSpPr>
      <xdr:spPr bwMode="auto">
        <a:xfrm>
          <a:off x="3994150" y="17691100"/>
          <a:ext cx="1314450" cy="213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59713</xdr:rowOff>
    </xdr:from>
    <xdr:to>
      <xdr:col>5</xdr:col>
      <xdr:colOff>105335</xdr:colOff>
      <xdr:row>92</xdr:row>
      <xdr:rowOff>97486</xdr:rowOff>
    </xdr:to>
    <xdr:sp macro="" textlink="">
      <xdr:nvSpPr>
        <xdr:cNvPr id="376174" name="Text Box 366" hidden="1">
          <a:extLst>
            <a:ext uri="{FF2B5EF4-FFF2-40B4-BE49-F238E27FC236}">
              <a16:creationId xmlns:a16="http://schemas.microsoft.com/office/drawing/2014/main" id="{4E858CF1-AA6D-8757-B1C8-50DB001F6E3E}"/>
            </a:ext>
          </a:extLst>
        </xdr:cNvPr>
        <xdr:cNvSpPr txBox="1">
          <a:spLocks noChangeArrowheads="1"/>
        </xdr:cNvSpPr>
      </xdr:nvSpPr>
      <xdr:spPr bwMode="auto">
        <a:xfrm>
          <a:off x="3994150" y="17818100"/>
          <a:ext cx="1314450" cy="208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68362</xdr:rowOff>
    </xdr:from>
    <xdr:to>
      <xdr:col>5</xdr:col>
      <xdr:colOff>105335</xdr:colOff>
      <xdr:row>94</xdr:row>
      <xdr:rowOff>95944</xdr:rowOff>
    </xdr:to>
    <xdr:sp macro="" textlink="">
      <xdr:nvSpPr>
        <xdr:cNvPr id="376173" name="Text Box 365" hidden="1">
          <a:extLst>
            <a:ext uri="{FF2B5EF4-FFF2-40B4-BE49-F238E27FC236}">
              <a16:creationId xmlns:a16="http://schemas.microsoft.com/office/drawing/2014/main" id="{DBE32A68-6D76-2CA7-424C-2F09F040FCC6}"/>
            </a:ext>
          </a:extLst>
        </xdr:cNvPr>
        <xdr:cNvSpPr txBox="1">
          <a:spLocks noChangeArrowheads="1"/>
        </xdr:cNvSpPr>
      </xdr:nvSpPr>
      <xdr:spPr bwMode="auto">
        <a:xfrm>
          <a:off x="3994150" y="18002250"/>
          <a:ext cx="13144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173603</xdr:rowOff>
    </xdr:from>
    <xdr:to>
      <xdr:col>5</xdr:col>
      <xdr:colOff>105335</xdr:colOff>
      <xdr:row>114</xdr:row>
      <xdr:rowOff>150685</xdr:rowOff>
    </xdr:to>
    <xdr:sp macro="" textlink="">
      <xdr:nvSpPr>
        <xdr:cNvPr id="376172" name="Text Box 364" hidden="1">
          <a:extLst>
            <a:ext uri="{FF2B5EF4-FFF2-40B4-BE49-F238E27FC236}">
              <a16:creationId xmlns:a16="http://schemas.microsoft.com/office/drawing/2014/main" id="{36FDD0F4-4AFC-AD60-60C7-CEBA9BFFBA9C}"/>
            </a:ext>
          </a:extLst>
        </xdr:cNvPr>
        <xdr:cNvSpPr txBox="1">
          <a:spLocks noChangeArrowheads="1"/>
        </xdr:cNvSpPr>
      </xdr:nvSpPr>
      <xdr:spPr bwMode="auto">
        <a:xfrm>
          <a:off x="3994150" y="22421850"/>
          <a:ext cx="1314450" cy="189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46869</xdr:rowOff>
    </xdr:from>
    <xdr:to>
      <xdr:col>5</xdr:col>
      <xdr:colOff>105335</xdr:colOff>
      <xdr:row>113</xdr:row>
      <xdr:rowOff>10488</xdr:rowOff>
    </xdr:to>
    <xdr:sp macro="" textlink="">
      <xdr:nvSpPr>
        <xdr:cNvPr id="376171" name="Text Box 363" hidden="1">
          <a:extLst>
            <a:ext uri="{FF2B5EF4-FFF2-40B4-BE49-F238E27FC236}">
              <a16:creationId xmlns:a16="http://schemas.microsoft.com/office/drawing/2014/main" id="{C564B77F-F417-7377-DAA0-FA0A5FC115D3}"/>
            </a:ext>
          </a:extLst>
        </xdr:cNvPr>
        <xdr:cNvSpPr txBox="1">
          <a:spLocks noChangeArrowheads="1"/>
        </xdr:cNvSpPr>
      </xdr:nvSpPr>
      <xdr:spPr bwMode="auto">
        <a:xfrm>
          <a:off x="3994150" y="22656800"/>
          <a:ext cx="13144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46075</xdr:rowOff>
    </xdr:from>
    <xdr:to>
      <xdr:col>5</xdr:col>
      <xdr:colOff>105335</xdr:colOff>
      <xdr:row>112</xdr:row>
      <xdr:rowOff>11509</xdr:rowOff>
    </xdr:to>
    <xdr:sp macro="" textlink="">
      <xdr:nvSpPr>
        <xdr:cNvPr id="376170" name="Text Box 362" hidden="1">
          <a:extLst>
            <a:ext uri="{FF2B5EF4-FFF2-40B4-BE49-F238E27FC236}">
              <a16:creationId xmlns:a16="http://schemas.microsoft.com/office/drawing/2014/main" id="{F25AC198-976D-E1D9-81E2-21130DAAD8B9}"/>
            </a:ext>
          </a:extLst>
        </xdr:cNvPr>
        <xdr:cNvSpPr txBox="1">
          <a:spLocks noChangeArrowheads="1"/>
        </xdr:cNvSpPr>
      </xdr:nvSpPr>
      <xdr:spPr bwMode="auto">
        <a:xfrm>
          <a:off x="3994150" y="22840950"/>
          <a:ext cx="1314450"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30961</xdr:rowOff>
    </xdr:from>
    <xdr:to>
      <xdr:col>5</xdr:col>
      <xdr:colOff>105335</xdr:colOff>
      <xdr:row>112</xdr:row>
      <xdr:rowOff>68956</xdr:rowOff>
    </xdr:to>
    <xdr:sp macro="" textlink="">
      <xdr:nvSpPr>
        <xdr:cNvPr id="376169" name="Text Box 361" hidden="1">
          <a:extLst>
            <a:ext uri="{FF2B5EF4-FFF2-40B4-BE49-F238E27FC236}">
              <a16:creationId xmlns:a16="http://schemas.microsoft.com/office/drawing/2014/main" id="{B8A88A5D-8906-50EA-235C-1C133D444BF2}"/>
            </a:ext>
          </a:extLst>
        </xdr:cNvPr>
        <xdr:cNvSpPr txBox="1">
          <a:spLocks noChangeArrowheads="1"/>
        </xdr:cNvSpPr>
      </xdr:nvSpPr>
      <xdr:spPr bwMode="auto">
        <a:xfrm>
          <a:off x="3994150" y="22802850"/>
          <a:ext cx="13144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130</xdr:row>
      <xdr:rowOff>126900</xdr:rowOff>
    </xdr:from>
    <xdr:to>
      <xdr:col>21</xdr:col>
      <xdr:colOff>257697</xdr:colOff>
      <xdr:row>134</xdr:row>
      <xdr:rowOff>144627</xdr:rowOff>
    </xdr:to>
    <xdr:sp macro="" textlink="">
      <xdr:nvSpPr>
        <xdr:cNvPr id="376168" name="Text Box 360" hidden="1">
          <a:extLst>
            <a:ext uri="{FF2B5EF4-FFF2-40B4-BE49-F238E27FC236}">
              <a16:creationId xmlns:a16="http://schemas.microsoft.com/office/drawing/2014/main" id="{6AF95E5E-9D07-BCA3-2783-4F92A50CB001}"/>
            </a:ext>
          </a:extLst>
        </xdr:cNvPr>
        <xdr:cNvSpPr txBox="1">
          <a:spLocks noChangeArrowheads="1"/>
        </xdr:cNvSpPr>
      </xdr:nvSpPr>
      <xdr:spPr bwMode="auto">
        <a:xfrm>
          <a:off x="17513300" y="27203400"/>
          <a:ext cx="13335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76200</xdr:rowOff>
    </xdr:to>
    <xdr:sp macro="" textlink="">
      <xdr:nvSpPr>
        <xdr:cNvPr id="376167" name="Text Box 359" hidden="1">
          <a:extLst>
            <a:ext uri="{FF2B5EF4-FFF2-40B4-BE49-F238E27FC236}">
              <a16:creationId xmlns:a16="http://schemas.microsoft.com/office/drawing/2014/main" id="{E03C5E47-BA62-5CE7-B7D4-E7A063AEC4D1}"/>
            </a:ext>
          </a:extLst>
        </xdr:cNvPr>
        <xdr:cNvSpPr txBox="1">
          <a:spLocks noChangeArrowheads="1"/>
        </xdr:cNvSpPr>
      </xdr:nvSpPr>
      <xdr:spPr bwMode="auto">
        <a:xfrm>
          <a:off x="18332450" y="3556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23</xdr:row>
      <xdr:rowOff>95250</xdr:rowOff>
    </xdr:from>
    <xdr:to>
      <xdr:col>22</xdr:col>
      <xdr:colOff>429146</xdr:colOff>
      <xdr:row>29</xdr:row>
      <xdr:rowOff>76200</xdr:rowOff>
    </xdr:to>
    <xdr:sp macro="" textlink="">
      <xdr:nvSpPr>
        <xdr:cNvPr id="376166" name="Text Box 358" hidden="1">
          <a:extLst>
            <a:ext uri="{FF2B5EF4-FFF2-40B4-BE49-F238E27FC236}">
              <a16:creationId xmlns:a16="http://schemas.microsoft.com/office/drawing/2014/main" id="{172A1800-2104-BD56-24C2-9E9E8B37D9F0}"/>
            </a:ext>
          </a:extLst>
        </xdr:cNvPr>
        <xdr:cNvSpPr txBox="1">
          <a:spLocks noChangeArrowheads="1"/>
        </xdr:cNvSpPr>
      </xdr:nvSpPr>
      <xdr:spPr bwMode="auto">
        <a:xfrm>
          <a:off x="18332450" y="55626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134</xdr:row>
      <xdr:rowOff>144627</xdr:rowOff>
    </xdr:from>
    <xdr:to>
      <xdr:col>22</xdr:col>
      <xdr:colOff>429146</xdr:colOff>
      <xdr:row>138</xdr:row>
      <xdr:rowOff>103616</xdr:rowOff>
    </xdr:to>
    <xdr:sp macro="" textlink="">
      <xdr:nvSpPr>
        <xdr:cNvPr id="376165" name="Text Box 357" hidden="1">
          <a:extLst>
            <a:ext uri="{FF2B5EF4-FFF2-40B4-BE49-F238E27FC236}">
              <a16:creationId xmlns:a16="http://schemas.microsoft.com/office/drawing/2014/main" id="{63F89848-8B79-9010-E15E-8D0EAB2E6EE5}"/>
            </a:ext>
          </a:extLst>
        </xdr:cNvPr>
        <xdr:cNvSpPr txBox="1">
          <a:spLocks noChangeArrowheads="1"/>
        </xdr:cNvSpPr>
      </xdr:nvSpPr>
      <xdr:spPr bwMode="auto">
        <a:xfrm>
          <a:off x="18332450" y="279590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32</xdr:row>
      <xdr:rowOff>95250</xdr:rowOff>
    </xdr:from>
    <xdr:to>
      <xdr:col>11</xdr:col>
      <xdr:colOff>636501</xdr:colOff>
      <xdr:row>37</xdr:row>
      <xdr:rowOff>38100</xdr:rowOff>
    </xdr:to>
    <xdr:sp macro="" textlink="">
      <xdr:nvSpPr>
        <xdr:cNvPr id="376164" name="Text Box 356" hidden="1">
          <a:extLst>
            <a:ext uri="{FF2B5EF4-FFF2-40B4-BE49-F238E27FC236}">
              <a16:creationId xmlns:a16="http://schemas.microsoft.com/office/drawing/2014/main" id="{3AF29814-4526-EAD9-0F0F-89464D8DEF8C}"/>
            </a:ext>
          </a:extLst>
        </xdr:cNvPr>
        <xdr:cNvSpPr txBox="1">
          <a:spLocks noChangeArrowheads="1"/>
        </xdr:cNvSpPr>
      </xdr:nvSpPr>
      <xdr:spPr bwMode="auto">
        <a:xfrm>
          <a:off x="9359900" y="721995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171450</xdr:rowOff>
    </xdr:to>
    <xdr:sp macro="" textlink="">
      <xdr:nvSpPr>
        <xdr:cNvPr id="376163" name="Text Box 355" hidden="1">
          <a:extLst>
            <a:ext uri="{FF2B5EF4-FFF2-40B4-BE49-F238E27FC236}">
              <a16:creationId xmlns:a16="http://schemas.microsoft.com/office/drawing/2014/main" id="{A33376DD-8227-8190-7F98-E6DC62794349}"/>
            </a:ext>
          </a:extLst>
        </xdr:cNvPr>
        <xdr:cNvSpPr txBox="1">
          <a:spLocks noChangeArrowheads="1"/>
        </xdr:cNvSpPr>
      </xdr:nvSpPr>
      <xdr:spPr bwMode="auto">
        <a:xfrm>
          <a:off x="20027900" y="35560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467247</xdr:colOff>
      <xdr:row>29</xdr:row>
      <xdr:rowOff>152400</xdr:rowOff>
    </xdr:to>
    <xdr:sp macro="" textlink="">
      <xdr:nvSpPr>
        <xdr:cNvPr id="376162" name="Text Box 354" hidden="1">
          <a:extLst>
            <a:ext uri="{FF2B5EF4-FFF2-40B4-BE49-F238E27FC236}">
              <a16:creationId xmlns:a16="http://schemas.microsoft.com/office/drawing/2014/main" id="{61E9B088-C604-6887-3D38-92E8D556240E}"/>
            </a:ext>
          </a:extLst>
        </xdr:cNvPr>
        <xdr:cNvSpPr txBox="1">
          <a:spLocks noChangeArrowheads="1"/>
        </xdr:cNvSpPr>
      </xdr:nvSpPr>
      <xdr:spPr bwMode="auto">
        <a:xfrm>
          <a:off x="20027900" y="556260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144627</xdr:rowOff>
    </xdr:from>
    <xdr:to>
      <xdr:col>24</xdr:col>
      <xdr:colOff>467247</xdr:colOff>
      <xdr:row>139</xdr:row>
      <xdr:rowOff>27416</xdr:rowOff>
    </xdr:to>
    <xdr:sp macro="" textlink="">
      <xdr:nvSpPr>
        <xdr:cNvPr id="376161" name="Text Box 353" hidden="1">
          <a:extLst>
            <a:ext uri="{FF2B5EF4-FFF2-40B4-BE49-F238E27FC236}">
              <a16:creationId xmlns:a16="http://schemas.microsoft.com/office/drawing/2014/main" id="{C9302C73-D776-B999-4B35-82F7C8965F23}"/>
            </a:ext>
          </a:extLst>
        </xdr:cNvPr>
        <xdr:cNvSpPr txBox="1">
          <a:spLocks noChangeArrowheads="1"/>
        </xdr:cNvSpPr>
      </xdr:nvSpPr>
      <xdr:spPr bwMode="auto">
        <a:xfrm>
          <a:off x="20027900" y="279590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467247</xdr:colOff>
      <xdr:row>18</xdr:row>
      <xdr:rowOff>133350</xdr:rowOff>
    </xdr:to>
    <xdr:sp macro="" textlink="">
      <xdr:nvSpPr>
        <xdr:cNvPr id="376160" name="Text Box 352" hidden="1">
          <a:extLst>
            <a:ext uri="{FF2B5EF4-FFF2-40B4-BE49-F238E27FC236}">
              <a16:creationId xmlns:a16="http://schemas.microsoft.com/office/drawing/2014/main" id="{FF4786C9-8643-41A0-439D-38EF533E0238}"/>
            </a:ext>
          </a:extLst>
        </xdr:cNvPr>
        <xdr:cNvSpPr txBox="1">
          <a:spLocks noChangeArrowheads="1"/>
        </xdr:cNvSpPr>
      </xdr:nvSpPr>
      <xdr:spPr bwMode="auto">
        <a:xfrm>
          <a:off x="20789900" y="357505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114300</xdr:rowOff>
    </xdr:from>
    <xdr:to>
      <xdr:col>25</xdr:col>
      <xdr:colOff>467247</xdr:colOff>
      <xdr:row>29</xdr:row>
      <xdr:rowOff>95250</xdr:rowOff>
    </xdr:to>
    <xdr:sp macro="" textlink="">
      <xdr:nvSpPr>
        <xdr:cNvPr id="376159" name="Text Box 351" hidden="1">
          <a:extLst>
            <a:ext uri="{FF2B5EF4-FFF2-40B4-BE49-F238E27FC236}">
              <a16:creationId xmlns:a16="http://schemas.microsoft.com/office/drawing/2014/main" id="{7F6BBECA-919A-B1B3-2EEE-FAE98CEDB8A6}"/>
            </a:ext>
          </a:extLst>
        </xdr:cNvPr>
        <xdr:cNvSpPr txBox="1">
          <a:spLocks noChangeArrowheads="1"/>
        </xdr:cNvSpPr>
      </xdr:nvSpPr>
      <xdr:spPr bwMode="auto">
        <a:xfrm>
          <a:off x="20789900" y="5581650"/>
          <a:ext cx="1314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153094</xdr:rowOff>
    </xdr:from>
    <xdr:to>
      <xdr:col>25</xdr:col>
      <xdr:colOff>467247</xdr:colOff>
      <xdr:row>139</xdr:row>
      <xdr:rowOff>1719</xdr:rowOff>
    </xdr:to>
    <xdr:sp macro="" textlink="">
      <xdr:nvSpPr>
        <xdr:cNvPr id="376158" name="Text Box 350" hidden="1">
          <a:extLst>
            <a:ext uri="{FF2B5EF4-FFF2-40B4-BE49-F238E27FC236}">
              <a16:creationId xmlns:a16="http://schemas.microsoft.com/office/drawing/2014/main" id="{97BC809F-4723-F49C-5B75-FDE86FA3626E}"/>
            </a:ext>
          </a:extLst>
        </xdr:cNvPr>
        <xdr:cNvSpPr txBox="1">
          <a:spLocks noChangeArrowheads="1"/>
        </xdr:cNvSpPr>
      </xdr:nvSpPr>
      <xdr:spPr bwMode="auto">
        <a:xfrm>
          <a:off x="20789900" y="279781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36</xdr:row>
      <xdr:rowOff>76200</xdr:rowOff>
    </xdr:from>
    <xdr:to>
      <xdr:col>11</xdr:col>
      <xdr:colOff>731751</xdr:colOff>
      <xdr:row>40</xdr:row>
      <xdr:rowOff>114300</xdr:rowOff>
    </xdr:to>
    <xdr:sp macro="" textlink="">
      <xdr:nvSpPr>
        <xdr:cNvPr id="376157" name="Text Box 349" hidden="1">
          <a:extLst>
            <a:ext uri="{FF2B5EF4-FFF2-40B4-BE49-F238E27FC236}">
              <a16:creationId xmlns:a16="http://schemas.microsoft.com/office/drawing/2014/main" id="{98B5EBF1-C5B0-E498-CB0E-DEB3F43F2ED2}"/>
            </a:ext>
          </a:extLst>
        </xdr:cNvPr>
        <xdr:cNvSpPr txBox="1">
          <a:spLocks noChangeArrowheads="1"/>
        </xdr:cNvSpPr>
      </xdr:nvSpPr>
      <xdr:spPr bwMode="auto">
        <a:xfrm>
          <a:off x="9398000" y="7937500"/>
          <a:ext cx="13716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36</xdr:row>
      <xdr:rowOff>76200</xdr:rowOff>
    </xdr:from>
    <xdr:to>
      <xdr:col>13</xdr:col>
      <xdr:colOff>504800</xdr:colOff>
      <xdr:row>40</xdr:row>
      <xdr:rowOff>114300</xdr:rowOff>
    </xdr:to>
    <xdr:sp macro="" textlink="">
      <xdr:nvSpPr>
        <xdr:cNvPr id="376156" name="Text Box 348" hidden="1">
          <a:extLst>
            <a:ext uri="{FF2B5EF4-FFF2-40B4-BE49-F238E27FC236}">
              <a16:creationId xmlns:a16="http://schemas.microsoft.com/office/drawing/2014/main" id="{FC8C8875-046F-E133-7B65-E85F764B8B9E}"/>
            </a:ext>
          </a:extLst>
        </xdr:cNvPr>
        <xdr:cNvSpPr txBox="1">
          <a:spLocks noChangeArrowheads="1"/>
        </xdr:cNvSpPr>
      </xdr:nvSpPr>
      <xdr:spPr bwMode="auto">
        <a:xfrm>
          <a:off x="11125200" y="7937500"/>
          <a:ext cx="14033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114300</xdr:rowOff>
    </xdr:from>
    <xdr:to>
      <xdr:col>18</xdr:col>
      <xdr:colOff>229489</xdr:colOff>
      <xdr:row>10</xdr:row>
      <xdr:rowOff>152400</xdr:rowOff>
    </xdr:to>
    <xdr:sp macro="" textlink="">
      <xdr:nvSpPr>
        <xdr:cNvPr id="376869" name="Text Box 37" hidden="1">
          <a:extLst>
            <a:ext uri="{FF2B5EF4-FFF2-40B4-BE49-F238E27FC236}">
              <a16:creationId xmlns:a16="http://schemas.microsoft.com/office/drawing/2014/main" id="{145549B7-3A5D-AEE4-6A21-E33FC3BDE9D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88507</xdr:rowOff>
    </xdr:from>
    <xdr:to>
      <xdr:col>5</xdr:col>
      <xdr:colOff>105335</xdr:colOff>
      <xdr:row>236</xdr:row>
      <xdr:rowOff>69458</xdr:rowOff>
    </xdr:to>
    <xdr:sp macro="" textlink="">
      <xdr:nvSpPr>
        <xdr:cNvPr id="376868" name="Text Box 36" hidden="1">
          <a:extLst>
            <a:ext uri="{FF2B5EF4-FFF2-40B4-BE49-F238E27FC236}">
              <a16:creationId xmlns:a16="http://schemas.microsoft.com/office/drawing/2014/main" id="{E8EE6838-26D2-5E5B-BAB6-0A6D7760F8AB}"/>
            </a:ext>
          </a:extLst>
        </xdr:cNvPr>
        <xdr:cNvSpPr txBox="1">
          <a:spLocks noChangeArrowheads="1"/>
        </xdr:cNvSpPr>
      </xdr:nvSpPr>
      <xdr:spPr bwMode="auto">
        <a:xfrm>
          <a:off x="3994150" y="42519600"/>
          <a:ext cx="13144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50408</xdr:rowOff>
    </xdr:from>
    <xdr:to>
      <xdr:col>5</xdr:col>
      <xdr:colOff>105335</xdr:colOff>
      <xdr:row>236</xdr:row>
      <xdr:rowOff>6864</xdr:rowOff>
    </xdr:to>
    <xdr:sp macro="" textlink="">
      <xdr:nvSpPr>
        <xdr:cNvPr id="376867" name="Text Box 35" hidden="1">
          <a:extLst>
            <a:ext uri="{FF2B5EF4-FFF2-40B4-BE49-F238E27FC236}">
              <a16:creationId xmlns:a16="http://schemas.microsoft.com/office/drawing/2014/main" id="{AD94417A-C3FE-F55E-8FDA-092574A81918}"/>
            </a:ext>
          </a:extLst>
        </xdr:cNvPr>
        <xdr:cNvSpPr txBox="1">
          <a:spLocks noChangeArrowheads="1"/>
        </xdr:cNvSpPr>
      </xdr:nvSpPr>
      <xdr:spPr bwMode="auto">
        <a:xfrm>
          <a:off x="3994150" y="4284980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50407</xdr:rowOff>
    </xdr:from>
    <xdr:to>
      <xdr:col>5</xdr:col>
      <xdr:colOff>105335</xdr:colOff>
      <xdr:row>237</xdr:row>
      <xdr:rowOff>69457</xdr:rowOff>
    </xdr:to>
    <xdr:sp macro="" textlink="">
      <xdr:nvSpPr>
        <xdr:cNvPr id="376866" name="Text Box 34" hidden="1">
          <a:extLst>
            <a:ext uri="{FF2B5EF4-FFF2-40B4-BE49-F238E27FC236}">
              <a16:creationId xmlns:a16="http://schemas.microsoft.com/office/drawing/2014/main" id="{DC638EA5-91FA-1DD7-1550-339E9D59BE5F}"/>
            </a:ext>
          </a:extLst>
        </xdr:cNvPr>
        <xdr:cNvSpPr txBox="1">
          <a:spLocks noChangeArrowheads="1"/>
        </xdr:cNvSpPr>
      </xdr:nvSpPr>
      <xdr:spPr bwMode="auto">
        <a:xfrm>
          <a:off x="3994150" y="43402250"/>
          <a:ext cx="1314450" cy="351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50408</xdr:rowOff>
    </xdr:from>
    <xdr:to>
      <xdr:col>5</xdr:col>
      <xdr:colOff>105335</xdr:colOff>
      <xdr:row>225</xdr:row>
      <xdr:rowOff>6864</xdr:rowOff>
    </xdr:to>
    <xdr:sp macro="" textlink="">
      <xdr:nvSpPr>
        <xdr:cNvPr id="376865" name="Text Box 33" hidden="1">
          <a:extLst>
            <a:ext uri="{FF2B5EF4-FFF2-40B4-BE49-F238E27FC236}">
              <a16:creationId xmlns:a16="http://schemas.microsoft.com/office/drawing/2014/main" id="{231A6E3E-8E6B-2A1E-34EC-BC538DB18C1A}"/>
            </a:ext>
          </a:extLst>
        </xdr:cNvPr>
        <xdr:cNvSpPr txBox="1">
          <a:spLocks noChangeArrowheads="1"/>
        </xdr:cNvSpPr>
      </xdr:nvSpPr>
      <xdr:spPr bwMode="auto">
        <a:xfrm>
          <a:off x="3994150" y="4358640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149626</xdr:rowOff>
    </xdr:from>
    <xdr:to>
      <xdr:col>5</xdr:col>
      <xdr:colOff>105335</xdr:colOff>
      <xdr:row>202</xdr:row>
      <xdr:rowOff>6864</xdr:rowOff>
    </xdr:to>
    <xdr:sp macro="" textlink="">
      <xdr:nvSpPr>
        <xdr:cNvPr id="376864" name="Text Box 32" hidden="1">
          <a:extLst>
            <a:ext uri="{FF2B5EF4-FFF2-40B4-BE49-F238E27FC236}">
              <a16:creationId xmlns:a16="http://schemas.microsoft.com/office/drawing/2014/main" id="{33AAFAD0-EAB1-3FB1-15A6-D2822190F5A5}"/>
            </a:ext>
          </a:extLst>
        </xdr:cNvPr>
        <xdr:cNvSpPr txBox="1">
          <a:spLocks noChangeArrowheads="1"/>
        </xdr:cNvSpPr>
      </xdr:nvSpPr>
      <xdr:spPr bwMode="auto">
        <a:xfrm>
          <a:off x="3994150" y="3928110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50407</xdr:rowOff>
    </xdr:from>
    <xdr:to>
      <xdr:col>5</xdr:col>
      <xdr:colOff>105335</xdr:colOff>
      <xdr:row>203</xdr:row>
      <xdr:rowOff>69458</xdr:rowOff>
    </xdr:to>
    <xdr:sp macro="" textlink="">
      <xdr:nvSpPr>
        <xdr:cNvPr id="376863" name="Text Box 31" hidden="1">
          <a:extLst>
            <a:ext uri="{FF2B5EF4-FFF2-40B4-BE49-F238E27FC236}">
              <a16:creationId xmlns:a16="http://schemas.microsoft.com/office/drawing/2014/main" id="{629393EA-56C0-E401-7E67-5157B382608B}"/>
            </a:ext>
          </a:extLst>
        </xdr:cNvPr>
        <xdr:cNvSpPr txBox="1">
          <a:spLocks noChangeArrowheads="1"/>
        </xdr:cNvSpPr>
      </xdr:nvSpPr>
      <xdr:spPr bwMode="auto">
        <a:xfrm>
          <a:off x="3994150" y="397192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50407</xdr:rowOff>
    </xdr:from>
    <xdr:to>
      <xdr:col>5</xdr:col>
      <xdr:colOff>105335</xdr:colOff>
      <xdr:row>204</xdr:row>
      <xdr:rowOff>69458</xdr:rowOff>
    </xdr:to>
    <xdr:sp macro="" textlink="">
      <xdr:nvSpPr>
        <xdr:cNvPr id="376862" name="Text Box 30" hidden="1">
          <a:extLst>
            <a:ext uri="{FF2B5EF4-FFF2-40B4-BE49-F238E27FC236}">
              <a16:creationId xmlns:a16="http://schemas.microsoft.com/office/drawing/2014/main" id="{03C3DB7E-3DF2-8AAE-1278-5E18A2457BE1}"/>
            </a:ext>
          </a:extLst>
        </xdr:cNvPr>
        <xdr:cNvSpPr txBox="1">
          <a:spLocks noChangeArrowheads="1"/>
        </xdr:cNvSpPr>
      </xdr:nvSpPr>
      <xdr:spPr bwMode="auto">
        <a:xfrm>
          <a:off x="3994150" y="400875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50407</xdr:rowOff>
    </xdr:from>
    <xdr:to>
      <xdr:col>5</xdr:col>
      <xdr:colOff>105335</xdr:colOff>
      <xdr:row>211</xdr:row>
      <xdr:rowOff>69458</xdr:rowOff>
    </xdr:to>
    <xdr:sp macro="" textlink="">
      <xdr:nvSpPr>
        <xdr:cNvPr id="376861" name="Text Box 29" hidden="1">
          <a:extLst>
            <a:ext uri="{FF2B5EF4-FFF2-40B4-BE49-F238E27FC236}">
              <a16:creationId xmlns:a16="http://schemas.microsoft.com/office/drawing/2014/main" id="{0343956E-393C-1F80-E9D7-36AF65C96F21}"/>
            </a:ext>
          </a:extLst>
        </xdr:cNvPr>
        <xdr:cNvSpPr txBox="1">
          <a:spLocks noChangeArrowheads="1"/>
        </xdr:cNvSpPr>
      </xdr:nvSpPr>
      <xdr:spPr bwMode="auto">
        <a:xfrm>
          <a:off x="3994150" y="404558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73463</xdr:rowOff>
    </xdr:from>
    <xdr:to>
      <xdr:col>5</xdr:col>
      <xdr:colOff>105335</xdr:colOff>
      <xdr:row>62</xdr:row>
      <xdr:rowOff>73463</xdr:rowOff>
    </xdr:to>
    <xdr:sp macro="" textlink="">
      <xdr:nvSpPr>
        <xdr:cNvPr id="376860" name="Text Box 28" hidden="1">
          <a:extLst>
            <a:ext uri="{FF2B5EF4-FFF2-40B4-BE49-F238E27FC236}">
              <a16:creationId xmlns:a16="http://schemas.microsoft.com/office/drawing/2014/main" id="{21FD6705-EB88-42DD-E85B-3FB27411242B}"/>
            </a:ext>
          </a:extLst>
        </xdr:cNvPr>
        <xdr:cNvSpPr txBox="1">
          <a:spLocks noChangeArrowheads="1"/>
        </xdr:cNvSpPr>
      </xdr:nvSpPr>
      <xdr:spPr bwMode="auto">
        <a:xfrm>
          <a:off x="3994150" y="138303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6433</xdr:rowOff>
    </xdr:from>
    <xdr:to>
      <xdr:col>5</xdr:col>
      <xdr:colOff>124385</xdr:colOff>
      <xdr:row>85</xdr:row>
      <xdr:rowOff>19314</xdr:rowOff>
    </xdr:to>
    <xdr:sp macro="" textlink="">
      <xdr:nvSpPr>
        <xdr:cNvPr id="376859" name="Text Box 27" hidden="1">
          <a:extLst>
            <a:ext uri="{FF2B5EF4-FFF2-40B4-BE49-F238E27FC236}">
              <a16:creationId xmlns:a16="http://schemas.microsoft.com/office/drawing/2014/main" id="{BE1E8DC1-6846-6BB2-03F3-BC5789186C68}"/>
            </a:ext>
          </a:extLst>
        </xdr:cNvPr>
        <xdr:cNvSpPr txBox="1">
          <a:spLocks noChangeArrowheads="1"/>
        </xdr:cNvSpPr>
      </xdr:nvSpPr>
      <xdr:spPr bwMode="auto">
        <a:xfrm>
          <a:off x="4013200" y="13989050"/>
          <a:ext cx="1314450" cy="454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73463</xdr:rowOff>
    </xdr:from>
    <xdr:to>
      <xdr:col>5</xdr:col>
      <xdr:colOff>105335</xdr:colOff>
      <xdr:row>82</xdr:row>
      <xdr:rowOff>145356</xdr:rowOff>
    </xdr:to>
    <xdr:sp macro="" textlink="">
      <xdr:nvSpPr>
        <xdr:cNvPr id="376858" name="Text Box 26" hidden="1">
          <a:extLst>
            <a:ext uri="{FF2B5EF4-FFF2-40B4-BE49-F238E27FC236}">
              <a16:creationId xmlns:a16="http://schemas.microsoft.com/office/drawing/2014/main" id="{0700B06C-8488-DC43-9135-421ABD3F382A}"/>
            </a:ext>
          </a:extLst>
        </xdr:cNvPr>
        <xdr:cNvSpPr txBox="1">
          <a:spLocks noChangeArrowheads="1"/>
        </xdr:cNvSpPr>
      </xdr:nvSpPr>
      <xdr:spPr bwMode="auto">
        <a:xfrm>
          <a:off x="3994150" y="13830300"/>
          <a:ext cx="13144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92513</xdr:rowOff>
    </xdr:from>
    <xdr:to>
      <xdr:col>5</xdr:col>
      <xdr:colOff>105335</xdr:colOff>
      <xdr:row>82</xdr:row>
      <xdr:rowOff>172727</xdr:rowOff>
    </xdr:to>
    <xdr:sp macro="" textlink="">
      <xdr:nvSpPr>
        <xdr:cNvPr id="376857" name="Text Box 25" hidden="1">
          <a:extLst>
            <a:ext uri="{FF2B5EF4-FFF2-40B4-BE49-F238E27FC236}">
              <a16:creationId xmlns:a16="http://schemas.microsoft.com/office/drawing/2014/main" id="{3A621DFD-6007-8D9C-E6F1-6174BD459B7F}"/>
            </a:ext>
          </a:extLst>
        </xdr:cNvPr>
        <xdr:cNvSpPr txBox="1">
          <a:spLocks noChangeArrowheads="1"/>
        </xdr:cNvSpPr>
      </xdr:nvSpPr>
      <xdr:spPr bwMode="auto">
        <a:xfrm>
          <a:off x="3994150" y="13849350"/>
          <a:ext cx="131445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123834</xdr:rowOff>
    </xdr:from>
    <xdr:to>
      <xdr:col>5</xdr:col>
      <xdr:colOff>105335</xdr:colOff>
      <xdr:row>85</xdr:row>
      <xdr:rowOff>57414</xdr:rowOff>
    </xdr:to>
    <xdr:sp macro="" textlink="">
      <xdr:nvSpPr>
        <xdr:cNvPr id="376856" name="Text Box 24" hidden="1">
          <a:extLst>
            <a:ext uri="{FF2B5EF4-FFF2-40B4-BE49-F238E27FC236}">
              <a16:creationId xmlns:a16="http://schemas.microsoft.com/office/drawing/2014/main" id="{7DC1DE39-DC8C-0E7B-BC85-CE2E93BD3259}"/>
            </a:ext>
          </a:extLst>
        </xdr:cNvPr>
        <xdr:cNvSpPr txBox="1">
          <a:spLocks noChangeArrowheads="1"/>
        </xdr:cNvSpPr>
      </xdr:nvSpPr>
      <xdr:spPr bwMode="auto">
        <a:xfrm>
          <a:off x="3994150" y="14871700"/>
          <a:ext cx="1314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171631</xdr:rowOff>
    </xdr:from>
    <xdr:to>
      <xdr:col>5</xdr:col>
      <xdr:colOff>105335</xdr:colOff>
      <xdr:row>94</xdr:row>
      <xdr:rowOff>27681</xdr:rowOff>
    </xdr:to>
    <xdr:sp macro="" textlink="">
      <xdr:nvSpPr>
        <xdr:cNvPr id="376855" name="Text Box 23" hidden="1">
          <a:extLst>
            <a:ext uri="{FF2B5EF4-FFF2-40B4-BE49-F238E27FC236}">
              <a16:creationId xmlns:a16="http://schemas.microsoft.com/office/drawing/2014/main" id="{4A1B5561-33EE-8F25-B818-366FEB142683}"/>
            </a:ext>
          </a:extLst>
        </xdr:cNvPr>
        <xdr:cNvSpPr txBox="1">
          <a:spLocks noChangeArrowheads="1"/>
        </xdr:cNvSpPr>
      </xdr:nvSpPr>
      <xdr:spPr bwMode="auto">
        <a:xfrm>
          <a:off x="3994150" y="17767300"/>
          <a:ext cx="1314450" cy="242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116863</xdr:rowOff>
    </xdr:from>
    <xdr:to>
      <xdr:col>5</xdr:col>
      <xdr:colOff>105335</xdr:colOff>
      <xdr:row>93</xdr:row>
      <xdr:rowOff>12302</xdr:rowOff>
    </xdr:to>
    <xdr:sp macro="" textlink="">
      <xdr:nvSpPr>
        <xdr:cNvPr id="376854" name="Text Box 22" hidden="1">
          <a:extLst>
            <a:ext uri="{FF2B5EF4-FFF2-40B4-BE49-F238E27FC236}">
              <a16:creationId xmlns:a16="http://schemas.microsoft.com/office/drawing/2014/main" id="{0FDD5B7A-560B-7B3B-149F-E735F3A233D4}"/>
            </a:ext>
          </a:extLst>
        </xdr:cNvPr>
        <xdr:cNvSpPr txBox="1">
          <a:spLocks noChangeArrowheads="1"/>
        </xdr:cNvSpPr>
      </xdr:nvSpPr>
      <xdr:spPr bwMode="auto">
        <a:xfrm>
          <a:off x="3994150" y="1787525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68362</xdr:rowOff>
    </xdr:from>
    <xdr:to>
      <xdr:col>5</xdr:col>
      <xdr:colOff>105335</xdr:colOff>
      <xdr:row>93</xdr:row>
      <xdr:rowOff>85624</xdr:rowOff>
    </xdr:to>
    <xdr:sp macro="" textlink="">
      <xdr:nvSpPr>
        <xdr:cNvPr id="376853" name="Text Box 21" hidden="1">
          <a:extLst>
            <a:ext uri="{FF2B5EF4-FFF2-40B4-BE49-F238E27FC236}">
              <a16:creationId xmlns:a16="http://schemas.microsoft.com/office/drawing/2014/main" id="{9AE191C3-1E10-DC58-C44B-66F917300B01}"/>
            </a:ext>
          </a:extLst>
        </xdr:cNvPr>
        <xdr:cNvSpPr txBox="1">
          <a:spLocks noChangeArrowheads="1"/>
        </xdr:cNvSpPr>
      </xdr:nvSpPr>
      <xdr:spPr bwMode="auto">
        <a:xfrm>
          <a:off x="3994150" y="1800225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44933</xdr:rowOff>
    </xdr:from>
    <xdr:to>
      <xdr:col>5</xdr:col>
      <xdr:colOff>105335</xdr:colOff>
      <xdr:row>95</xdr:row>
      <xdr:rowOff>10603</xdr:rowOff>
    </xdr:to>
    <xdr:sp macro="" textlink="">
      <xdr:nvSpPr>
        <xdr:cNvPr id="376852" name="Text Box 20" hidden="1">
          <a:extLst>
            <a:ext uri="{FF2B5EF4-FFF2-40B4-BE49-F238E27FC236}">
              <a16:creationId xmlns:a16="http://schemas.microsoft.com/office/drawing/2014/main" id="{E62398EC-3C25-C629-FFEE-B447B6FAA1B1}"/>
            </a:ext>
          </a:extLst>
        </xdr:cNvPr>
        <xdr:cNvSpPr txBox="1">
          <a:spLocks noChangeArrowheads="1"/>
        </xdr:cNvSpPr>
      </xdr:nvSpPr>
      <xdr:spPr bwMode="auto">
        <a:xfrm>
          <a:off x="3994150" y="1818640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11943</xdr:rowOff>
    </xdr:from>
    <xdr:to>
      <xdr:col>5</xdr:col>
      <xdr:colOff>105335</xdr:colOff>
      <xdr:row>115</xdr:row>
      <xdr:rowOff>150686</xdr:rowOff>
    </xdr:to>
    <xdr:sp macro="" textlink="">
      <xdr:nvSpPr>
        <xdr:cNvPr id="376851" name="Text Box 19" hidden="1">
          <a:extLst>
            <a:ext uri="{FF2B5EF4-FFF2-40B4-BE49-F238E27FC236}">
              <a16:creationId xmlns:a16="http://schemas.microsoft.com/office/drawing/2014/main" id="{0D9D8116-CC69-3447-1D53-57DD2654B4A1}"/>
            </a:ext>
          </a:extLst>
        </xdr:cNvPr>
        <xdr:cNvSpPr txBox="1">
          <a:spLocks noChangeArrowheads="1"/>
        </xdr:cNvSpPr>
      </xdr:nvSpPr>
      <xdr:spPr bwMode="auto">
        <a:xfrm>
          <a:off x="3994150" y="2260600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46075</xdr:rowOff>
    </xdr:from>
    <xdr:to>
      <xdr:col>5</xdr:col>
      <xdr:colOff>105335</xdr:colOff>
      <xdr:row>113</xdr:row>
      <xdr:rowOff>48291</xdr:rowOff>
    </xdr:to>
    <xdr:sp macro="" textlink="">
      <xdr:nvSpPr>
        <xdr:cNvPr id="376850" name="Text Box 18" hidden="1">
          <a:extLst>
            <a:ext uri="{FF2B5EF4-FFF2-40B4-BE49-F238E27FC236}">
              <a16:creationId xmlns:a16="http://schemas.microsoft.com/office/drawing/2014/main" id="{FF6FB21D-5596-AA72-B4A0-B2D88388A70F}"/>
            </a:ext>
          </a:extLst>
        </xdr:cNvPr>
        <xdr:cNvSpPr txBox="1">
          <a:spLocks noChangeArrowheads="1"/>
        </xdr:cNvSpPr>
      </xdr:nvSpPr>
      <xdr:spPr bwMode="auto">
        <a:xfrm>
          <a:off x="3994150" y="22840950"/>
          <a:ext cx="1314450" cy="117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211750</xdr:rowOff>
    </xdr:from>
    <xdr:to>
      <xdr:col>5</xdr:col>
      <xdr:colOff>105335</xdr:colOff>
      <xdr:row>113</xdr:row>
      <xdr:rowOff>9894</xdr:rowOff>
    </xdr:to>
    <xdr:sp macro="" textlink="">
      <xdr:nvSpPr>
        <xdr:cNvPr id="376849" name="Text Box 17" hidden="1">
          <a:extLst>
            <a:ext uri="{FF2B5EF4-FFF2-40B4-BE49-F238E27FC236}">
              <a16:creationId xmlns:a16="http://schemas.microsoft.com/office/drawing/2014/main" id="{746FD96A-BF81-F69D-28EB-E0C7126C6BD1}"/>
            </a:ext>
          </a:extLst>
        </xdr:cNvPr>
        <xdr:cNvSpPr txBox="1">
          <a:spLocks noChangeArrowheads="1"/>
        </xdr:cNvSpPr>
      </xdr:nvSpPr>
      <xdr:spPr bwMode="auto">
        <a:xfrm>
          <a:off x="3994150" y="2302510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202417</xdr:rowOff>
    </xdr:from>
    <xdr:to>
      <xdr:col>5</xdr:col>
      <xdr:colOff>105335</xdr:colOff>
      <xdr:row>113</xdr:row>
      <xdr:rowOff>9894</xdr:rowOff>
    </xdr:to>
    <xdr:sp macro="" textlink="">
      <xdr:nvSpPr>
        <xdr:cNvPr id="376848" name="Text Box 16" hidden="1">
          <a:extLst>
            <a:ext uri="{FF2B5EF4-FFF2-40B4-BE49-F238E27FC236}">
              <a16:creationId xmlns:a16="http://schemas.microsoft.com/office/drawing/2014/main" id="{CD4EF107-3F06-D104-801B-553EBB062875}"/>
            </a:ext>
          </a:extLst>
        </xdr:cNvPr>
        <xdr:cNvSpPr txBox="1">
          <a:spLocks noChangeArrowheads="1"/>
        </xdr:cNvSpPr>
      </xdr:nvSpPr>
      <xdr:spPr bwMode="auto">
        <a:xfrm>
          <a:off x="3994150" y="22987000"/>
          <a:ext cx="1314450"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131</xdr:row>
      <xdr:rowOff>126901</xdr:rowOff>
    </xdr:from>
    <xdr:to>
      <xdr:col>21</xdr:col>
      <xdr:colOff>257697</xdr:colOff>
      <xdr:row>135</xdr:row>
      <xdr:rowOff>122667</xdr:rowOff>
    </xdr:to>
    <xdr:sp macro="" textlink="">
      <xdr:nvSpPr>
        <xdr:cNvPr id="376847" name="Text Box 15" hidden="1">
          <a:extLst>
            <a:ext uri="{FF2B5EF4-FFF2-40B4-BE49-F238E27FC236}">
              <a16:creationId xmlns:a16="http://schemas.microsoft.com/office/drawing/2014/main" id="{30EFDDD4-7F95-E699-F117-E947A6943A90}"/>
            </a:ext>
          </a:extLst>
        </xdr:cNvPr>
        <xdr:cNvSpPr txBox="1">
          <a:spLocks noChangeArrowheads="1"/>
        </xdr:cNvSpPr>
      </xdr:nvSpPr>
      <xdr:spPr bwMode="auto">
        <a:xfrm>
          <a:off x="17513300" y="273875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76200</xdr:rowOff>
    </xdr:to>
    <xdr:sp macro="" textlink="">
      <xdr:nvSpPr>
        <xdr:cNvPr id="376846" name="Text Box 14" hidden="1">
          <a:extLst>
            <a:ext uri="{FF2B5EF4-FFF2-40B4-BE49-F238E27FC236}">
              <a16:creationId xmlns:a16="http://schemas.microsoft.com/office/drawing/2014/main" id="{ADD85B21-34BC-CE8C-32A7-94A4B97856B9}"/>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23</xdr:row>
      <xdr:rowOff>95250</xdr:rowOff>
    </xdr:from>
    <xdr:to>
      <xdr:col>22</xdr:col>
      <xdr:colOff>429146</xdr:colOff>
      <xdr:row>29</xdr:row>
      <xdr:rowOff>76200</xdr:rowOff>
    </xdr:to>
    <xdr:sp macro="" textlink="">
      <xdr:nvSpPr>
        <xdr:cNvPr id="376845" name="Text Box 13" hidden="1">
          <a:extLst>
            <a:ext uri="{FF2B5EF4-FFF2-40B4-BE49-F238E27FC236}">
              <a16:creationId xmlns:a16="http://schemas.microsoft.com/office/drawing/2014/main" id="{A77E8A31-3567-4C97-AE1C-66441FEFFF9E}"/>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135</xdr:row>
      <xdr:rowOff>122667</xdr:rowOff>
    </xdr:from>
    <xdr:to>
      <xdr:col>22</xdr:col>
      <xdr:colOff>429146</xdr:colOff>
      <xdr:row>139</xdr:row>
      <xdr:rowOff>103616</xdr:rowOff>
    </xdr:to>
    <xdr:sp macro="" textlink="">
      <xdr:nvSpPr>
        <xdr:cNvPr id="376844" name="Text Box 12" hidden="1">
          <a:extLst>
            <a:ext uri="{FF2B5EF4-FFF2-40B4-BE49-F238E27FC236}">
              <a16:creationId xmlns:a16="http://schemas.microsoft.com/office/drawing/2014/main" id="{BA0D968D-C020-A02C-06B1-E747A16E4E7C}"/>
            </a:ext>
          </a:extLst>
        </xdr:cNvPr>
        <xdr:cNvSpPr txBox="1">
          <a:spLocks noChangeArrowheads="1"/>
        </xdr:cNvSpPr>
      </xdr:nvSpPr>
      <xdr:spPr bwMode="auto">
        <a:xfrm>
          <a:off x="18332450" y="281432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33</xdr:row>
      <xdr:rowOff>95250</xdr:rowOff>
    </xdr:from>
    <xdr:to>
      <xdr:col>11</xdr:col>
      <xdr:colOff>636501</xdr:colOff>
      <xdr:row>38</xdr:row>
      <xdr:rowOff>19050</xdr:rowOff>
    </xdr:to>
    <xdr:sp macro="" textlink="">
      <xdr:nvSpPr>
        <xdr:cNvPr id="376843" name="Text Box 11" hidden="1">
          <a:extLst>
            <a:ext uri="{FF2B5EF4-FFF2-40B4-BE49-F238E27FC236}">
              <a16:creationId xmlns:a16="http://schemas.microsoft.com/office/drawing/2014/main" id="{23CC21BF-493B-DF2F-D17A-267F9FF6B62F}"/>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171450</xdr:rowOff>
    </xdr:to>
    <xdr:sp macro="" textlink="">
      <xdr:nvSpPr>
        <xdr:cNvPr id="376842" name="Text Box 10" hidden="1">
          <a:extLst>
            <a:ext uri="{FF2B5EF4-FFF2-40B4-BE49-F238E27FC236}">
              <a16:creationId xmlns:a16="http://schemas.microsoft.com/office/drawing/2014/main" id="{CA694832-E025-ED1D-D008-24E07DFCBBB8}"/>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467247</xdr:colOff>
      <xdr:row>29</xdr:row>
      <xdr:rowOff>152400</xdr:rowOff>
    </xdr:to>
    <xdr:sp macro="" textlink="">
      <xdr:nvSpPr>
        <xdr:cNvPr id="376841" name="Text Box 9" hidden="1">
          <a:extLst>
            <a:ext uri="{FF2B5EF4-FFF2-40B4-BE49-F238E27FC236}">
              <a16:creationId xmlns:a16="http://schemas.microsoft.com/office/drawing/2014/main" id="{4E9D0161-C9C4-F1EF-5A8F-BCAA1FA7E527}"/>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122667</xdr:rowOff>
    </xdr:from>
    <xdr:to>
      <xdr:col>24</xdr:col>
      <xdr:colOff>467247</xdr:colOff>
      <xdr:row>140</xdr:row>
      <xdr:rowOff>8366</xdr:rowOff>
    </xdr:to>
    <xdr:sp macro="" textlink="">
      <xdr:nvSpPr>
        <xdr:cNvPr id="376840" name="Text Box 8" hidden="1">
          <a:extLst>
            <a:ext uri="{FF2B5EF4-FFF2-40B4-BE49-F238E27FC236}">
              <a16:creationId xmlns:a16="http://schemas.microsoft.com/office/drawing/2014/main" id="{8BA181D4-0C20-B9D3-37A2-0EB8F79C793F}"/>
            </a:ext>
          </a:extLst>
        </xdr:cNvPr>
        <xdr:cNvSpPr txBox="1">
          <a:spLocks noChangeArrowheads="1"/>
        </xdr:cNvSpPr>
      </xdr:nvSpPr>
      <xdr:spPr bwMode="auto">
        <a:xfrm>
          <a:off x="20027900" y="281432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467247</xdr:colOff>
      <xdr:row>18</xdr:row>
      <xdr:rowOff>133350</xdr:rowOff>
    </xdr:to>
    <xdr:sp macro="" textlink="">
      <xdr:nvSpPr>
        <xdr:cNvPr id="376839" name="Text Box 7" hidden="1">
          <a:extLst>
            <a:ext uri="{FF2B5EF4-FFF2-40B4-BE49-F238E27FC236}">
              <a16:creationId xmlns:a16="http://schemas.microsoft.com/office/drawing/2014/main" id="{3A2A7D03-9C87-2D2C-C11D-9F703B304948}"/>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114300</xdr:rowOff>
    </xdr:from>
    <xdr:to>
      <xdr:col>25</xdr:col>
      <xdr:colOff>467247</xdr:colOff>
      <xdr:row>29</xdr:row>
      <xdr:rowOff>95250</xdr:rowOff>
    </xdr:to>
    <xdr:sp macro="" textlink="">
      <xdr:nvSpPr>
        <xdr:cNvPr id="376838" name="Text Box 6" hidden="1">
          <a:extLst>
            <a:ext uri="{FF2B5EF4-FFF2-40B4-BE49-F238E27FC236}">
              <a16:creationId xmlns:a16="http://schemas.microsoft.com/office/drawing/2014/main" id="{7E4FBE26-09D1-69B0-CD90-9B4A7649C9B1}"/>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143569</xdr:rowOff>
    </xdr:from>
    <xdr:to>
      <xdr:col>25</xdr:col>
      <xdr:colOff>467247</xdr:colOff>
      <xdr:row>140</xdr:row>
      <xdr:rowOff>1718</xdr:rowOff>
    </xdr:to>
    <xdr:sp macro="" textlink="">
      <xdr:nvSpPr>
        <xdr:cNvPr id="376837" name="Text Box 5" hidden="1">
          <a:extLst>
            <a:ext uri="{FF2B5EF4-FFF2-40B4-BE49-F238E27FC236}">
              <a16:creationId xmlns:a16="http://schemas.microsoft.com/office/drawing/2014/main" id="{447DE201-B8B6-E745-AB93-2EADDFAC95C1}"/>
            </a:ext>
          </a:extLst>
        </xdr:cNvPr>
        <xdr:cNvSpPr txBox="1">
          <a:spLocks noChangeArrowheads="1"/>
        </xdr:cNvSpPr>
      </xdr:nvSpPr>
      <xdr:spPr bwMode="auto">
        <a:xfrm>
          <a:off x="20789900" y="281622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37</xdr:row>
      <xdr:rowOff>76200</xdr:rowOff>
    </xdr:from>
    <xdr:to>
      <xdr:col>11</xdr:col>
      <xdr:colOff>712701</xdr:colOff>
      <xdr:row>41</xdr:row>
      <xdr:rowOff>114300</xdr:rowOff>
    </xdr:to>
    <xdr:sp macro="" textlink="">
      <xdr:nvSpPr>
        <xdr:cNvPr id="376836" name="Text Box 4" hidden="1">
          <a:extLst>
            <a:ext uri="{FF2B5EF4-FFF2-40B4-BE49-F238E27FC236}">
              <a16:creationId xmlns:a16="http://schemas.microsoft.com/office/drawing/2014/main" id="{434DCAD9-A99A-4CD7-7BAA-5CE69182ECA6}"/>
            </a:ext>
          </a:extLst>
        </xdr:cNvPr>
        <xdr:cNvSpPr txBox="1">
          <a:spLocks noChangeArrowheads="1"/>
        </xdr:cNvSpPr>
      </xdr:nvSpPr>
      <xdr:spPr bwMode="auto">
        <a:xfrm>
          <a:off x="9398000" y="8121650"/>
          <a:ext cx="13525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37</xdr:row>
      <xdr:rowOff>76200</xdr:rowOff>
    </xdr:from>
    <xdr:to>
      <xdr:col>13</xdr:col>
      <xdr:colOff>504800</xdr:colOff>
      <xdr:row>41</xdr:row>
      <xdr:rowOff>114300</xdr:rowOff>
    </xdr:to>
    <xdr:sp macro="" textlink="">
      <xdr:nvSpPr>
        <xdr:cNvPr id="376835" name="Text Box 3" hidden="1">
          <a:extLst>
            <a:ext uri="{FF2B5EF4-FFF2-40B4-BE49-F238E27FC236}">
              <a16:creationId xmlns:a16="http://schemas.microsoft.com/office/drawing/2014/main" id="{1C043BD1-2041-D5D1-84DF-1E66495B4DAB}"/>
            </a:ext>
          </a:extLst>
        </xdr:cNvPr>
        <xdr:cNvSpPr txBox="1">
          <a:spLocks noChangeArrowheads="1"/>
        </xdr:cNvSpPr>
      </xdr:nvSpPr>
      <xdr:spPr bwMode="auto">
        <a:xfrm>
          <a:off x="11125200" y="812165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465402</xdr:rowOff>
    </xdr:from>
    <xdr:to>
      <xdr:col>30</xdr:col>
      <xdr:colOff>439039</xdr:colOff>
      <xdr:row>24</xdr:row>
      <xdr:rowOff>0</xdr:rowOff>
    </xdr:to>
    <xdr:sp macro="" textlink="">
      <xdr:nvSpPr>
        <xdr:cNvPr id="376834" name="Text Box 2" hidden="1">
          <a:extLst>
            <a:ext uri="{FF2B5EF4-FFF2-40B4-BE49-F238E27FC236}">
              <a16:creationId xmlns:a16="http://schemas.microsoft.com/office/drawing/2014/main" id="{BABCEF68-2AA1-1BD2-C3EF-1EEC0CD23C30}"/>
            </a:ext>
          </a:extLst>
        </xdr:cNvPr>
        <xdr:cNvSpPr txBox="1">
          <a:spLocks noChangeArrowheads="1"/>
        </xdr:cNvSpPr>
      </xdr:nvSpPr>
      <xdr:spPr bwMode="auto">
        <a:xfrm>
          <a:off x="24599900" y="4838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95250</xdr:rowOff>
    </xdr:from>
    <xdr:to>
      <xdr:col>27</xdr:col>
      <xdr:colOff>467246</xdr:colOff>
      <xdr:row>28</xdr:row>
      <xdr:rowOff>2974</xdr:rowOff>
    </xdr:to>
    <xdr:sp macro="" textlink="">
      <xdr:nvSpPr>
        <xdr:cNvPr id="376833" name="Text Box 1" hidden="1">
          <a:extLst>
            <a:ext uri="{FF2B5EF4-FFF2-40B4-BE49-F238E27FC236}">
              <a16:creationId xmlns:a16="http://schemas.microsoft.com/office/drawing/2014/main" id="{6A30B42E-64FB-DA90-F398-63D48D5B54B5}"/>
            </a:ext>
          </a:extLst>
        </xdr:cNvPr>
        <xdr:cNvSpPr txBox="1">
          <a:spLocks noChangeArrowheads="1"/>
        </xdr:cNvSpPr>
      </xdr:nvSpPr>
      <xdr:spPr bwMode="auto">
        <a:xfrm>
          <a:off x="22313900" y="55626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95250</xdr:rowOff>
    </xdr:from>
    <xdr:to>
      <xdr:col>18</xdr:col>
      <xdr:colOff>229489</xdr:colOff>
      <xdr:row>10</xdr:row>
      <xdr:rowOff>152400</xdr:rowOff>
    </xdr:to>
    <xdr:sp macro="" textlink="">
      <xdr:nvSpPr>
        <xdr:cNvPr id="376906" name="Text Box 74" hidden="1">
          <a:extLst>
            <a:ext uri="{FF2B5EF4-FFF2-40B4-BE49-F238E27FC236}">
              <a16:creationId xmlns:a16="http://schemas.microsoft.com/office/drawing/2014/main" id="{9611A285-2281-9494-8BAE-24DEAD8A23A8}"/>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30536</xdr:rowOff>
    </xdr:from>
    <xdr:to>
      <xdr:col>5</xdr:col>
      <xdr:colOff>105335</xdr:colOff>
      <xdr:row>54</xdr:row>
      <xdr:rowOff>30536</xdr:rowOff>
    </xdr:to>
    <xdr:sp macro="" textlink="">
      <xdr:nvSpPr>
        <xdr:cNvPr id="376897" name="Text Box 65" hidden="1">
          <a:extLst>
            <a:ext uri="{FF2B5EF4-FFF2-40B4-BE49-F238E27FC236}">
              <a16:creationId xmlns:a16="http://schemas.microsoft.com/office/drawing/2014/main" id="{4AAC5021-AC39-EF52-0099-5594971EBA5E}"/>
            </a:ext>
          </a:extLst>
        </xdr:cNvPr>
        <xdr:cNvSpPr txBox="1">
          <a:spLocks noChangeArrowheads="1"/>
        </xdr:cNvSpPr>
      </xdr:nvSpPr>
      <xdr:spPr bwMode="auto">
        <a:xfrm>
          <a:off x="3994150" y="115633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68636</xdr:rowOff>
    </xdr:from>
    <xdr:to>
      <xdr:col>5</xdr:col>
      <xdr:colOff>124385</xdr:colOff>
      <xdr:row>75</xdr:row>
      <xdr:rowOff>8804</xdr:rowOff>
    </xdr:to>
    <xdr:sp macro="" textlink="">
      <xdr:nvSpPr>
        <xdr:cNvPr id="376896" name="Text Box 64" hidden="1">
          <a:extLst>
            <a:ext uri="{FF2B5EF4-FFF2-40B4-BE49-F238E27FC236}">
              <a16:creationId xmlns:a16="http://schemas.microsoft.com/office/drawing/2014/main" id="{7E2FD3A6-062F-9024-E49E-C4B0F4FBE9C4}"/>
            </a:ext>
          </a:extLst>
        </xdr:cNvPr>
        <xdr:cNvSpPr txBox="1">
          <a:spLocks noChangeArrowheads="1"/>
        </xdr:cNvSpPr>
      </xdr:nvSpPr>
      <xdr:spPr bwMode="auto">
        <a:xfrm>
          <a:off x="4013200" y="11601450"/>
          <a:ext cx="1314450" cy="485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30536</xdr:rowOff>
    </xdr:from>
    <xdr:to>
      <xdr:col>5</xdr:col>
      <xdr:colOff>105335</xdr:colOff>
      <xdr:row>72</xdr:row>
      <xdr:rowOff>102120</xdr:rowOff>
    </xdr:to>
    <xdr:sp macro="" textlink="">
      <xdr:nvSpPr>
        <xdr:cNvPr id="376895" name="Text Box 63" hidden="1">
          <a:extLst>
            <a:ext uri="{FF2B5EF4-FFF2-40B4-BE49-F238E27FC236}">
              <a16:creationId xmlns:a16="http://schemas.microsoft.com/office/drawing/2014/main" id="{C0EE46E0-0151-13E2-7601-C4AAF9F413A3}"/>
            </a:ext>
          </a:extLst>
        </xdr:cNvPr>
        <xdr:cNvSpPr txBox="1">
          <a:spLocks noChangeArrowheads="1"/>
        </xdr:cNvSpPr>
      </xdr:nvSpPr>
      <xdr:spPr bwMode="auto">
        <a:xfrm>
          <a:off x="3994150" y="11563350"/>
          <a:ext cx="1314450" cy="445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30536</xdr:rowOff>
    </xdr:from>
    <xdr:to>
      <xdr:col>5</xdr:col>
      <xdr:colOff>105335</xdr:colOff>
      <xdr:row>72</xdr:row>
      <xdr:rowOff>145247</xdr:rowOff>
    </xdr:to>
    <xdr:sp macro="" textlink="">
      <xdr:nvSpPr>
        <xdr:cNvPr id="376894" name="Text Box 62" hidden="1">
          <a:extLst>
            <a:ext uri="{FF2B5EF4-FFF2-40B4-BE49-F238E27FC236}">
              <a16:creationId xmlns:a16="http://schemas.microsoft.com/office/drawing/2014/main" id="{2A474C24-02BD-A050-3855-06C0446ADA8A}"/>
            </a:ext>
          </a:extLst>
        </xdr:cNvPr>
        <xdr:cNvSpPr txBox="1">
          <a:spLocks noChangeArrowheads="1"/>
        </xdr:cNvSpPr>
      </xdr:nvSpPr>
      <xdr:spPr bwMode="auto">
        <a:xfrm>
          <a:off x="3994150" y="11563350"/>
          <a:ext cx="1314450" cy="4489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104702</xdr:rowOff>
    </xdr:from>
    <xdr:to>
      <xdr:col>5</xdr:col>
      <xdr:colOff>105335</xdr:colOff>
      <xdr:row>77</xdr:row>
      <xdr:rowOff>163102</xdr:rowOff>
    </xdr:to>
    <xdr:sp macro="" textlink="">
      <xdr:nvSpPr>
        <xdr:cNvPr id="376893" name="Text Box 61" hidden="1">
          <a:extLst>
            <a:ext uri="{FF2B5EF4-FFF2-40B4-BE49-F238E27FC236}">
              <a16:creationId xmlns:a16="http://schemas.microsoft.com/office/drawing/2014/main" id="{04A4B739-14AC-D18D-289E-883F861B1A59}"/>
            </a:ext>
          </a:extLst>
        </xdr:cNvPr>
        <xdr:cNvSpPr txBox="1">
          <a:spLocks noChangeArrowheads="1"/>
        </xdr:cNvSpPr>
      </xdr:nvSpPr>
      <xdr:spPr bwMode="auto">
        <a:xfrm>
          <a:off x="3994150" y="12858750"/>
          <a:ext cx="1314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126426</xdr:rowOff>
    </xdr:from>
    <xdr:to>
      <xdr:col>5</xdr:col>
      <xdr:colOff>105335</xdr:colOff>
      <xdr:row>86</xdr:row>
      <xdr:rowOff>30262</xdr:rowOff>
    </xdr:to>
    <xdr:sp macro="" textlink="">
      <xdr:nvSpPr>
        <xdr:cNvPr id="376892" name="Text Box 60" hidden="1">
          <a:extLst>
            <a:ext uri="{FF2B5EF4-FFF2-40B4-BE49-F238E27FC236}">
              <a16:creationId xmlns:a16="http://schemas.microsoft.com/office/drawing/2014/main" id="{5C5B126C-08DD-7E61-CA06-497AC8ACEE36}"/>
            </a:ext>
          </a:extLst>
        </xdr:cNvPr>
        <xdr:cNvSpPr txBox="1">
          <a:spLocks noChangeArrowheads="1"/>
        </xdr:cNvSpPr>
      </xdr:nvSpPr>
      <xdr:spPr bwMode="auto">
        <a:xfrm>
          <a:off x="3994150" y="15830550"/>
          <a:ext cx="1314450" cy="290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27593</xdr:rowOff>
    </xdr:from>
    <xdr:to>
      <xdr:col>5</xdr:col>
      <xdr:colOff>105335</xdr:colOff>
      <xdr:row>85</xdr:row>
      <xdr:rowOff>30262</xdr:rowOff>
    </xdr:to>
    <xdr:sp macro="" textlink="">
      <xdr:nvSpPr>
        <xdr:cNvPr id="376891" name="Text Box 59" hidden="1">
          <a:extLst>
            <a:ext uri="{FF2B5EF4-FFF2-40B4-BE49-F238E27FC236}">
              <a16:creationId xmlns:a16="http://schemas.microsoft.com/office/drawing/2014/main" id="{1A992DDD-F45A-F16D-4409-472EAFCD74D9}"/>
            </a:ext>
          </a:extLst>
        </xdr:cNvPr>
        <xdr:cNvSpPr txBox="1">
          <a:spLocks noChangeArrowheads="1"/>
        </xdr:cNvSpPr>
      </xdr:nvSpPr>
      <xdr:spPr bwMode="auto">
        <a:xfrm>
          <a:off x="3994150" y="1593850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145247</xdr:rowOff>
    </xdr:from>
    <xdr:to>
      <xdr:col>5</xdr:col>
      <xdr:colOff>105335</xdr:colOff>
      <xdr:row>85</xdr:row>
      <xdr:rowOff>125512</xdr:rowOff>
    </xdr:to>
    <xdr:sp macro="" textlink="">
      <xdr:nvSpPr>
        <xdr:cNvPr id="376890" name="Text Box 58" hidden="1">
          <a:extLst>
            <a:ext uri="{FF2B5EF4-FFF2-40B4-BE49-F238E27FC236}">
              <a16:creationId xmlns:a16="http://schemas.microsoft.com/office/drawing/2014/main" id="{94913A76-79F6-EAC5-B993-5120D011788B}"/>
            </a:ext>
          </a:extLst>
        </xdr:cNvPr>
        <xdr:cNvSpPr txBox="1">
          <a:spLocks noChangeArrowheads="1"/>
        </xdr:cNvSpPr>
      </xdr:nvSpPr>
      <xdr:spPr bwMode="auto">
        <a:xfrm>
          <a:off x="3994150" y="16052800"/>
          <a:ext cx="1314450" cy="259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151013</xdr:rowOff>
    </xdr:from>
    <xdr:to>
      <xdr:col>5</xdr:col>
      <xdr:colOff>105335</xdr:colOff>
      <xdr:row>87</xdr:row>
      <xdr:rowOff>106463</xdr:rowOff>
    </xdr:to>
    <xdr:sp macro="" textlink="">
      <xdr:nvSpPr>
        <xdr:cNvPr id="376889" name="Text Box 57" hidden="1">
          <a:extLst>
            <a:ext uri="{FF2B5EF4-FFF2-40B4-BE49-F238E27FC236}">
              <a16:creationId xmlns:a16="http://schemas.microsoft.com/office/drawing/2014/main" id="{B6139A6C-650F-AE56-F331-DEACEAAD4207}"/>
            </a:ext>
          </a:extLst>
        </xdr:cNvPr>
        <xdr:cNvSpPr txBox="1">
          <a:spLocks noChangeArrowheads="1"/>
        </xdr:cNvSpPr>
      </xdr:nvSpPr>
      <xdr:spPr bwMode="auto">
        <a:xfrm>
          <a:off x="3994150" y="16236950"/>
          <a:ext cx="1314450" cy="275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210262</xdr:rowOff>
    </xdr:from>
    <xdr:to>
      <xdr:col>5</xdr:col>
      <xdr:colOff>105335</xdr:colOff>
      <xdr:row>106</xdr:row>
      <xdr:rowOff>28038</xdr:rowOff>
    </xdr:to>
    <xdr:sp macro="" textlink="">
      <xdr:nvSpPr>
        <xdr:cNvPr id="376888" name="Text Box 56" hidden="1">
          <a:extLst>
            <a:ext uri="{FF2B5EF4-FFF2-40B4-BE49-F238E27FC236}">
              <a16:creationId xmlns:a16="http://schemas.microsoft.com/office/drawing/2014/main" id="{75328656-1A7E-F78F-A4C4-DE6AF6828F3E}"/>
            </a:ext>
          </a:extLst>
        </xdr:cNvPr>
        <xdr:cNvSpPr txBox="1">
          <a:spLocks noChangeArrowheads="1"/>
        </xdr:cNvSpPr>
      </xdr:nvSpPr>
      <xdr:spPr bwMode="auto">
        <a:xfrm>
          <a:off x="3994150" y="20624800"/>
          <a:ext cx="1314450" cy="200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197854</xdr:rowOff>
    </xdr:from>
    <xdr:to>
      <xdr:col>5</xdr:col>
      <xdr:colOff>105335</xdr:colOff>
      <xdr:row>103</xdr:row>
      <xdr:rowOff>69457</xdr:rowOff>
    </xdr:to>
    <xdr:sp macro="" textlink="">
      <xdr:nvSpPr>
        <xdr:cNvPr id="376887" name="Text Box 55" hidden="1">
          <a:extLst>
            <a:ext uri="{FF2B5EF4-FFF2-40B4-BE49-F238E27FC236}">
              <a16:creationId xmlns:a16="http://schemas.microsoft.com/office/drawing/2014/main" id="{F0FB9549-4BE4-C187-711B-6521EDD5D938}"/>
            </a:ext>
          </a:extLst>
        </xdr:cNvPr>
        <xdr:cNvSpPr txBox="1">
          <a:spLocks noChangeArrowheads="1"/>
        </xdr:cNvSpPr>
      </xdr:nvSpPr>
      <xdr:spPr bwMode="auto">
        <a:xfrm>
          <a:off x="3994150" y="20866100"/>
          <a:ext cx="1314450" cy="125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142127</xdr:rowOff>
    </xdr:from>
    <xdr:to>
      <xdr:col>5</xdr:col>
      <xdr:colOff>105335</xdr:colOff>
      <xdr:row>103</xdr:row>
      <xdr:rowOff>69457</xdr:rowOff>
    </xdr:to>
    <xdr:sp macro="" textlink="">
      <xdr:nvSpPr>
        <xdr:cNvPr id="376886" name="Text Box 54" hidden="1">
          <a:extLst>
            <a:ext uri="{FF2B5EF4-FFF2-40B4-BE49-F238E27FC236}">
              <a16:creationId xmlns:a16="http://schemas.microsoft.com/office/drawing/2014/main" id="{70CCDB1A-C036-F055-879E-BA9568DB70CB}"/>
            </a:ext>
          </a:extLst>
        </xdr:cNvPr>
        <xdr:cNvSpPr txBox="1">
          <a:spLocks noChangeArrowheads="1"/>
        </xdr:cNvSpPr>
      </xdr:nvSpPr>
      <xdr:spPr bwMode="auto">
        <a:xfrm>
          <a:off x="3994150" y="21050250"/>
          <a:ext cx="1314450" cy="107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104027</xdr:rowOff>
    </xdr:from>
    <xdr:to>
      <xdr:col>5</xdr:col>
      <xdr:colOff>105335</xdr:colOff>
      <xdr:row>103</xdr:row>
      <xdr:rowOff>69457</xdr:rowOff>
    </xdr:to>
    <xdr:sp macro="" textlink="">
      <xdr:nvSpPr>
        <xdr:cNvPr id="376885" name="Text Box 53" hidden="1">
          <a:extLst>
            <a:ext uri="{FF2B5EF4-FFF2-40B4-BE49-F238E27FC236}">
              <a16:creationId xmlns:a16="http://schemas.microsoft.com/office/drawing/2014/main" id="{19F8ECB3-80CA-FFF8-A6A7-119452F996C6}"/>
            </a:ext>
          </a:extLst>
        </xdr:cNvPr>
        <xdr:cNvSpPr txBox="1">
          <a:spLocks noChangeArrowheads="1"/>
        </xdr:cNvSpPr>
      </xdr:nvSpPr>
      <xdr:spPr bwMode="auto">
        <a:xfrm>
          <a:off x="3994150" y="21012150"/>
          <a:ext cx="1314450" cy="111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121</xdr:row>
      <xdr:rowOff>12672</xdr:rowOff>
    </xdr:from>
    <xdr:to>
      <xdr:col>21</xdr:col>
      <xdr:colOff>257697</xdr:colOff>
      <xdr:row>125</xdr:row>
      <xdr:rowOff>29898</xdr:rowOff>
    </xdr:to>
    <xdr:sp macro="" textlink="">
      <xdr:nvSpPr>
        <xdr:cNvPr id="376884" name="Text Box 52" hidden="1">
          <a:extLst>
            <a:ext uri="{FF2B5EF4-FFF2-40B4-BE49-F238E27FC236}">
              <a16:creationId xmlns:a16="http://schemas.microsoft.com/office/drawing/2014/main" id="{D9A0F09F-0450-6840-88EE-560D6F895059}"/>
            </a:ext>
          </a:extLst>
        </xdr:cNvPr>
        <xdr:cNvSpPr txBox="1">
          <a:spLocks noChangeArrowheads="1"/>
        </xdr:cNvSpPr>
      </xdr:nvSpPr>
      <xdr:spPr bwMode="auto">
        <a:xfrm>
          <a:off x="17513300" y="254444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76200</xdr:rowOff>
    </xdr:to>
    <xdr:sp macro="" textlink="">
      <xdr:nvSpPr>
        <xdr:cNvPr id="376883" name="Text Box 51" hidden="1">
          <a:extLst>
            <a:ext uri="{FF2B5EF4-FFF2-40B4-BE49-F238E27FC236}">
              <a16:creationId xmlns:a16="http://schemas.microsoft.com/office/drawing/2014/main" id="{F1FF0681-B4CA-3E65-08FE-7FF70AC04DA7}"/>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23</xdr:row>
      <xdr:rowOff>95250</xdr:rowOff>
    </xdr:from>
    <xdr:to>
      <xdr:col>22</xdr:col>
      <xdr:colOff>429146</xdr:colOff>
      <xdr:row>29</xdr:row>
      <xdr:rowOff>76200</xdr:rowOff>
    </xdr:to>
    <xdr:sp macro="" textlink="">
      <xdr:nvSpPr>
        <xdr:cNvPr id="376882" name="Text Box 50" hidden="1">
          <a:extLst>
            <a:ext uri="{FF2B5EF4-FFF2-40B4-BE49-F238E27FC236}">
              <a16:creationId xmlns:a16="http://schemas.microsoft.com/office/drawing/2014/main" id="{FE6A8E8C-19C2-D4FF-3A5F-42B6D53ECA5A}"/>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125</xdr:row>
      <xdr:rowOff>29898</xdr:rowOff>
    </xdr:from>
    <xdr:to>
      <xdr:col>22</xdr:col>
      <xdr:colOff>429146</xdr:colOff>
      <xdr:row>129</xdr:row>
      <xdr:rowOff>10848</xdr:rowOff>
    </xdr:to>
    <xdr:sp macro="" textlink="">
      <xdr:nvSpPr>
        <xdr:cNvPr id="376881" name="Text Box 49" hidden="1">
          <a:extLst>
            <a:ext uri="{FF2B5EF4-FFF2-40B4-BE49-F238E27FC236}">
              <a16:creationId xmlns:a16="http://schemas.microsoft.com/office/drawing/2014/main" id="{3F799C1D-6D96-3E08-D393-724D1842401F}"/>
            </a:ext>
          </a:extLst>
        </xdr:cNvPr>
        <xdr:cNvSpPr txBox="1">
          <a:spLocks noChangeArrowheads="1"/>
        </xdr:cNvSpPr>
      </xdr:nvSpPr>
      <xdr:spPr bwMode="auto">
        <a:xfrm>
          <a:off x="18332450" y="262001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33</xdr:row>
      <xdr:rowOff>95250</xdr:rowOff>
    </xdr:from>
    <xdr:to>
      <xdr:col>11</xdr:col>
      <xdr:colOff>636501</xdr:colOff>
      <xdr:row>38</xdr:row>
      <xdr:rowOff>19050</xdr:rowOff>
    </xdr:to>
    <xdr:sp macro="" textlink="">
      <xdr:nvSpPr>
        <xdr:cNvPr id="376880" name="Text Box 48" hidden="1">
          <a:extLst>
            <a:ext uri="{FF2B5EF4-FFF2-40B4-BE49-F238E27FC236}">
              <a16:creationId xmlns:a16="http://schemas.microsoft.com/office/drawing/2014/main" id="{E77D9521-44ED-CFB2-27B3-B8D88151C5C4}"/>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171450</xdr:rowOff>
    </xdr:to>
    <xdr:sp macro="" textlink="">
      <xdr:nvSpPr>
        <xdr:cNvPr id="376879" name="Text Box 47" hidden="1">
          <a:extLst>
            <a:ext uri="{FF2B5EF4-FFF2-40B4-BE49-F238E27FC236}">
              <a16:creationId xmlns:a16="http://schemas.microsoft.com/office/drawing/2014/main" id="{E93BDD93-773E-6A8A-4AF7-4B80D6F8C633}"/>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467247</xdr:colOff>
      <xdr:row>29</xdr:row>
      <xdr:rowOff>152400</xdr:rowOff>
    </xdr:to>
    <xdr:sp macro="" textlink="">
      <xdr:nvSpPr>
        <xdr:cNvPr id="376878" name="Text Box 46" hidden="1">
          <a:extLst>
            <a:ext uri="{FF2B5EF4-FFF2-40B4-BE49-F238E27FC236}">
              <a16:creationId xmlns:a16="http://schemas.microsoft.com/office/drawing/2014/main" id="{2CBAD194-42F9-E920-7D2F-8DA4192D54C4}"/>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125</xdr:row>
      <xdr:rowOff>29898</xdr:rowOff>
    </xdr:from>
    <xdr:to>
      <xdr:col>24</xdr:col>
      <xdr:colOff>467247</xdr:colOff>
      <xdr:row>129</xdr:row>
      <xdr:rowOff>106098</xdr:rowOff>
    </xdr:to>
    <xdr:sp macro="" textlink="">
      <xdr:nvSpPr>
        <xdr:cNvPr id="376877" name="Text Box 45" hidden="1">
          <a:extLst>
            <a:ext uri="{FF2B5EF4-FFF2-40B4-BE49-F238E27FC236}">
              <a16:creationId xmlns:a16="http://schemas.microsoft.com/office/drawing/2014/main" id="{5E3DEC50-B549-50CB-6E94-E71492AE9E1F}"/>
            </a:ext>
          </a:extLst>
        </xdr:cNvPr>
        <xdr:cNvSpPr txBox="1">
          <a:spLocks noChangeArrowheads="1"/>
        </xdr:cNvSpPr>
      </xdr:nvSpPr>
      <xdr:spPr bwMode="auto">
        <a:xfrm>
          <a:off x="20027900" y="262001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25</xdr:col>
      <xdr:colOff>467247</xdr:colOff>
      <xdr:row>18</xdr:row>
      <xdr:rowOff>133350</xdr:rowOff>
    </xdr:to>
    <xdr:sp macro="" textlink="">
      <xdr:nvSpPr>
        <xdr:cNvPr id="376876" name="Text Box 44" hidden="1">
          <a:extLst>
            <a:ext uri="{FF2B5EF4-FFF2-40B4-BE49-F238E27FC236}">
              <a16:creationId xmlns:a16="http://schemas.microsoft.com/office/drawing/2014/main" id="{B37EA2C3-326C-B7AB-2699-257073505B98}"/>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25</xdr:col>
      <xdr:colOff>467247</xdr:colOff>
      <xdr:row>29</xdr:row>
      <xdr:rowOff>95250</xdr:rowOff>
    </xdr:to>
    <xdr:sp macro="" textlink="">
      <xdr:nvSpPr>
        <xdr:cNvPr id="376875" name="Text Box 43" hidden="1">
          <a:extLst>
            <a:ext uri="{FF2B5EF4-FFF2-40B4-BE49-F238E27FC236}">
              <a16:creationId xmlns:a16="http://schemas.microsoft.com/office/drawing/2014/main" id="{2DA0C7F5-2725-A208-B69A-226B2908361B}"/>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125</xdr:row>
      <xdr:rowOff>67998</xdr:rowOff>
    </xdr:from>
    <xdr:to>
      <xdr:col>25</xdr:col>
      <xdr:colOff>467247</xdr:colOff>
      <xdr:row>129</xdr:row>
      <xdr:rowOff>106098</xdr:rowOff>
    </xdr:to>
    <xdr:sp macro="" textlink="">
      <xdr:nvSpPr>
        <xdr:cNvPr id="376874" name="Text Box 42" hidden="1">
          <a:extLst>
            <a:ext uri="{FF2B5EF4-FFF2-40B4-BE49-F238E27FC236}">
              <a16:creationId xmlns:a16="http://schemas.microsoft.com/office/drawing/2014/main" id="{B25801DF-3F28-69C5-4962-3287471AFC73}"/>
            </a:ext>
          </a:extLst>
        </xdr:cNvPr>
        <xdr:cNvSpPr txBox="1">
          <a:spLocks noChangeArrowheads="1"/>
        </xdr:cNvSpPr>
      </xdr:nvSpPr>
      <xdr:spPr bwMode="auto">
        <a:xfrm>
          <a:off x="20789900" y="262382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37</xdr:row>
      <xdr:rowOff>76200</xdr:rowOff>
    </xdr:from>
    <xdr:to>
      <xdr:col>11</xdr:col>
      <xdr:colOff>712701</xdr:colOff>
      <xdr:row>41</xdr:row>
      <xdr:rowOff>95250</xdr:rowOff>
    </xdr:to>
    <xdr:sp macro="" textlink="">
      <xdr:nvSpPr>
        <xdr:cNvPr id="376873" name="Text Box 41" hidden="1">
          <a:extLst>
            <a:ext uri="{FF2B5EF4-FFF2-40B4-BE49-F238E27FC236}">
              <a16:creationId xmlns:a16="http://schemas.microsoft.com/office/drawing/2014/main" id="{6FA56BEA-3A16-B934-A2B0-C06F0A7D7B53}"/>
            </a:ext>
          </a:extLst>
        </xdr:cNvPr>
        <xdr:cNvSpPr txBox="1">
          <a:spLocks noChangeArrowheads="1"/>
        </xdr:cNvSpPr>
      </xdr:nvSpPr>
      <xdr:spPr bwMode="auto">
        <a:xfrm>
          <a:off x="9398000" y="81216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37</xdr:row>
      <xdr:rowOff>76200</xdr:rowOff>
    </xdr:from>
    <xdr:to>
      <xdr:col>13</xdr:col>
      <xdr:colOff>504800</xdr:colOff>
      <xdr:row>41</xdr:row>
      <xdr:rowOff>95250</xdr:rowOff>
    </xdr:to>
    <xdr:sp macro="" textlink="">
      <xdr:nvSpPr>
        <xdr:cNvPr id="376872" name="Text Box 40" hidden="1">
          <a:extLst>
            <a:ext uri="{FF2B5EF4-FFF2-40B4-BE49-F238E27FC236}">
              <a16:creationId xmlns:a16="http://schemas.microsoft.com/office/drawing/2014/main" id="{0FFCC677-D171-57FD-8064-CBBE3EDD7ABB}"/>
            </a:ext>
          </a:extLst>
        </xdr:cNvPr>
        <xdr:cNvSpPr txBox="1">
          <a:spLocks noChangeArrowheads="1"/>
        </xdr:cNvSpPr>
      </xdr:nvSpPr>
      <xdr:spPr bwMode="auto">
        <a:xfrm>
          <a:off x="11125200" y="81216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521494</xdr:rowOff>
    </xdr:from>
    <xdr:to>
      <xdr:col>30</xdr:col>
      <xdr:colOff>439039</xdr:colOff>
      <xdr:row>27</xdr:row>
      <xdr:rowOff>57150</xdr:rowOff>
    </xdr:to>
    <xdr:sp macro="" textlink="">
      <xdr:nvSpPr>
        <xdr:cNvPr id="376871" name="Text Box 39" hidden="1">
          <a:extLst>
            <a:ext uri="{FF2B5EF4-FFF2-40B4-BE49-F238E27FC236}">
              <a16:creationId xmlns:a16="http://schemas.microsoft.com/office/drawing/2014/main" id="{8E65DAC2-52BC-CDB6-C18F-7054AB00C363}"/>
            </a:ext>
          </a:extLst>
        </xdr:cNvPr>
        <xdr:cNvSpPr txBox="1">
          <a:spLocks noChangeArrowheads="1"/>
        </xdr:cNvSpPr>
      </xdr:nvSpPr>
      <xdr:spPr bwMode="auto">
        <a:xfrm>
          <a:off x="24599900" y="4914900"/>
          <a:ext cx="1314450" cy="134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95250</xdr:rowOff>
    </xdr:from>
    <xdr:to>
      <xdr:col>27</xdr:col>
      <xdr:colOff>467246</xdr:colOff>
      <xdr:row>28</xdr:row>
      <xdr:rowOff>2974</xdr:rowOff>
    </xdr:to>
    <xdr:sp macro="" textlink="">
      <xdr:nvSpPr>
        <xdr:cNvPr id="376870" name="Text Box 38" hidden="1">
          <a:extLst>
            <a:ext uri="{FF2B5EF4-FFF2-40B4-BE49-F238E27FC236}">
              <a16:creationId xmlns:a16="http://schemas.microsoft.com/office/drawing/2014/main" id="{C3C99520-2DB9-F5EA-4968-47B97E3BE243}"/>
            </a:ext>
          </a:extLst>
        </xdr:cNvPr>
        <xdr:cNvSpPr txBox="1">
          <a:spLocks noChangeArrowheads="1"/>
        </xdr:cNvSpPr>
      </xdr:nvSpPr>
      <xdr:spPr bwMode="auto">
        <a:xfrm>
          <a:off x="22313900" y="55626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54</xdr:row>
      <xdr:rowOff>125786</xdr:rowOff>
    </xdr:from>
    <xdr:to>
      <xdr:col>14</xdr:col>
      <xdr:colOff>362839</xdr:colOff>
      <xdr:row>56</xdr:row>
      <xdr:rowOff>6951</xdr:rowOff>
    </xdr:to>
    <xdr:sp macro="" textlink="">
      <xdr:nvSpPr>
        <xdr:cNvPr id="376907" name="Text Box 75" hidden="1">
          <a:extLst>
            <a:ext uri="{FF2B5EF4-FFF2-40B4-BE49-F238E27FC236}">
              <a16:creationId xmlns:a16="http://schemas.microsoft.com/office/drawing/2014/main" id="{8FC89825-020C-AD3B-CC63-37F557206705}"/>
            </a:ext>
          </a:extLst>
        </xdr:cNvPr>
        <xdr:cNvSpPr txBox="1">
          <a:spLocks noChangeArrowheads="1"/>
        </xdr:cNvSpPr>
      </xdr:nvSpPr>
      <xdr:spPr bwMode="auto">
        <a:xfrm>
          <a:off x="11957050" y="11658600"/>
          <a:ext cx="1416050" cy="679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57</xdr:row>
      <xdr:rowOff>35144</xdr:rowOff>
    </xdr:from>
    <xdr:to>
      <xdr:col>14</xdr:col>
      <xdr:colOff>447650</xdr:colOff>
      <xdr:row>60</xdr:row>
      <xdr:rowOff>163420</xdr:rowOff>
    </xdr:to>
    <xdr:sp macro="" textlink="">
      <xdr:nvSpPr>
        <xdr:cNvPr id="376910" name="Text Box 78" hidden="1">
          <a:extLst>
            <a:ext uri="{FF2B5EF4-FFF2-40B4-BE49-F238E27FC236}">
              <a16:creationId xmlns:a16="http://schemas.microsoft.com/office/drawing/2014/main" id="{CBBFCE7B-6E42-0700-99E9-0C52587E52D5}"/>
            </a:ext>
          </a:extLst>
        </xdr:cNvPr>
        <xdr:cNvSpPr txBox="1">
          <a:spLocks noChangeArrowheads="1"/>
        </xdr:cNvSpPr>
      </xdr:nvSpPr>
      <xdr:spPr bwMode="auto">
        <a:xfrm>
          <a:off x="11995150" y="12763500"/>
          <a:ext cx="14160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37</xdr:row>
      <xdr:rowOff>76200</xdr:rowOff>
    </xdr:from>
    <xdr:to>
      <xdr:col>14</xdr:col>
      <xdr:colOff>447650</xdr:colOff>
      <xdr:row>41</xdr:row>
      <xdr:rowOff>95250</xdr:rowOff>
    </xdr:to>
    <xdr:sp macro="" textlink="">
      <xdr:nvSpPr>
        <xdr:cNvPr id="376913" name="Text Box 81" hidden="1">
          <a:extLst>
            <a:ext uri="{FF2B5EF4-FFF2-40B4-BE49-F238E27FC236}">
              <a16:creationId xmlns:a16="http://schemas.microsoft.com/office/drawing/2014/main" id="{76EE71BA-DE5E-0A08-1508-D522AC20302D}"/>
            </a:ext>
          </a:extLst>
        </xdr:cNvPr>
        <xdr:cNvSpPr txBox="1">
          <a:spLocks noChangeArrowheads="1"/>
        </xdr:cNvSpPr>
      </xdr:nvSpPr>
      <xdr:spPr bwMode="auto">
        <a:xfrm>
          <a:off x="11995150" y="81216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55</xdr:row>
      <xdr:rowOff>283771</xdr:rowOff>
    </xdr:from>
    <xdr:to>
      <xdr:col>5</xdr:col>
      <xdr:colOff>297329</xdr:colOff>
      <xdr:row>58</xdr:row>
      <xdr:rowOff>10301</xdr:rowOff>
    </xdr:to>
    <xdr:sp macro="" textlink="">
      <xdr:nvSpPr>
        <xdr:cNvPr id="376914" name="Text Box 82" hidden="1">
          <a:extLst>
            <a:ext uri="{FF2B5EF4-FFF2-40B4-BE49-F238E27FC236}">
              <a16:creationId xmlns:a16="http://schemas.microsoft.com/office/drawing/2014/main" id="{05F8CDFF-F661-6114-51D5-31168286F391}"/>
            </a:ext>
          </a:extLst>
        </xdr:cNvPr>
        <xdr:cNvSpPr txBox="1">
          <a:spLocks noChangeArrowheads="1"/>
        </xdr:cNvSpPr>
      </xdr:nvSpPr>
      <xdr:spPr bwMode="auto">
        <a:xfrm>
          <a:off x="4057650" y="122110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95250</xdr:rowOff>
    </xdr:from>
    <xdr:to>
      <xdr:col>18</xdr:col>
      <xdr:colOff>229489</xdr:colOff>
      <xdr:row>10</xdr:row>
      <xdr:rowOff>152400</xdr:rowOff>
    </xdr:to>
    <xdr:sp macro="" textlink="">
      <xdr:nvSpPr>
        <xdr:cNvPr id="376947" name="Text Box 115" hidden="1">
          <a:extLst>
            <a:ext uri="{FF2B5EF4-FFF2-40B4-BE49-F238E27FC236}">
              <a16:creationId xmlns:a16="http://schemas.microsoft.com/office/drawing/2014/main" id="{3A650873-FB51-911C-D776-E2B221D52AD7}"/>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30536</xdr:rowOff>
    </xdr:from>
    <xdr:to>
      <xdr:col>5</xdr:col>
      <xdr:colOff>105335</xdr:colOff>
      <xdr:row>54</xdr:row>
      <xdr:rowOff>30536</xdr:rowOff>
    </xdr:to>
    <xdr:sp macro="" textlink="">
      <xdr:nvSpPr>
        <xdr:cNvPr id="376946" name="Text Box 114" hidden="1">
          <a:extLst>
            <a:ext uri="{FF2B5EF4-FFF2-40B4-BE49-F238E27FC236}">
              <a16:creationId xmlns:a16="http://schemas.microsoft.com/office/drawing/2014/main" id="{BF6DCAE5-D00D-F81A-252C-79DAC827998A}"/>
            </a:ext>
          </a:extLst>
        </xdr:cNvPr>
        <xdr:cNvSpPr txBox="1">
          <a:spLocks noChangeArrowheads="1"/>
        </xdr:cNvSpPr>
      </xdr:nvSpPr>
      <xdr:spPr bwMode="auto">
        <a:xfrm>
          <a:off x="3994150" y="115633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68636</xdr:rowOff>
    </xdr:from>
    <xdr:to>
      <xdr:col>5</xdr:col>
      <xdr:colOff>124385</xdr:colOff>
      <xdr:row>75</xdr:row>
      <xdr:rowOff>124309</xdr:rowOff>
    </xdr:to>
    <xdr:sp macro="" textlink="">
      <xdr:nvSpPr>
        <xdr:cNvPr id="376945" name="Text Box 113" hidden="1">
          <a:extLst>
            <a:ext uri="{FF2B5EF4-FFF2-40B4-BE49-F238E27FC236}">
              <a16:creationId xmlns:a16="http://schemas.microsoft.com/office/drawing/2014/main" id="{5CE0BDA9-5ED6-E859-E81E-7F29EEAEB71F}"/>
            </a:ext>
          </a:extLst>
        </xdr:cNvPr>
        <xdr:cNvSpPr txBox="1">
          <a:spLocks noChangeArrowheads="1"/>
        </xdr:cNvSpPr>
      </xdr:nvSpPr>
      <xdr:spPr bwMode="auto">
        <a:xfrm>
          <a:off x="4013200" y="11601450"/>
          <a:ext cx="1314450" cy="499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30536</xdr:rowOff>
    </xdr:from>
    <xdr:to>
      <xdr:col>5</xdr:col>
      <xdr:colOff>105335</xdr:colOff>
      <xdr:row>74</xdr:row>
      <xdr:rowOff>66684</xdr:rowOff>
    </xdr:to>
    <xdr:sp macro="" textlink="">
      <xdr:nvSpPr>
        <xdr:cNvPr id="376944" name="Text Box 112" hidden="1">
          <a:extLst>
            <a:ext uri="{FF2B5EF4-FFF2-40B4-BE49-F238E27FC236}">
              <a16:creationId xmlns:a16="http://schemas.microsoft.com/office/drawing/2014/main" id="{45097DC3-0A15-7225-6897-4BB2FD5F2316}"/>
            </a:ext>
          </a:extLst>
        </xdr:cNvPr>
        <xdr:cNvSpPr txBox="1">
          <a:spLocks noChangeArrowheads="1"/>
        </xdr:cNvSpPr>
      </xdr:nvSpPr>
      <xdr:spPr bwMode="auto">
        <a:xfrm>
          <a:off x="3994150" y="11563350"/>
          <a:ext cx="1314450" cy="476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30536</xdr:rowOff>
    </xdr:from>
    <xdr:to>
      <xdr:col>5</xdr:col>
      <xdr:colOff>105335</xdr:colOff>
      <xdr:row>74</xdr:row>
      <xdr:rowOff>104784</xdr:rowOff>
    </xdr:to>
    <xdr:sp macro="" textlink="">
      <xdr:nvSpPr>
        <xdr:cNvPr id="376943" name="Text Box 111" hidden="1">
          <a:extLst>
            <a:ext uri="{FF2B5EF4-FFF2-40B4-BE49-F238E27FC236}">
              <a16:creationId xmlns:a16="http://schemas.microsoft.com/office/drawing/2014/main" id="{0F825A8F-13BA-FF36-DE18-403413837D04}"/>
            </a:ext>
          </a:extLst>
        </xdr:cNvPr>
        <xdr:cNvSpPr txBox="1">
          <a:spLocks noChangeArrowheads="1"/>
        </xdr:cNvSpPr>
      </xdr:nvSpPr>
      <xdr:spPr bwMode="auto">
        <a:xfrm>
          <a:off x="3994150" y="11563350"/>
          <a:ext cx="131445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104702</xdr:rowOff>
    </xdr:from>
    <xdr:to>
      <xdr:col>5</xdr:col>
      <xdr:colOff>105335</xdr:colOff>
      <xdr:row>77</xdr:row>
      <xdr:rowOff>143906</xdr:rowOff>
    </xdr:to>
    <xdr:sp macro="" textlink="">
      <xdr:nvSpPr>
        <xdr:cNvPr id="376942" name="Text Box 110" hidden="1">
          <a:extLst>
            <a:ext uri="{FF2B5EF4-FFF2-40B4-BE49-F238E27FC236}">
              <a16:creationId xmlns:a16="http://schemas.microsoft.com/office/drawing/2014/main" id="{DFACE48E-766F-B019-D336-6D53A01A4EDB}"/>
            </a:ext>
          </a:extLst>
        </xdr:cNvPr>
        <xdr:cNvSpPr txBox="1">
          <a:spLocks noChangeArrowheads="1"/>
        </xdr:cNvSpPr>
      </xdr:nvSpPr>
      <xdr:spPr bwMode="auto">
        <a:xfrm>
          <a:off x="3994150" y="12858750"/>
          <a:ext cx="131445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126426</xdr:rowOff>
    </xdr:from>
    <xdr:to>
      <xdr:col>5</xdr:col>
      <xdr:colOff>105335</xdr:colOff>
      <xdr:row>86</xdr:row>
      <xdr:rowOff>30262</xdr:rowOff>
    </xdr:to>
    <xdr:sp macro="" textlink="">
      <xdr:nvSpPr>
        <xdr:cNvPr id="376941" name="Text Box 109" hidden="1">
          <a:extLst>
            <a:ext uri="{FF2B5EF4-FFF2-40B4-BE49-F238E27FC236}">
              <a16:creationId xmlns:a16="http://schemas.microsoft.com/office/drawing/2014/main" id="{7ED4EDBE-CEEF-8ABF-C0CF-A0011B255DA9}"/>
            </a:ext>
          </a:extLst>
        </xdr:cNvPr>
        <xdr:cNvSpPr txBox="1">
          <a:spLocks noChangeArrowheads="1"/>
        </xdr:cNvSpPr>
      </xdr:nvSpPr>
      <xdr:spPr bwMode="auto">
        <a:xfrm>
          <a:off x="3994150" y="15830550"/>
          <a:ext cx="1314450" cy="290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27593</xdr:rowOff>
    </xdr:from>
    <xdr:to>
      <xdr:col>5</xdr:col>
      <xdr:colOff>105335</xdr:colOff>
      <xdr:row>85</xdr:row>
      <xdr:rowOff>30262</xdr:rowOff>
    </xdr:to>
    <xdr:sp macro="" textlink="">
      <xdr:nvSpPr>
        <xdr:cNvPr id="376940" name="Text Box 108" hidden="1">
          <a:extLst>
            <a:ext uri="{FF2B5EF4-FFF2-40B4-BE49-F238E27FC236}">
              <a16:creationId xmlns:a16="http://schemas.microsoft.com/office/drawing/2014/main" id="{3696872A-1017-C289-375A-2A9CB62D3C5E}"/>
            </a:ext>
          </a:extLst>
        </xdr:cNvPr>
        <xdr:cNvSpPr txBox="1">
          <a:spLocks noChangeArrowheads="1"/>
        </xdr:cNvSpPr>
      </xdr:nvSpPr>
      <xdr:spPr bwMode="auto">
        <a:xfrm>
          <a:off x="3994150" y="1593850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145247</xdr:rowOff>
    </xdr:from>
    <xdr:to>
      <xdr:col>5</xdr:col>
      <xdr:colOff>105335</xdr:colOff>
      <xdr:row>85</xdr:row>
      <xdr:rowOff>106462</xdr:rowOff>
    </xdr:to>
    <xdr:sp macro="" textlink="">
      <xdr:nvSpPr>
        <xdr:cNvPr id="376939" name="Text Box 107" hidden="1">
          <a:extLst>
            <a:ext uri="{FF2B5EF4-FFF2-40B4-BE49-F238E27FC236}">
              <a16:creationId xmlns:a16="http://schemas.microsoft.com/office/drawing/2014/main" id="{2BEE84AB-C5F0-B24E-A0F7-7DB75E2263CD}"/>
            </a:ext>
          </a:extLst>
        </xdr:cNvPr>
        <xdr:cNvSpPr txBox="1">
          <a:spLocks noChangeArrowheads="1"/>
        </xdr:cNvSpPr>
      </xdr:nvSpPr>
      <xdr:spPr bwMode="auto">
        <a:xfrm>
          <a:off x="3994150" y="16052800"/>
          <a:ext cx="1314450" cy="257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151013</xdr:rowOff>
    </xdr:from>
    <xdr:to>
      <xdr:col>5</xdr:col>
      <xdr:colOff>105335</xdr:colOff>
      <xdr:row>87</xdr:row>
      <xdr:rowOff>106463</xdr:rowOff>
    </xdr:to>
    <xdr:sp macro="" textlink="">
      <xdr:nvSpPr>
        <xdr:cNvPr id="376938" name="Text Box 106" hidden="1">
          <a:extLst>
            <a:ext uri="{FF2B5EF4-FFF2-40B4-BE49-F238E27FC236}">
              <a16:creationId xmlns:a16="http://schemas.microsoft.com/office/drawing/2014/main" id="{2963FAAA-9C77-E027-EC27-8C5D09DDFFA6}"/>
            </a:ext>
          </a:extLst>
        </xdr:cNvPr>
        <xdr:cNvSpPr txBox="1">
          <a:spLocks noChangeArrowheads="1"/>
        </xdr:cNvSpPr>
      </xdr:nvSpPr>
      <xdr:spPr bwMode="auto">
        <a:xfrm>
          <a:off x="3994150" y="16236950"/>
          <a:ext cx="1314450" cy="275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210262</xdr:rowOff>
    </xdr:from>
    <xdr:to>
      <xdr:col>5</xdr:col>
      <xdr:colOff>105335</xdr:colOff>
      <xdr:row>106</xdr:row>
      <xdr:rowOff>28038</xdr:rowOff>
    </xdr:to>
    <xdr:sp macro="" textlink="">
      <xdr:nvSpPr>
        <xdr:cNvPr id="376937" name="Text Box 105" hidden="1">
          <a:extLst>
            <a:ext uri="{FF2B5EF4-FFF2-40B4-BE49-F238E27FC236}">
              <a16:creationId xmlns:a16="http://schemas.microsoft.com/office/drawing/2014/main" id="{E3D64EA8-287F-73B2-63EE-842CA030549F}"/>
            </a:ext>
          </a:extLst>
        </xdr:cNvPr>
        <xdr:cNvSpPr txBox="1">
          <a:spLocks noChangeArrowheads="1"/>
        </xdr:cNvSpPr>
      </xdr:nvSpPr>
      <xdr:spPr bwMode="auto">
        <a:xfrm>
          <a:off x="3994150" y="20624800"/>
          <a:ext cx="1314450" cy="200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197854</xdr:rowOff>
    </xdr:from>
    <xdr:to>
      <xdr:col>5</xdr:col>
      <xdr:colOff>105335</xdr:colOff>
      <xdr:row>103</xdr:row>
      <xdr:rowOff>88507</xdr:rowOff>
    </xdr:to>
    <xdr:sp macro="" textlink="">
      <xdr:nvSpPr>
        <xdr:cNvPr id="376936" name="Text Box 104" hidden="1">
          <a:extLst>
            <a:ext uri="{FF2B5EF4-FFF2-40B4-BE49-F238E27FC236}">
              <a16:creationId xmlns:a16="http://schemas.microsoft.com/office/drawing/2014/main" id="{BA515E52-06AA-0ACF-FDD3-36B607F29FCE}"/>
            </a:ext>
          </a:extLst>
        </xdr:cNvPr>
        <xdr:cNvSpPr txBox="1">
          <a:spLocks noChangeArrowheads="1"/>
        </xdr:cNvSpPr>
      </xdr:nvSpPr>
      <xdr:spPr bwMode="auto">
        <a:xfrm>
          <a:off x="3994150" y="208661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142127</xdr:rowOff>
    </xdr:from>
    <xdr:to>
      <xdr:col>5</xdr:col>
      <xdr:colOff>105335</xdr:colOff>
      <xdr:row>103</xdr:row>
      <xdr:rowOff>88507</xdr:rowOff>
    </xdr:to>
    <xdr:sp macro="" textlink="">
      <xdr:nvSpPr>
        <xdr:cNvPr id="376935" name="Text Box 103" hidden="1">
          <a:extLst>
            <a:ext uri="{FF2B5EF4-FFF2-40B4-BE49-F238E27FC236}">
              <a16:creationId xmlns:a16="http://schemas.microsoft.com/office/drawing/2014/main" id="{CF4F60E8-CB90-3D6D-78A8-7A8EAE6CBB07}"/>
            </a:ext>
          </a:extLst>
        </xdr:cNvPr>
        <xdr:cNvSpPr txBox="1">
          <a:spLocks noChangeArrowheads="1"/>
        </xdr:cNvSpPr>
      </xdr:nvSpPr>
      <xdr:spPr bwMode="auto">
        <a:xfrm>
          <a:off x="3994150" y="2105025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104027</xdr:rowOff>
    </xdr:from>
    <xdr:to>
      <xdr:col>5</xdr:col>
      <xdr:colOff>105335</xdr:colOff>
      <xdr:row>103</xdr:row>
      <xdr:rowOff>88507</xdr:rowOff>
    </xdr:to>
    <xdr:sp macro="" textlink="">
      <xdr:nvSpPr>
        <xdr:cNvPr id="376934" name="Text Box 102" hidden="1">
          <a:extLst>
            <a:ext uri="{FF2B5EF4-FFF2-40B4-BE49-F238E27FC236}">
              <a16:creationId xmlns:a16="http://schemas.microsoft.com/office/drawing/2014/main" id="{B7C1BDC3-50D6-4742-CC2A-2DADB9A08B1E}"/>
            </a:ext>
          </a:extLst>
        </xdr:cNvPr>
        <xdr:cNvSpPr txBox="1">
          <a:spLocks noChangeArrowheads="1"/>
        </xdr:cNvSpPr>
      </xdr:nvSpPr>
      <xdr:spPr bwMode="auto">
        <a:xfrm>
          <a:off x="3994150" y="210121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121</xdr:row>
      <xdr:rowOff>12672</xdr:rowOff>
    </xdr:from>
    <xdr:to>
      <xdr:col>21</xdr:col>
      <xdr:colOff>257697</xdr:colOff>
      <xdr:row>125</xdr:row>
      <xdr:rowOff>29898</xdr:rowOff>
    </xdr:to>
    <xdr:sp macro="" textlink="">
      <xdr:nvSpPr>
        <xdr:cNvPr id="376933" name="Text Box 101" hidden="1">
          <a:extLst>
            <a:ext uri="{FF2B5EF4-FFF2-40B4-BE49-F238E27FC236}">
              <a16:creationId xmlns:a16="http://schemas.microsoft.com/office/drawing/2014/main" id="{503CDD37-7640-B9A7-7A70-FE551DDF9BDB}"/>
            </a:ext>
          </a:extLst>
        </xdr:cNvPr>
        <xdr:cNvSpPr txBox="1">
          <a:spLocks noChangeArrowheads="1"/>
        </xdr:cNvSpPr>
      </xdr:nvSpPr>
      <xdr:spPr bwMode="auto">
        <a:xfrm>
          <a:off x="17513300" y="254444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76200</xdr:rowOff>
    </xdr:to>
    <xdr:sp macro="" textlink="">
      <xdr:nvSpPr>
        <xdr:cNvPr id="376932" name="Text Box 100" hidden="1">
          <a:extLst>
            <a:ext uri="{FF2B5EF4-FFF2-40B4-BE49-F238E27FC236}">
              <a16:creationId xmlns:a16="http://schemas.microsoft.com/office/drawing/2014/main" id="{1B2CB7FA-0E80-C509-472D-46700CF9206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23</xdr:row>
      <xdr:rowOff>95250</xdr:rowOff>
    </xdr:from>
    <xdr:to>
      <xdr:col>22</xdr:col>
      <xdr:colOff>429146</xdr:colOff>
      <xdr:row>29</xdr:row>
      <xdr:rowOff>76200</xdr:rowOff>
    </xdr:to>
    <xdr:sp macro="" textlink="">
      <xdr:nvSpPr>
        <xdr:cNvPr id="376931" name="Text Box 99" hidden="1">
          <a:extLst>
            <a:ext uri="{FF2B5EF4-FFF2-40B4-BE49-F238E27FC236}">
              <a16:creationId xmlns:a16="http://schemas.microsoft.com/office/drawing/2014/main" id="{E18FCAF1-30E0-E89F-F4F0-37907961AE07}"/>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125</xdr:row>
      <xdr:rowOff>29898</xdr:rowOff>
    </xdr:from>
    <xdr:to>
      <xdr:col>22</xdr:col>
      <xdr:colOff>429146</xdr:colOff>
      <xdr:row>129</xdr:row>
      <xdr:rowOff>10848</xdr:rowOff>
    </xdr:to>
    <xdr:sp macro="" textlink="">
      <xdr:nvSpPr>
        <xdr:cNvPr id="376930" name="Text Box 98" hidden="1">
          <a:extLst>
            <a:ext uri="{FF2B5EF4-FFF2-40B4-BE49-F238E27FC236}">
              <a16:creationId xmlns:a16="http://schemas.microsoft.com/office/drawing/2014/main" id="{364DBB66-FEA0-8CBA-1D5C-D4FD33F20098}"/>
            </a:ext>
          </a:extLst>
        </xdr:cNvPr>
        <xdr:cNvSpPr txBox="1">
          <a:spLocks noChangeArrowheads="1"/>
        </xdr:cNvSpPr>
      </xdr:nvSpPr>
      <xdr:spPr bwMode="auto">
        <a:xfrm>
          <a:off x="18332450" y="262001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33</xdr:row>
      <xdr:rowOff>95250</xdr:rowOff>
    </xdr:from>
    <xdr:to>
      <xdr:col>11</xdr:col>
      <xdr:colOff>636501</xdr:colOff>
      <xdr:row>38</xdr:row>
      <xdr:rowOff>19050</xdr:rowOff>
    </xdr:to>
    <xdr:sp macro="" textlink="">
      <xdr:nvSpPr>
        <xdr:cNvPr id="376929" name="Text Box 97" hidden="1">
          <a:extLst>
            <a:ext uri="{FF2B5EF4-FFF2-40B4-BE49-F238E27FC236}">
              <a16:creationId xmlns:a16="http://schemas.microsoft.com/office/drawing/2014/main" id="{E785080A-821F-7596-B638-B988BEF9794F}"/>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171450</xdr:rowOff>
    </xdr:to>
    <xdr:sp macro="" textlink="">
      <xdr:nvSpPr>
        <xdr:cNvPr id="376928" name="Text Box 96" hidden="1">
          <a:extLst>
            <a:ext uri="{FF2B5EF4-FFF2-40B4-BE49-F238E27FC236}">
              <a16:creationId xmlns:a16="http://schemas.microsoft.com/office/drawing/2014/main" id="{973717ED-7539-0C75-691A-DC7980A52B75}"/>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467247</xdr:colOff>
      <xdr:row>29</xdr:row>
      <xdr:rowOff>152400</xdr:rowOff>
    </xdr:to>
    <xdr:sp macro="" textlink="">
      <xdr:nvSpPr>
        <xdr:cNvPr id="376927" name="Text Box 95" hidden="1">
          <a:extLst>
            <a:ext uri="{FF2B5EF4-FFF2-40B4-BE49-F238E27FC236}">
              <a16:creationId xmlns:a16="http://schemas.microsoft.com/office/drawing/2014/main" id="{E202CFB6-C41C-94C4-F822-EE4F0DA50609}"/>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125</xdr:row>
      <xdr:rowOff>29898</xdr:rowOff>
    </xdr:from>
    <xdr:to>
      <xdr:col>24</xdr:col>
      <xdr:colOff>467247</xdr:colOff>
      <xdr:row>129</xdr:row>
      <xdr:rowOff>106098</xdr:rowOff>
    </xdr:to>
    <xdr:sp macro="" textlink="">
      <xdr:nvSpPr>
        <xdr:cNvPr id="376926" name="Text Box 94" hidden="1">
          <a:extLst>
            <a:ext uri="{FF2B5EF4-FFF2-40B4-BE49-F238E27FC236}">
              <a16:creationId xmlns:a16="http://schemas.microsoft.com/office/drawing/2014/main" id="{AE4CA1EF-F864-B839-E0B2-D67C780A1852}"/>
            </a:ext>
          </a:extLst>
        </xdr:cNvPr>
        <xdr:cNvSpPr txBox="1">
          <a:spLocks noChangeArrowheads="1"/>
        </xdr:cNvSpPr>
      </xdr:nvSpPr>
      <xdr:spPr bwMode="auto">
        <a:xfrm>
          <a:off x="20027900" y="262001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25</xdr:col>
      <xdr:colOff>467247</xdr:colOff>
      <xdr:row>18</xdr:row>
      <xdr:rowOff>133350</xdr:rowOff>
    </xdr:to>
    <xdr:sp macro="" textlink="">
      <xdr:nvSpPr>
        <xdr:cNvPr id="376925" name="Text Box 93" hidden="1">
          <a:extLst>
            <a:ext uri="{FF2B5EF4-FFF2-40B4-BE49-F238E27FC236}">
              <a16:creationId xmlns:a16="http://schemas.microsoft.com/office/drawing/2014/main" id="{0B0804D4-9293-79DD-C886-ADFE72B15564}"/>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25</xdr:col>
      <xdr:colOff>467247</xdr:colOff>
      <xdr:row>29</xdr:row>
      <xdr:rowOff>95250</xdr:rowOff>
    </xdr:to>
    <xdr:sp macro="" textlink="">
      <xdr:nvSpPr>
        <xdr:cNvPr id="376924" name="Text Box 92" hidden="1">
          <a:extLst>
            <a:ext uri="{FF2B5EF4-FFF2-40B4-BE49-F238E27FC236}">
              <a16:creationId xmlns:a16="http://schemas.microsoft.com/office/drawing/2014/main" id="{E77C36A1-1FF9-E3E2-5CB5-FA0E0A43DD83}"/>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125</xdr:row>
      <xdr:rowOff>67998</xdr:rowOff>
    </xdr:from>
    <xdr:to>
      <xdr:col>25</xdr:col>
      <xdr:colOff>467247</xdr:colOff>
      <xdr:row>129</xdr:row>
      <xdr:rowOff>106098</xdr:rowOff>
    </xdr:to>
    <xdr:sp macro="" textlink="">
      <xdr:nvSpPr>
        <xdr:cNvPr id="376923" name="Text Box 91" hidden="1">
          <a:extLst>
            <a:ext uri="{FF2B5EF4-FFF2-40B4-BE49-F238E27FC236}">
              <a16:creationId xmlns:a16="http://schemas.microsoft.com/office/drawing/2014/main" id="{F988A973-F7B1-9B14-0555-D8F43B060F66}"/>
            </a:ext>
          </a:extLst>
        </xdr:cNvPr>
        <xdr:cNvSpPr txBox="1">
          <a:spLocks noChangeArrowheads="1"/>
        </xdr:cNvSpPr>
      </xdr:nvSpPr>
      <xdr:spPr bwMode="auto">
        <a:xfrm>
          <a:off x="20789900" y="262382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37</xdr:row>
      <xdr:rowOff>76200</xdr:rowOff>
    </xdr:from>
    <xdr:to>
      <xdr:col>11</xdr:col>
      <xdr:colOff>712701</xdr:colOff>
      <xdr:row>41</xdr:row>
      <xdr:rowOff>95250</xdr:rowOff>
    </xdr:to>
    <xdr:sp macro="" textlink="">
      <xdr:nvSpPr>
        <xdr:cNvPr id="376922" name="Text Box 90" hidden="1">
          <a:extLst>
            <a:ext uri="{FF2B5EF4-FFF2-40B4-BE49-F238E27FC236}">
              <a16:creationId xmlns:a16="http://schemas.microsoft.com/office/drawing/2014/main" id="{1C576D50-0051-F0AE-3F89-D33BEB30D1FD}"/>
            </a:ext>
          </a:extLst>
        </xdr:cNvPr>
        <xdr:cNvSpPr txBox="1">
          <a:spLocks noChangeArrowheads="1"/>
        </xdr:cNvSpPr>
      </xdr:nvSpPr>
      <xdr:spPr bwMode="auto">
        <a:xfrm>
          <a:off x="9398000" y="81216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37</xdr:row>
      <xdr:rowOff>76200</xdr:rowOff>
    </xdr:from>
    <xdr:to>
      <xdr:col>13</xdr:col>
      <xdr:colOff>504800</xdr:colOff>
      <xdr:row>41</xdr:row>
      <xdr:rowOff>95250</xdr:rowOff>
    </xdr:to>
    <xdr:sp macro="" textlink="">
      <xdr:nvSpPr>
        <xdr:cNvPr id="376921" name="Text Box 89" hidden="1">
          <a:extLst>
            <a:ext uri="{FF2B5EF4-FFF2-40B4-BE49-F238E27FC236}">
              <a16:creationId xmlns:a16="http://schemas.microsoft.com/office/drawing/2014/main" id="{5205828C-6242-61F7-5121-6C1D53C43494}"/>
            </a:ext>
          </a:extLst>
        </xdr:cNvPr>
        <xdr:cNvSpPr txBox="1">
          <a:spLocks noChangeArrowheads="1"/>
        </xdr:cNvSpPr>
      </xdr:nvSpPr>
      <xdr:spPr bwMode="auto">
        <a:xfrm>
          <a:off x="11125200" y="81216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521494</xdr:rowOff>
    </xdr:from>
    <xdr:to>
      <xdr:col>30</xdr:col>
      <xdr:colOff>439039</xdr:colOff>
      <xdr:row>29</xdr:row>
      <xdr:rowOff>19050</xdr:rowOff>
    </xdr:to>
    <xdr:sp macro="" textlink="">
      <xdr:nvSpPr>
        <xdr:cNvPr id="376920" name="Text Box 88" hidden="1">
          <a:extLst>
            <a:ext uri="{FF2B5EF4-FFF2-40B4-BE49-F238E27FC236}">
              <a16:creationId xmlns:a16="http://schemas.microsoft.com/office/drawing/2014/main" id="{488AF3B8-0D39-3E39-C687-21BDA5598DFD}"/>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54</xdr:row>
      <xdr:rowOff>125786</xdr:rowOff>
    </xdr:from>
    <xdr:to>
      <xdr:col>14</xdr:col>
      <xdr:colOff>362839</xdr:colOff>
      <xdr:row>56</xdr:row>
      <xdr:rowOff>124847</xdr:rowOff>
    </xdr:to>
    <xdr:sp macro="" textlink="">
      <xdr:nvSpPr>
        <xdr:cNvPr id="376918" name="Text Box 86" hidden="1">
          <a:extLst>
            <a:ext uri="{FF2B5EF4-FFF2-40B4-BE49-F238E27FC236}">
              <a16:creationId xmlns:a16="http://schemas.microsoft.com/office/drawing/2014/main" id="{B48B6B3F-007F-0687-13E6-42E8862E4A80}"/>
            </a:ext>
          </a:extLst>
        </xdr:cNvPr>
        <xdr:cNvSpPr txBox="1">
          <a:spLocks noChangeArrowheads="1"/>
        </xdr:cNvSpPr>
      </xdr:nvSpPr>
      <xdr:spPr bwMode="auto">
        <a:xfrm>
          <a:off x="11957050" y="11658600"/>
          <a:ext cx="14160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57</xdr:row>
      <xdr:rowOff>35144</xdr:rowOff>
    </xdr:from>
    <xdr:to>
      <xdr:col>14</xdr:col>
      <xdr:colOff>447650</xdr:colOff>
      <xdr:row>60</xdr:row>
      <xdr:rowOff>126524</xdr:rowOff>
    </xdr:to>
    <xdr:sp macro="" textlink="">
      <xdr:nvSpPr>
        <xdr:cNvPr id="376917" name="Text Box 85" hidden="1">
          <a:extLst>
            <a:ext uri="{FF2B5EF4-FFF2-40B4-BE49-F238E27FC236}">
              <a16:creationId xmlns:a16="http://schemas.microsoft.com/office/drawing/2014/main" id="{8B479591-C141-C61A-3517-BE74AAC05F1F}"/>
            </a:ext>
          </a:extLst>
        </xdr:cNvPr>
        <xdr:cNvSpPr txBox="1">
          <a:spLocks noChangeArrowheads="1"/>
        </xdr:cNvSpPr>
      </xdr:nvSpPr>
      <xdr:spPr bwMode="auto">
        <a:xfrm>
          <a:off x="11995150" y="12763500"/>
          <a:ext cx="1416050" cy="70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37</xdr:row>
      <xdr:rowOff>76200</xdr:rowOff>
    </xdr:from>
    <xdr:to>
      <xdr:col>14</xdr:col>
      <xdr:colOff>447650</xdr:colOff>
      <xdr:row>41</xdr:row>
      <xdr:rowOff>95250</xdr:rowOff>
    </xdr:to>
    <xdr:sp macro="" textlink="">
      <xdr:nvSpPr>
        <xdr:cNvPr id="376916" name="Text Box 84" hidden="1">
          <a:extLst>
            <a:ext uri="{FF2B5EF4-FFF2-40B4-BE49-F238E27FC236}">
              <a16:creationId xmlns:a16="http://schemas.microsoft.com/office/drawing/2014/main" id="{E0ACF4D6-6D95-8A29-8BA5-89E2CEF5DCE7}"/>
            </a:ext>
          </a:extLst>
        </xdr:cNvPr>
        <xdr:cNvSpPr txBox="1">
          <a:spLocks noChangeArrowheads="1"/>
        </xdr:cNvSpPr>
      </xdr:nvSpPr>
      <xdr:spPr bwMode="auto">
        <a:xfrm>
          <a:off x="11995150" y="81216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55</xdr:row>
      <xdr:rowOff>283771</xdr:rowOff>
    </xdr:from>
    <xdr:to>
      <xdr:col>5</xdr:col>
      <xdr:colOff>268754</xdr:colOff>
      <xdr:row>59</xdr:row>
      <xdr:rowOff>11943</xdr:rowOff>
    </xdr:to>
    <xdr:sp macro="" textlink="">
      <xdr:nvSpPr>
        <xdr:cNvPr id="376915" name="Text Box 83" hidden="1">
          <a:extLst>
            <a:ext uri="{FF2B5EF4-FFF2-40B4-BE49-F238E27FC236}">
              <a16:creationId xmlns:a16="http://schemas.microsoft.com/office/drawing/2014/main" id="{72AAADBE-D86B-BE87-6872-2CF78013E7AE}"/>
            </a:ext>
          </a:extLst>
        </xdr:cNvPr>
        <xdr:cNvSpPr txBox="1">
          <a:spLocks noChangeArrowheads="1"/>
        </xdr:cNvSpPr>
      </xdr:nvSpPr>
      <xdr:spPr bwMode="auto">
        <a:xfrm>
          <a:off x="4051300" y="12204700"/>
          <a:ext cx="14287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xdr:row>
      <xdr:rowOff>120650</xdr:rowOff>
    </xdr:from>
    <xdr:to>
      <xdr:col>26</xdr:col>
      <xdr:colOff>486298</xdr:colOff>
      <xdr:row>18</xdr:row>
      <xdr:rowOff>152400</xdr:rowOff>
    </xdr:to>
    <xdr:sp macro="" textlink="">
      <xdr:nvSpPr>
        <xdr:cNvPr id="376948" name="Text Box 116" hidden="1">
          <a:extLst>
            <a:ext uri="{FF2B5EF4-FFF2-40B4-BE49-F238E27FC236}">
              <a16:creationId xmlns:a16="http://schemas.microsoft.com/office/drawing/2014/main" id="{46EA1715-9867-7B30-06B8-0BE462B639D3}"/>
            </a:ext>
          </a:extLst>
        </xdr:cNvPr>
        <xdr:cNvSpPr txBox="1">
          <a:spLocks noChangeArrowheads="1"/>
        </xdr:cNvSpPr>
      </xdr:nvSpPr>
      <xdr:spPr bwMode="auto">
        <a:xfrm>
          <a:off x="21551900" y="35814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23</xdr:row>
      <xdr:rowOff>120650</xdr:rowOff>
    </xdr:from>
    <xdr:to>
      <xdr:col>26</xdr:col>
      <xdr:colOff>486298</xdr:colOff>
      <xdr:row>27</xdr:row>
      <xdr:rowOff>152400</xdr:rowOff>
    </xdr:to>
    <xdr:sp macro="" textlink="">
      <xdr:nvSpPr>
        <xdr:cNvPr id="376949" name="Text Box 117" hidden="1">
          <a:extLst>
            <a:ext uri="{FF2B5EF4-FFF2-40B4-BE49-F238E27FC236}">
              <a16:creationId xmlns:a16="http://schemas.microsoft.com/office/drawing/2014/main" id="{766354D8-9714-A604-4FBE-1DB1C5087706}"/>
            </a:ext>
          </a:extLst>
        </xdr:cNvPr>
        <xdr:cNvSpPr txBox="1">
          <a:spLocks noChangeArrowheads="1"/>
        </xdr:cNvSpPr>
      </xdr:nvSpPr>
      <xdr:spPr bwMode="auto">
        <a:xfrm>
          <a:off x="21551900" y="5588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127</xdr:row>
      <xdr:rowOff>144199</xdr:rowOff>
    </xdr:from>
    <xdr:to>
      <xdr:col>26</xdr:col>
      <xdr:colOff>486298</xdr:colOff>
      <xdr:row>131</xdr:row>
      <xdr:rowOff>164042</xdr:rowOff>
    </xdr:to>
    <xdr:sp macro="" textlink="">
      <xdr:nvSpPr>
        <xdr:cNvPr id="376950" name="Text Box 118" hidden="1">
          <a:extLst>
            <a:ext uri="{FF2B5EF4-FFF2-40B4-BE49-F238E27FC236}">
              <a16:creationId xmlns:a16="http://schemas.microsoft.com/office/drawing/2014/main" id="{E8E591A6-6375-F6E1-32C5-0CB55AC286EF}"/>
            </a:ext>
          </a:extLst>
        </xdr:cNvPr>
        <xdr:cNvSpPr txBox="1">
          <a:spLocks noChangeArrowheads="1"/>
        </xdr:cNvSpPr>
      </xdr:nvSpPr>
      <xdr:spPr bwMode="auto">
        <a:xfrm>
          <a:off x="21551900" y="26670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95250</xdr:rowOff>
    </xdr:from>
    <xdr:to>
      <xdr:col>18</xdr:col>
      <xdr:colOff>229489</xdr:colOff>
      <xdr:row>10</xdr:row>
      <xdr:rowOff>152400</xdr:rowOff>
    </xdr:to>
    <xdr:sp macro="" textlink="">
      <xdr:nvSpPr>
        <xdr:cNvPr id="376985" name="Text Box 153" hidden="1">
          <a:extLst>
            <a:ext uri="{FF2B5EF4-FFF2-40B4-BE49-F238E27FC236}">
              <a16:creationId xmlns:a16="http://schemas.microsoft.com/office/drawing/2014/main" id="{44DCB956-DBA0-4A5F-7F75-144A250DF7E7}"/>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278953</xdr:rowOff>
    </xdr:from>
    <xdr:to>
      <xdr:col>5</xdr:col>
      <xdr:colOff>105335</xdr:colOff>
      <xdr:row>56</xdr:row>
      <xdr:rowOff>278953</xdr:rowOff>
    </xdr:to>
    <xdr:sp macro="" textlink="">
      <xdr:nvSpPr>
        <xdr:cNvPr id="376984" name="Text Box 152" hidden="1">
          <a:extLst>
            <a:ext uri="{FF2B5EF4-FFF2-40B4-BE49-F238E27FC236}">
              <a16:creationId xmlns:a16="http://schemas.microsoft.com/office/drawing/2014/main" id="{BEFD1A72-C41A-DAC3-C246-E53F566DAAF4}"/>
            </a:ext>
          </a:extLst>
        </xdr:cNvPr>
        <xdr:cNvSpPr txBox="1">
          <a:spLocks noChangeArrowheads="1"/>
        </xdr:cNvSpPr>
      </xdr:nvSpPr>
      <xdr:spPr bwMode="auto">
        <a:xfrm>
          <a:off x="3994150" y="12611100"/>
          <a:ext cx="1314450" cy="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278953</xdr:rowOff>
    </xdr:from>
    <xdr:to>
      <xdr:col>5</xdr:col>
      <xdr:colOff>124385</xdr:colOff>
      <xdr:row>81</xdr:row>
      <xdr:rowOff>29386</xdr:rowOff>
    </xdr:to>
    <xdr:sp macro="" textlink="">
      <xdr:nvSpPr>
        <xdr:cNvPr id="376983" name="Text Box 151" hidden="1">
          <a:extLst>
            <a:ext uri="{FF2B5EF4-FFF2-40B4-BE49-F238E27FC236}">
              <a16:creationId xmlns:a16="http://schemas.microsoft.com/office/drawing/2014/main" id="{2346A909-1B9C-A343-B9B8-4DCBA2A15FF1}"/>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278953</xdr:rowOff>
    </xdr:from>
    <xdr:to>
      <xdr:col>5</xdr:col>
      <xdr:colOff>105335</xdr:colOff>
      <xdr:row>80</xdr:row>
      <xdr:rowOff>29241</xdr:rowOff>
    </xdr:to>
    <xdr:sp macro="" textlink="">
      <xdr:nvSpPr>
        <xdr:cNvPr id="376982" name="Text Box 150" hidden="1">
          <a:extLst>
            <a:ext uri="{FF2B5EF4-FFF2-40B4-BE49-F238E27FC236}">
              <a16:creationId xmlns:a16="http://schemas.microsoft.com/office/drawing/2014/main" id="{DF6694F6-E223-DA76-1A4D-DF9683D54D02}"/>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278953</xdr:rowOff>
    </xdr:from>
    <xdr:to>
      <xdr:col>5</xdr:col>
      <xdr:colOff>105335</xdr:colOff>
      <xdr:row>80</xdr:row>
      <xdr:rowOff>64166</xdr:rowOff>
    </xdr:to>
    <xdr:sp macro="" textlink="">
      <xdr:nvSpPr>
        <xdr:cNvPr id="376981" name="Text Box 149" hidden="1">
          <a:extLst>
            <a:ext uri="{FF2B5EF4-FFF2-40B4-BE49-F238E27FC236}">
              <a16:creationId xmlns:a16="http://schemas.microsoft.com/office/drawing/2014/main" id="{FFEBE2E0-3B34-E040-B81C-0E3F0F142295}"/>
            </a:ext>
          </a:extLst>
        </xdr:cNvPr>
        <xdr:cNvSpPr txBox="1">
          <a:spLocks noChangeArrowheads="1"/>
        </xdr:cNvSpPr>
      </xdr:nvSpPr>
      <xdr:spPr bwMode="auto">
        <a:xfrm>
          <a:off x="3994150" y="12611100"/>
          <a:ext cx="13144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106929</xdr:rowOff>
    </xdr:from>
    <xdr:to>
      <xdr:col>5</xdr:col>
      <xdr:colOff>105335</xdr:colOff>
      <xdr:row>83</xdr:row>
      <xdr:rowOff>116206</xdr:rowOff>
    </xdr:to>
    <xdr:sp macro="" textlink="">
      <xdr:nvSpPr>
        <xdr:cNvPr id="376980" name="Text Box 148" hidden="1">
          <a:extLst>
            <a:ext uri="{FF2B5EF4-FFF2-40B4-BE49-F238E27FC236}">
              <a16:creationId xmlns:a16="http://schemas.microsoft.com/office/drawing/2014/main" id="{A0462A27-23F1-5190-AC3C-FE490402A83C}"/>
            </a:ext>
          </a:extLst>
        </xdr:cNvPr>
        <xdr:cNvSpPr txBox="1">
          <a:spLocks noChangeArrowheads="1"/>
        </xdr:cNvSpPr>
      </xdr:nvSpPr>
      <xdr:spPr bwMode="auto">
        <a:xfrm>
          <a:off x="3994150" y="13652500"/>
          <a:ext cx="1314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103324</xdr:rowOff>
    </xdr:from>
    <xdr:to>
      <xdr:col>5</xdr:col>
      <xdr:colOff>105335</xdr:colOff>
      <xdr:row>92</xdr:row>
      <xdr:rowOff>95734</xdr:rowOff>
    </xdr:to>
    <xdr:sp macro="" textlink="">
      <xdr:nvSpPr>
        <xdr:cNvPr id="376979" name="Text Box 147" hidden="1">
          <a:extLst>
            <a:ext uri="{FF2B5EF4-FFF2-40B4-BE49-F238E27FC236}">
              <a16:creationId xmlns:a16="http://schemas.microsoft.com/office/drawing/2014/main" id="{92700D5F-C2CD-751F-9797-D64DEE7333F9}"/>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50408</xdr:rowOff>
    </xdr:from>
    <xdr:to>
      <xdr:col>5</xdr:col>
      <xdr:colOff>105335</xdr:colOff>
      <xdr:row>90</xdr:row>
      <xdr:rowOff>164406</xdr:rowOff>
    </xdr:to>
    <xdr:sp macro="" textlink="">
      <xdr:nvSpPr>
        <xdr:cNvPr id="376978" name="Text Box 146" hidden="1">
          <a:extLst>
            <a:ext uri="{FF2B5EF4-FFF2-40B4-BE49-F238E27FC236}">
              <a16:creationId xmlns:a16="http://schemas.microsoft.com/office/drawing/2014/main" id="{77A3E207-325E-9916-F511-702CC6BB4A9D}"/>
            </a:ext>
          </a:extLst>
        </xdr:cNvPr>
        <xdr:cNvSpPr txBox="1">
          <a:spLocks noChangeArrowheads="1"/>
        </xdr:cNvSpPr>
      </xdr:nvSpPr>
      <xdr:spPr bwMode="auto">
        <a:xfrm>
          <a:off x="3994150" y="16859250"/>
          <a:ext cx="1314450" cy="274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158778</xdr:rowOff>
    </xdr:from>
    <xdr:to>
      <xdr:col>5</xdr:col>
      <xdr:colOff>105335</xdr:colOff>
      <xdr:row>91</xdr:row>
      <xdr:rowOff>77887</xdr:rowOff>
    </xdr:to>
    <xdr:sp macro="" textlink="">
      <xdr:nvSpPr>
        <xdr:cNvPr id="376977" name="Text Box 145" hidden="1">
          <a:extLst>
            <a:ext uri="{FF2B5EF4-FFF2-40B4-BE49-F238E27FC236}">
              <a16:creationId xmlns:a16="http://schemas.microsoft.com/office/drawing/2014/main" id="{700C1BDE-EE04-712C-8D97-92C243FD8C7A}"/>
            </a:ext>
          </a:extLst>
        </xdr:cNvPr>
        <xdr:cNvSpPr txBox="1">
          <a:spLocks noChangeArrowheads="1"/>
        </xdr:cNvSpPr>
      </xdr:nvSpPr>
      <xdr:spPr bwMode="auto">
        <a:xfrm>
          <a:off x="3994150" y="16973550"/>
          <a:ext cx="131445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173584</xdr:rowOff>
    </xdr:from>
    <xdr:to>
      <xdr:col>5</xdr:col>
      <xdr:colOff>105335</xdr:colOff>
      <xdr:row>94</xdr:row>
      <xdr:rowOff>25929</xdr:rowOff>
    </xdr:to>
    <xdr:sp macro="" textlink="">
      <xdr:nvSpPr>
        <xdr:cNvPr id="376976" name="Text Box 144" hidden="1">
          <a:extLst>
            <a:ext uri="{FF2B5EF4-FFF2-40B4-BE49-F238E27FC236}">
              <a16:creationId xmlns:a16="http://schemas.microsoft.com/office/drawing/2014/main" id="{178B2557-737B-843B-4107-14B3752BACAD}"/>
            </a:ext>
          </a:extLst>
        </xdr:cNvPr>
        <xdr:cNvSpPr txBox="1">
          <a:spLocks noChangeArrowheads="1"/>
        </xdr:cNvSpPr>
      </xdr:nvSpPr>
      <xdr:spPr bwMode="auto">
        <a:xfrm>
          <a:off x="3994150" y="1716405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10774</xdr:rowOff>
    </xdr:from>
    <xdr:to>
      <xdr:col>5</xdr:col>
      <xdr:colOff>105335</xdr:colOff>
      <xdr:row>111</xdr:row>
      <xdr:rowOff>105514</xdr:rowOff>
    </xdr:to>
    <xdr:sp macro="" textlink="">
      <xdr:nvSpPr>
        <xdr:cNvPr id="376975" name="Text Box 143" hidden="1">
          <a:extLst>
            <a:ext uri="{FF2B5EF4-FFF2-40B4-BE49-F238E27FC236}">
              <a16:creationId xmlns:a16="http://schemas.microsoft.com/office/drawing/2014/main" id="{55FBE2DB-984C-B146-E146-EA8FD1E629DF}"/>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27416</xdr:rowOff>
    </xdr:from>
    <xdr:to>
      <xdr:col>5</xdr:col>
      <xdr:colOff>105335</xdr:colOff>
      <xdr:row>108</xdr:row>
      <xdr:rowOff>121098</xdr:rowOff>
    </xdr:to>
    <xdr:sp macro="" textlink="">
      <xdr:nvSpPr>
        <xdr:cNvPr id="376974" name="Text Box 142" hidden="1">
          <a:extLst>
            <a:ext uri="{FF2B5EF4-FFF2-40B4-BE49-F238E27FC236}">
              <a16:creationId xmlns:a16="http://schemas.microsoft.com/office/drawing/2014/main" id="{0E5682DF-CC00-7B1A-33FF-C28ACD1AC650}"/>
            </a:ext>
          </a:extLst>
        </xdr:cNvPr>
        <xdr:cNvSpPr txBox="1">
          <a:spLocks noChangeArrowheads="1"/>
        </xdr:cNvSpPr>
      </xdr:nvSpPr>
      <xdr:spPr bwMode="auto">
        <a:xfrm>
          <a:off x="3994150" y="21545550"/>
          <a:ext cx="1314450" cy="162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69457</xdr:rowOff>
    </xdr:from>
    <xdr:to>
      <xdr:col>5</xdr:col>
      <xdr:colOff>105335</xdr:colOff>
      <xdr:row>108</xdr:row>
      <xdr:rowOff>65152</xdr:rowOff>
    </xdr:to>
    <xdr:sp macro="" textlink="">
      <xdr:nvSpPr>
        <xdr:cNvPr id="376973" name="Text Box 141" hidden="1">
          <a:extLst>
            <a:ext uri="{FF2B5EF4-FFF2-40B4-BE49-F238E27FC236}">
              <a16:creationId xmlns:a16="http://schemas.microsoft.com/office/drawing/2014/main" id="{6905FF60-89C0-71F7-D5A7-13E25DBEAC20}"/>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31357</xdr:rowOff>
    </xdr:from>
    <xdr:to>
      <xdr:col>5</xdr:col>
      <xdr:colOff>105335</xdr:colOff>
      <xdr:row>108</xdr:row>
      <xdr:rowOff>65152</xdr:rowOff>
    </xdr:to>
    <xdr:sp macro="" textlink="">
      <xdr:nvSpPr>
        <xdr:cNvPr id="376972" name="Text Box 140" hidden="1">
          <a:extLst>
            <a:ext uri="{FF2B5EF4-FFF2-40B4-BE49-F238E27FC236}">
              <a16:creationId xmlns:a16="http://schemas.microsoft.com/office/drawing/2014/main" id="{DB4AF483-5A37-8543-F5E5-ED7E7D2E65AA}"/>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125</xdr:row>
      <xdr:rowOff>10848</xdr:rowOff>
    </xdr:from>
    <xdr:to>
      <xdr:col>21</xdr:col>
      <xdr:colOff>257697</xdr:colOff>
      <xdr:row>129</xdr:row>
      <xdr:rowOff>29898</xdr:rowOff>
    </xdr:to>
    <xdr:sp macro="" textlink="">
      <xdr:nvSpPr>
        <xdr:cNvPr id="376971" name="Text Box 139" hidden="1">
          <a:extLst>
            <a:ext uri="{FF2B5EF4-FFF2-40B4-BE49-F238E27FC236}">
              <a16:creationId xmlns:a16="http://schemas.microsoft.com/office/drawing/2014/main" id="{4960B6E5-3EE8-AFF3-B319-2D3A99F0F56F}"/>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76200</xdr:rowOff>
    </xdr:to>
    <xdr:sp macro="" textlink="">
      <xdr:nvSpPr>
        <xdr:cNvPr id="376970" name="Text Box 138" hidden="1">
          <a:extLst>
            <a:ext uri="{FF2B5EF4-FFF2-40B4-BE49-F238E27FC236}">
              <a16:creationId xmlns:a16="http://schemas.microsoft.com/office/drawing/2014/main" id="{8FEDDC51-58E6-D243-C6AB-B321B9B6A502}"/>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23</xdr:row>
      <xdr:rowOff>95250</xdr:rowOff>
    </xdr:from>
    <xdr:to>
      <xdr:col>22</xdr:col>
      <xdr:colOff>429146</xdr:colOff>
      <xdr:row>29</xdr:row>
      <xdr:rowOff>76200</xdr:rowOff>
    </xdr:to>
    <xdr:sp macro="" textlink="">
      <xdr:nvSpPr>
        <xdr:cNvPr id="376969" name="Text Box 137" hidden="1">
          <a:extLst>
            <a:ext uri="{FF2B5EF4-FFF2-40B4-BE49-F238E27FC236}">
              <a16:creationId xmlns:a16="http://schemas.microsoft.com/office/drawing/2014/main" id="{730E4222-CEFB-538C-CBC2-9843D69E90A2}"/>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129</xdr:row>
      <xdr:rowOff>29898</xdr:rowOff>
    </xdr:from>
    <xdr:to>
      <xdr:col>22</xdr:col>
      <xdr:colOff>429146</xdr:colOff>
      <xdr:row>133</xdr:row>
      <xdr:rowOff>10848</xdr:rowOff>
    </xdr:to>
    <xdr:sp macro="" textlink="">
      <xdr:nvSpPr>
        <xdr:cNvPr id="376968" name="Text Box 136" hidden="1">
          <a:extLst>
            <a:ext uri="{FF2B5EF4-FFF2-40B4-BE49-F238E27FC236}">
              <a16:creationId xmlns:a16="http://schemas.microsoft.com/office/drawing/2014/main" id="{443B88C3-C31A-7551-8908-5A3D41B4F494}"/>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37</xdr:row>
      <xdr:rowOff>95250</xdr:rowOff>
    </xdr:from>
    <xdr:to>
      <xdr:col>11</xdr:col>
      <xdr:colOff>636501</xdr:colOff>
      <xdr:row>42</xdr:row>
      <xdr:rowOff>19050</xdr:rowOff>
    </xdr:to>
    <xdr:sp macro="" textlink="">
      <xdr:nvSpPr>
        <xdr:cNvPr id="376967" name="Text Box 135" hidden="1">
          <a:extLst>
            <a:ext uri="{FF2B5EF4-FFF2-40B4-BE49-F238E27FC236}">
              <a16:creationId xmlns:a16="http://schemas.microsoft.com/office/drawing/2014/main" id="{EE7D8B69-8A88-7928-E241-62FB0996E2A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171450</xdr:rowOff>
    </xdr:to>
    <xdr:sp macro="" textlink="">
      <xdr:nvSpPr>
        <xdr:cNvPr id="376966" name="Text Box 134" hidden="1">
          <a:extLst>
            <a:ext uri="{FF2B5EF4-FFF2-40B4-BE49-F238E27FC236}">
              <a16:creationId xmlns:a16="http://schemas.microsoft.com/office/drawing/2014/main" id="{D982CF94-7F5A-EFC8-95AF-A59868BA66AE}"/>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467247</xdr:colOff>
      <xdr:row>29</xdr:row>
      <xdr:rowOff>152400</xdr:rowOff>
    </xdr:to>
    <xdr:sp macro="" textlink="">
      <xdr:nvSpPr>
        <xdr:cNvPr id="376965" name="Text Box 133" hidden="1">
          <a:extLst>
            <a:ext uri="{FF2B5EF4-FFF2-40B4-BE49-F238E27FC236}">
              <a16:creationId xmlns:a16="http://schemas.microsoft.com/office/drawing/2014/main" id="{1C8964B8-25C6-84F3-1018-9E5DA85AE1CA}"/>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29898</xdr:rowOff>
    </xdr:from>
    <xdr:to>
      <xdr:col>24</xdr:col>
      <xdr:colOff>467247</xdr:colOff>
      <xdr:row>133</xdr:row>
      <xdr:rowOff>106098</xdr:rowOff>
    </xdr:to>
    <xdr:sp macro="" textlink="">
      <xdr:nvSpPr>
        <xdr:cNvPr id="376964" name="Text Box 132" hidden="1">
          <a:extLst>
            <a:ext uri="{FF2B5EF4-FFF2-40B4-BE49-F238E27FC236}">
              <a16:creationId xmlns:a16="http://schemas.microsoft.com/office/drawing/2014/main" id="{A077140B-B856-244F-19CE-CD6120759B6B}"/>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25</xdr:col>
      <xdr:colOff>467247</xdr:colOff>
      <xdr:row>18</xdr:row>
      <xdr:rowOff>133350</xdr:rowOff>
    </xdr:to>
    <xdr:sp macro="" textlink="">
      <xdr:nvSpPr>
        <xdr:cNvPr id="376963" name="Text Box 131" hidden="1">
          <a:extLst>
            <a:ext uri="{FF2B5EF4-FFF2-40B4-BE49-F238E27FC236}">
              <a16:creationId xmlns:a16="http://schemas.microsoft.com/office/drawing/2014/main" id="{35B0B00F-1635-34D0-0BA2-8D2434217D1D}"/>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25</xdr:col>
      <xdr:colOff>467247</xdr:colOff>
      <xdr:row>29</xdr:row>
      <xdr:rowOff>95250</xdr:rowOff>
    </xdr:to>
    <xdr:sp macro="" textlink="">
      <xdr:nvSpPr>
        <xdr:cNvPr id="376962" name="Text Box 130" hidden="1">
          <a:extLst>
            <a:ext uri="{FF2B5EF4-FFF2-40B4-BE49-F238E27FC236}">
              <a16:creationId xmlns:a16="http://schemas.microsoft.com/office/drawing/2014/main" id="{EAC6AD22-AE29-FA4D-5D5A-0CBCF515498A}"/>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67998</xdr:rowOff>
    </xdr:from>
    <xdr:to>
      <xdr:col>25</xdr:col>
      <xdr:colOff>467247</xdr:colOff>
      <xdr:row>133</xdr:row>
      <xdr:rowOff>106098</xdr:rowOff>
    </xdr:to>
    <xdr:sp macro="" textlink="">
      <xdr:nvSpPr>
        <xdr:cNvPr id="376961" name="Text Box 129" hidden="1">
          <a:extLst>
            <a:ext uri="{FF2B5EF4-FFF2-40B4-BE49-F238E27FC236}">
              <a16:creationId xmlns:a16="http://schemas.microsoft.com/office/drawing/2014/main" id="{3145EEA3-5829-2B24-BB1E-27C9E9C19021}"/>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41</xdr:row>
      <xdr:rowOff>76200</xdr:rowOff>
    </xdr:from>
    <xdr:to>
      <xdr:col>11</xdr:col>
      <xdr:colOff>712701</xdr:colOff>
      <xdr:row>45</xdr:row>
      <xdr:rowOff>95250</xdr:rowOff>
    </xdr:to>
    <xdr:sp macro="" textlink="">
      <xdr:nvSpPr>
        <xdr:cNvPr id="376960" name="Text Box 128" hidden="1">
          <a:extLst>
            <a:ext uri="{FF2B5EF4-FFF2-40B4-BE49-F238E27FC236}">
              <a16:creationId xmlns:a16="http://schemas.microsoft.com/office/drawing/2014/main" id="{8199DEEC-C134-5E0F-9BAE-2C09EFFC6130}"/>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41</xdr:row>
      <xdr:rowOff>76200</xdr:rowOff>
    </xdr:from>
    <xdr:to>
      <xdr:col>13</xdr:col>
      <xdr:colOff>504800</xdr:colOff>
      <xdr:row>45</xdr:row>
      <xdr:rowOff>95250</xdr:rowOff>
    </xdr:to>
    <xdr:sp macro="" textlink="">
      <xdr:nvSpPr>
        <xdr:cNvPr id="376959" name="Text Box 127" hidden="1">
          <a:extLst>
            <a:ext uri="{FF2B5EF4-FFF2-40B4-BE49-F238E27FC236}">
              <a16:creationId xmlns:a16="http://schemas.microsoft.com/office/drawing/2014/main" id="{11903504-5EC4-78B7-6D4D-A91826874F87}"/>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521494</xdr:rowOff>
    </xdr:from>
    <xdr:to>
      <xdr:col>30</xdr:col>
      <xdr:colOff>439039</xdr:colOff>
      <xdr:row>29</xdr:row>
      <xdr:rowOff>19050</xdr:rowOff>
    </xdr:to>
    <xdr:sp macro="" textlink="">
      <xdr:nvSpPr>
        <xdr:cNvPr id="376958" name="Text Box 126" hidden="1">
          <a:extLst>
            <a:ext uri="{FF2B5EF4-FFF2-40B4-BE49-F238E27FC236}">
              <a16:creationId xmlns:a16="http://schemas.microsoft.com/office/drawing/2014/main" id="{015B8F39-CA08-DACF-C582-ED3496D628EB}"/>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56</xdr:row>
      <xdr:rowOff>278953</xdr:rowOff>
    </xdr:from>
    <xdr:to>
      <xdr:col>14</xdr:col>
      <xdr:colOff>362839</xdr:colOff>
      <xdr:row>56</xdr:row>
      <xdr:rowOff>336248</xdr:rowOff>
    </xdr:to>
    <xdr:sp macro="" textlink="">
      <xdr:nvSpPr>
        <xdr:cNvPr id="376957" name="Text Box 125" hidden="1">
          <a:extLst>
            <a:ext uri="{FF2B5EF4-FFF2-40B4-BE49-F238E27FC236}">
              <a16:creationId xmlns:a16="http://schemas.microsoft.com/office/drawing/2014/main" id="{F9FEA4D5-C2B5-867D-6FE7-7441CFA0D9D7}"/>
            </a:ext>
          </a:extLst>
        </xdr:cNvPr>
        <xdr:cNvSpPr txBox="1">
          <a:spLocks noChangeArrowheads="1"/>
        </xdr:cNvSpPr>
      </xdr:nvSpPr>
      <xdr:spPr bwMode="auto">
        <a:xfrm>
          <a:off x="11957050" y="12611100"/>
          <a:ext cx="14160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29087</xdr:rowOff>
    </xdr:from>
    <xdr:to>
      <xdr:col>14</xdr:col>
      <xdr:colOff>447650</xdr:colOff>
      <xdr:row>70</xdr:row>
      <xdr:rowOff>169607</xdr:rowOff>
    </xdr:to>
    <xdr:sp macro="" textlink="">
      <xdr:nvSpPr>
        <xdr:cNvPr id="376956" name="Text Box 124" hidden="1">
          <a:extLst>
            <a:ext uri="{FF2B5EF4-FFF2-40B4-BE49-F238E27FC236}">
              <a16:creationId xmlns:a16="http://schemas.microsoft.com/office/drawing/2014/main" id="{1B64F1F3-1D49-52C7-865B-270EB3AFA8CD}"/>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41</xdr:row>
      <xdr:rowOff>76200</xdr:rowOff>
    </xdr:from>
    <xdr:to>
      <xdr:col>14</xdr:col>
      <xdr:colOff>447650</xdr:colOff>
      <xdr:row>45</xdr:row>
      <xdr:rowOff>95250</xdr:rowOff>
    </xdr:to>
    <xdr:sp macro="" textlink="">
      <xdr:nvSpPr>
        <xdr:cNvPr id="376955" name="Text Box 123" hidden="1">
          <a:extLst>
            <a:ext uri="{FF2B5EF4-FFF2-40B4-BE49-F238E27FC236}">
              <a16:creationId xmlns:a16="http://schemas.microsoft.com/office/drawing/2014/main" id="{B8DC45D8-412D-1841-0724-C815DA554BD5}"/>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40392</xdr:rowOff>
    </xdr:from>
    <xdr:to>
      <xdr:col>5</xdr:col>
      <xdr:colOff>268754</xdr:colOff>
      <xdr:row>68</xdr:row>
      <xdr:rowOff>123651</xdr:rowOff>
    </xdr:to>
    <xdr:sp macro="" textlink="">
      <xdr:nvSpPr>
        <xdr:cNvPr id="376954" name="Text Box 122" hidden="1">
          <a:extLst>
            <a:ext uri="{FF2B5EF4-FFF2-40B4-BE49-F238E27FC236}">
              <a16:creationId xmlns:a16="http://schemas.microsoft.com/office/drawing/2014/main" id="{9DAFBE76-D96B-5BF5-6E1F-F1A38474940F}"/>
            </a:ext>
          </a:extLst>
        </xdr:cNvPr>
        <xdr:cNvSpPr txBox="1">
          <a:spLocks noChangeArrowheads="1"/>
        </xdr:cNvSpPr>
      </xdr:nvSpPr>
      <xdr:spPr bwMode="auto">
        <a:xfrm>
          <a:off x="4051300" y="13004800"/>
          <a:ext cx="1428750" cy="204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xdr:row>
      <xdr:rowOff>95250</xdr:rowOff>
    </xdr:from>
    <xdr:to>
      <xdr:col>26</xdr:col>
      <xdr:colOff>486298</xdr:colOff>
      <xdr:row>18</xdr:row>
      <xdr:rowOff>152400</xdr:rowOff>
    </xdr:to>
    <xdr:sp macro="" textlink="">
      <xdr:nvSpPr>
        <xdr:cNvPr id="376953" name="Text Box 121" hidden="1">
          <a:extLst>
            <a:ext uri="{FF2B5EF4-FFF2-40B4-BE49-F238E27FC236}">
              <a16:creationId xmlns:a16="http://schemas.microsoft.com/office/drawing/2014/main" id="{00E8AAC8-FCC2-E797-4DE9-7121AB43FE30}"/>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23</xdr:row>
      <xdr:rowOff>95250</xdr:rowOff>
    </xdr:from>
    <xdr:to>
      <xdr:col>26</xdr:col>
      <xdr:colOff>486298</xdr:colOff>
      <xdr:row>27</xdr:row>
      <xdr:rowOff>152400</xdr:rowOff>
    </xdr:to>
    <xdr:sp macro="" textlink="">
      <xdr:nvSpPr>
        <xdr:cNvPr id="376952" name="Text Box 120" hidden="1">
          <a:extLst>
            <a:ext uri="{FF2B5EF4-FFF2-40B4-BE49-F238E27FC236}">
              <a16:creationId xmlns:a16="http://schemas.microsoft.com/office/drawing/2014/main" id="{1AEAE76C-FC74-ED72-8FA8-E9E130D30F71}"/>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125149</xdr:rowOff>
    </xdr:from>
    <xdr:to>
      <xdr:col>26</xdr:col>
      <xdr:colOff>486298</xdr:colOff>
      <xdr:row>135</xdr:row>
      <xdr:rowOff>153458</xdr:rowOff>
    </xdr:to>
    <xdr:sp macro="" textlink="">
      <xdr:nvSpPr>
        <xdr:cNvPr id="376951" name="Text Box 119" hidden="1">
          <a:extLst>
            <a:ext uri="{FF2B5EF4-FFF2-40B4-BE49-F238E27FC236}">
              <a16:creationId xmlns:a16="http://schemas.microsoft.com/office/drawing/2014/main" id="{4C1EC6A4-AB5A-19E1-1DBA-BECC8ADCF536}"/>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xdr:row>
      <xdr:rowOff>123825</xdr:rowOff>
    </xdr:from>
    <xdr:to>
      <xdr:col>27</xdr:col>
      <xdr:colOff>486296</xdr:colOff>
      <xdr:row>18</xdr:row>
      <xdr:rowOff>152400</xdr:rowOff>
    </xdr:to>
    <xdr:sp macro="" textlink="">
      <xdr:nvSpPr>
        <xdr:cNvPr id="376986" name="Text Box 154" hidden="1">
          <a:extLst>
            <a:ext uri="{FF2B5EF4-FFF2-40B4-BE49-F238E27FC236}">
              <a16:creationId xmlns:a16="http://schemas.microsoft.com/office/drawing/2014/main" id="{336A74DA-3CD1-995D-5981-6AC38DF51D4B}"/>
            </a:ext>
          </a:extLst>
        </xdr:cNvPr>
        <xdr:cNvSpPr txBox="1">
          <a:spLocks noChangeArrowheads="1"/>
        </xdr:cNvSpPr>
      </xdr:nvSpPr>
      <xdr:spPr bwMode="auto">
        <a:xfrm>
          <a:off x="22313900" y="35814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123825</xdr:rowOff>
    </xdr:from>
    <xdr:to>
      <xdr:col>27</xdr:col>
      <xdr:colOff>486296</xdr:colOff>
      <xdr:row>27</xdr:row>
      <xdr:rowOff>152400</xdr:rowOff>
    </xdr:to>
    <xdr:sp macro="" textlink="">
      <xdr:nvSpPr>
        <xdr:cNvPr id="376987" name="Text Box 155" hidden="1">
          <a:extLst>
            <a:ext uri="{FF2B5EF4-FFF2-40B4-BE49-F238E27FC236}">
              <a16:creationId xmlns:a16="http://schemas.microsoft.com/office/drawing/2014/main" id="{C5908CED-5DD3-2254-B3AF-FF806DC46A92}"/>
            </a:ext>
          </a:extLst>
        </xdr:cNvPr>
        <xdr:cNvSpPr txBox="1">
          <a:spLocks noChangeArrowheads="1"/>
        </xdr:cNvSpPr>
      </xdr:nvSpPr>
      <xdr:spPr bwMode="auto">
        <a:xfrm>
          <a:off x="22313900" y="5588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131</xdr:row>
      <xdr:rowOff>134674</xdr:rowOff>
    </xdr:from>
    <xdr:to>
      <xdr:col>27</xdr:col>
      <xdr:colOff>486296</xdr:colOff>
      <xdr:row>135</xdr:row>
      <xdr:rowOff>153458</xdr:rowOff>
    </xdr:to>
    <xdr:sp macro="" textlink="">
      <xdr:nvSpPr>
        <xdr:cNvPr id="376988" name="Text Box 156" hidden="1">
          <a:extLst>
            <a:ext uri="{FF2B5EF4-FFF2-40B4-BE49-F238E27FC236}">
              <a16:creationId xmlns:a16="http://schemas.microsoft.com/office/drawing/2014/main" id="{65FFD7BE-4133-E139-F36A-821F21816524}"/>
            </a:ext>
          </a:extLst>
        </xdr:cNvPr>
        <xdr:cNvSpPr txBox="1">
          <a:spLocks noChangeArrowheads="1"/>
        </xdr:cNvSpPr>
      </xdr:nvSpPr>
      <xdr:spPr bwMode="auto">
        <a:xfrm>
          <a:off x="22313900" y="274066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95250</xdr:rowOff>
    </xdr:from>
    <xdr:to>
      <xdr:col>18</xdr:col>
      <xdr:colOff>229489</xdr:colOff>
      <xdr:row>10</xdr:row>
      <xdr:rowOff>152400</xdr:rowOff>
    </xdr:to>
    <xdr:sp macro="" textlink="">
      <xdr:nvSpPr>
        <xdr:cNvPr id="377894" name="Text Box 38" hidden="1">
          <a:extLst>
            <a:ext uri="{FF2B5EF4-FFF2-40B4-BE49-F238E27FC236}">
              <a16:creationId xmlns:a16="http://schemas.microsoft.com/office/drawing/2014/main" id="{DF6EC3C3-F81D-7F8F-2429-A69C3C4D2944}"/>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278953</xdr:rowOff>
    </xdr:from>
    <xdr:to>
      <xdr:col>5</xdr:col>
      <xdr:colOff>105335</xdr:colOff>
      <xdr:row>56</xdr:row>
      <xdr:rowOff>278953</xdr:rowOff>
    </xdr:to>
    <xdr:sp macro="" textlink="">
      <xdr:nvSpPr>
        <xdr:cNvPr id="377893" name="Text Box 37" hidden="1">
          <a:extLst>
            <a:ext uri="{FF2B5EF4-FFF2-40B4-BE49-F238E27FC236}">
              <a16:creationId xmlns:a16="http://schemas.microsoft.com/office/drawing/2014/main" id="{7B606868-AE1E-CA68-ECA6-CB9C10CCE70F}"/>
            </a:ext>
          </a:extLst>
        </xdr:cNvPr>
        <xdr:cNvSpPr txBox="1">
          <a:spLocks noChangeArrowheads="1"/>
        </xdr:cNvSpPr>
      </xdr:nvSpPr>
      <xdr:spPr bwMode="auto">
        <a:xfrm>
          <a:off x="3994150" y="126111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278953</xdr:rowOff>
    </xdr:from>
    <xdr:to>
      <xdr:col>5</xdr:col>
      <xdr:colOff>124385</xdr:colOff>
      <xdr:row>81</xdr:row>
      <xdr:rowOff>29386</xdr:rowOff>
    </xdr:to>
    <xdr:sp macro="" textlink="">
      <xdr:nvSpPr>
        <xdr:cNvPr id="377892" name="Text Box 36" hidden="1">
          <a:extLst>
            <a:ext uri="{FF2B5EF4-FFF2-40B4-BE49-F238E27FC236}">
              <a16:creationId xmlns:a16="http://schemas.microsoft.com/office/drawing/2014/main" id="{D0A4F1D9-2B79-96DE-9792-BC2C10B316D7}"/>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278953</xdr:rowOff>
    </xdr:from>
    <xdr:to>
      <xdr:col>5</xdr:col>
      <xdr:colOff>105335</xdr:colOff>
      <xdr:row>80</xdr:row>
      <xdr:rowOff>29241</xdr:rowOff>
    </xdr:to>
    <xdr:sp macro="" textlink="">
      <xdr:nvSpPr>
        <xdr:cNvPr id="377891" name="Text Box 35" hidden="1">
          <a:extLst>
            <a:ext uri="{FF2B5EF4-FFF2-40B4-BE49-F238E27FC236}">
              <a16:creationId xmlns:a16="http://schemas.microsoft.com/office/drawing/2014/main" id="{0127FB38-E1A3-AF1B-400D-ABC8829800C3}"/>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278953</xdr:rowOff>
    </xdr:from>
    <xdr:to>
      <xdr:col>5</xdr:col>
      <xdr:colOff>105335</xdr:colOff>
      <xdr:row>80</xdr:row>
      <xdr:rowOff>67341</xdr:rowOff>
    </xdr:to>
    <xdr:sp macro="" textlink="">
      <xdr:nvSpPr>
        <xdr:cNvPr id="377890" name="Text Box 34" hidden="1">
          <a:extLst>
            <a:ext uri="{FF2B5EF4-FFF2-40B4-BE49-F238E27FC236}">
              <a16:creationId xmlns:a16="http://schemas.microsoft.com/office/drawing/2014/main" id="{A378E0BF-E9B0-6517-DF5F-D205BA3060B7}"/>
            </a:ext>
          </a:extLst>
        </xdr:cNvPr>
        <xdr:cNvSpPr txBox="1">
          <a:spLocks noChangeArrowheads="1"/>
        </xdr:cNvSpPr>
      </xdr:nvSpPr>
      <xdr:spPr bwMode="auto">
        <a:xfrm>
          <a:off x="3994150" y="12611100"/>
          <a:ext cx="13144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106929</xdr:rowOff>
    </xdr:from>
    <xdr:to>
      <xdr:col>5</xdr:col>
      <xdr:colOff>105335</xdr:colOff>
      <xdr:row>83</xdr:row>
      <xdr:rowOff>125731</xdr:rowOff>
    </xdr:to>
    <xdr:sp macro="" textlink="">
      <xdr:nvSpPr>
        <xdr:cNvPr id="377889" name="Text Box 33" hidden="1">
          <a:extLst>
            <a:ext uri="{FF2B5EF4-FFF2-40B4-BE49-F238E27FC236}">
              <a16:creationId xmlns:a16="http://schemas.microsoft.com/office/drawing/2014/main" id="{553D225F-5085-EF5E-A1EC-8580D5AEB7D7}"/>
            </a:ext>
          </a:extLst>
        </xdr:cNvPr>
        <xdr:cNvSpPr txBox="1">
          <a:spLocks noChangeArrowheads="1"/>
        </xdr:cNvSpPr>
      </xdr:nvSpPr>
      <xdr:spPr bwMode="auto">
        <a:xfrm>
          <a:off x="3994150" y="13652500"/>
          <a:ext cx="1314450" cy="460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103324</xdr:rowOff>
    </xdr:from>
    <xdr:to>
      <xdr:col>5</xdr:col>
      <xdr:colOff>105335</xdr:colOff>
      <xdr:row>92</xdr:row>
      <xdr:rowOff>95734</xdr:rowOff>
    </xdr:to>
    <xdr:sp macro="" textlink="">
      <xdr:nvSpPr>
        <xdr:cNvPr id="377888" name="Text Box 32" hidden="1">
          <a:extLst>
            <a:ext uri="{FF2B5EF4-FFF2-40B4-BE49-F238E27FC236}">
              <a16:creationId xmlns:a16="http://schemas.microsoft.com/office/drawing/2014/main" id="{6794A617-AF32-558D-692A-3B8BD1455284}"/>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50408</xdr:rowOff>
    </xdr:from>
    <xdr:to>
      <xdr:col>5</xdr:col>
      <xdr:colOff>105335</xdr:colOff>
      <xdr:row>90</xdr:row>
      <xdr:rowOff>164406</xdr:rowOff>
    </xdr:to>
    <xdr:sp macro="" textlink="">
      <xdr:nvSpPr>
        <xdr:cNvPr id="377887" name="Text Box 31" hidden="1">
          <a:extLst>
            <a:ext uri="{FF2B5EF4-FFF2-40B4-BE49-F238E27FC236}">
              <a16:creationId xmlns:a16="http://schemas.microsoft.com/office/drawing/2014/main" id="{39632756-4FB9-5EB1-EE30-74E162602729}"/>
            </a:ext>
          </a:extLst>
        </xdr:cNvPr>
        <xdr:cNvSpPr txBox="1">
          <a:spLocks noChangeArrowheads="1"/>
        </xdr:cNvSpPr>
      </xdr:nvSpPr>
      <xdr:spPr bwMode="auto">
        <a:xfrm>
          <a:off x="3994150" y="16859250"/>
          <a:ext cx="1314450" cy="274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158778</xdr:rowOff>
    </xdr:from>
    <xdr:to>
      <xdr:col>5</xdr:col>
      <xdr:colOff>105335</xdr:colOff>
      <xdr:row>91</xdr:row>
      <xdr:rowOff>68362</xdr:rowOff>
    </xdr:to>
    <xdr:sp macro="" textlink="">
      <xdr:nvSpPr>
        <xdr:cNvPr id="377886" name="Text Box 30" hidden="1">
          <a:extLst>
            <a:ext uri="{FF2B5EF4-FFF2-40B4-BE49-F238E27FC236}">
              <a16:creationId xmlns:a16="http://schemas.microsoft.com/office/drawing/2014/main" id="{D9C03A37-9E1F-9B9C-E8B2-28F43C41C772}"/>
            </a:ext>
          </a:extLst>
        </xdr:cNvPr>
        <xdr:cNvSpPr txBox="1">
          <a:spLocks noChangeArrowheads="1"/>
        </xdr:cNvSpPr>
      </xdr:nvSpPr>
      <xdr:spPr bwMode="auto">
        <a:xfrm>
          <a:off x="3994150" y="16973550"/>
          <a:ext cx="1314450" cy="271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173439</xdr:rowOff>
    </xdr:from>
    <xdr:to>
      <xdr:col>5</xdr:col>
      <xdr:colOff>105335</xdr:colOff>
      <xdr:row>94</xdr:row>
      <xdr:rowOff>29104</xdr:rowOff>
    </xdr:to>
    <xdr:sp macro="" textlink="">
      <xdr:nvSpPr>
        <xdr:cNvPr id="377885" name="Text Box 29" hidden="1">
          <a:extLst>
            <a:ext uri="{FF2B5EF4-FFF2-40B4-BE49-F238E27FC236}">
              <a16:creationId xmlns:a16="http://schemas.microsoft.com/office/drawing/2014/main" id="{77D54DC4-DF2A-6CFA-32C7-6FA8C9E6CC06}"/>
            </a:ext>
          </a:extLst>
        </xdr:cNvPr>
        <xdr:cNvSpPr txBox="1">
          <a:spLocks noChangeArrowheads="1"/>
        </xdr:cNvSpPr>
      </xdr:nvSpPr>
      <xdr:spPr bwMode="auto">
        <a:xfrm>
          <a:off x="3994150" y="1715770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10774</xdr:rowOff>
    </xdr:from>
    <xdr:to>
      <xdr:col>5</xdr:col>
      <xdr:colOff>105335</xdr:colOff>
      <xdr:row>111</xdr:row>
      <xdr:rowOff>105514</xdr:rowOff>
    </xdr:to>
    <xdr:sp macro="" textlink="">
      <xdr:nvSpPr>
        <xdr:cNvPr id="377884" name="Text Box 28" hidden="1">
          <a:extLst>
            <a:ext uri="{FF2B5EF4-FFF2-40B4-BE49-F238E27FC236}">
              <a16:creationId xmlns:a16="http://schemas.microsoft.com/office/drawing/2014/main" id="{EE8F3803-FBED-DFCD-606A-DF0D05DDCF33}"/>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27416</xdr:rowOff>
    </xdr:from>
    <xdr:to>
      <xdr:col>5</xdr:col>
      <xdr:colOff>105335</xdr:colOff>
      <xdr:row>108</xdr:row>
      <xdr:rowOff>124273</xdr:rowOff>
    </xdr:to>
    <xdr:sp macro="" textlink="">
      <xdr:nvSpPr>
        <xdr:cNvPr id="377883" name="Text Box 27" hidden="1">
          <a:extLst>
            <a:ext uri="{FF2B5EF4-FFF2-40B4-BE49-F238E27FC236}">
              <a16:creationId xmlns:a16="http://schemas.microsoft.com/office/drawing/2014/main" id="{E5E5FA2C-01F2-A136-CE36-2F2E538E610E}"/>
            </a:ext>
          </a:extLst>
        </xdr:cNvPr>
        <xdr:cNvSpPr txBox="1">
          <a:spLocks noChangeArrowheads="1"/>
        </xdr:cNvSpPr>
      </xdr:nvSpPr>
      <xdr:spPr bwMode="auto">
        <a:xfrm>
          <a:off x="3994150" y="2154555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69457</xdr:rowOff>
    </xdr:from>
    <xdr:to>
      <xdr:col>5</xdr:col>
      <xdr:colOff>105335</xdr:colOff>
      <xdr:row>108</xdr:row>
      <xdr:rowOff>65152</xdr:rowOff>
    </xdr:to>
    <xdr:sp macro="" textlink="">
      <xdr:nvSpPr>
        <xdr:cNvPr id="377882" name="Text Box 26" hidden="1">
          <a:extLst>
            <a:ext uri="{FF2B5EF4-FFF2-40B4-BE49-F238E27FC236}">
              <a16:creationId xmlns:a16="http://schemas.microsoft.com/office/drawing/2014/main" id="{A917A512-95A4-AD10-DE8A-EF050965FCA3}"/>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31357</xdr:rowOff>
    </xdr:from>
    <xdr:to>
      <xdr:col>5</xdr:col>
      <xdr:colOff>105335</xdr:colOff>
      <xdr:row>108</xdr:row>
      <xdr:rowOff>65152</xdr:rowOff>
    </xdr:to>
    <xdr:sp macro="" textlink="">
      <xdr:nvSpPr>
        <xdr:cNvPr id="377881" name="Text Box 25" hidden="1">
          <a:extLst>
            <a:ext uri="{FF2B5EF4-FFF2-40B4-BE49-F238E27FC236}">
              <a16:creationId xmlns:a16="http://schemas.microsoft.com/office/drawing/2014/main" id="{CB053F4E-2278-E467-00E0-9A67577E3878}"/>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125</xdr:row>
      <xdr:rowOff>10848</xdr:rowOff>
    </xdr:from>
    <xdr:to>
      <xdr:col>21</xdr:col>
      <xdr:colOff>257697</xdr:colOff>
      <xdr:row>129</xdr:row>
      <xdr:rowOff>29898</xdr:rowOff>
    </xdr:to>
    <xdr:sp macro="" textlink="">
      <xdr:nvSpPr>
        <xdr:cNvPr id="377880" name="Text Box 24" hidden="1">
          <a:extLst>
            <a:ext uri="{FF2B5EF4-FFF2-40B4-BE49-F238E27FC236}">
              <a16:creationId xmlns:a16="http://schemas.microsoft.com/office/drawing/2014/main" id="{FC2C3FF0-4FEE-159E-5A6E-0503740E3E7A}"/>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76200</xdr:rowOff>
    </xdr:to>
    <xdr:sp macro="" textlink="">
      <xdr:nvSpPr>
        <xdr:cNvPr id="377879" name="Text Box 23" hidden="1">
          <a:extLst>
            <a:ext uri="{FF2B5EF4-FFF2-40B4-BE49-F238E27FC236}">
              <a16:creationId xmlns:a16="http://schemas.microsoft.com/office/drawing/2014/main" id="{94A63BEC-E6AF-699C-A5D1-B934556787E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23</xdr:row>
      <xdr:rowOff>95250</xdr:rowOff>
    </xdr:from>
    <xdr:to>
      <xdr:col>22</xdr:col>
      <xdr:colOff>429146</xdr:colOff>
      <xdr:row>29</xdr:row>
      <xdr:rowOff>76200</xdr:rowOff>
    </xdr:to>
    <xdr:sp macro="" textlink="">
      <xdr:nvSpPr>
        <xdr:cNvPr id="377878" name="Text Box 22" hidden="1">
          <a:extLst>
            <a:ext uri="{FF2B5EF4-FFF2-40B4-BE49-F238E27FC236}">
              <a16:creationId xmlns:a16="http://schemas.microsoft.com/office/drawing/2014/main" id="{70324834-6E46-98B4-CE78-583DFBDB412A}"/>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129</xdr:row>
      <xdr:rowOff>29898</xdr:rowOff>
    </xdr:from>
    <xdr:to>
      <xdr:col>22</xdr:col>
      <xdr:colOff>429146</xdr:colOff>
      <xdr:row>133</xdr:row>
      <xdr:rowOff>10848</xdr:rowOff>
    </xdr:to>
    <xdr:sp macro="" textlink="">
      <xdr:nvSpPr>
        <xdr:cNvPr id="377877" name="Text Box 21" hidden="1">
          <a:extLst>
            <a:ext uri="{FF2B5EF4-FFF2-40B4-BE49-F238E27FC236}">
              <a16:creationId xmlns:a16="http://schemas.microsoft.com/office/drawing/2014/main" id="{71317CDD-18B0-B861-C1E5-4B3E0EC290E3}"/>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37</xdr:row>
      <xdr:rowOff>95250</xdr:rowOff>
    </xdr:from>
    <xdr:to>
      <xdr:col>11</xdr:col>
      <xdr:colOff>636501</xdr:colOff>
      <xdr:row>42</xdr:row>
      <xdr:rowOff>19050</xdr:rowOff>
    </xdr:to>
    <xdr:sp macro="" textlink="">
      <xdr:nvSpPr>
        <xdr:cNvPr id="377876" name="Text Box 20" hidden="1">
          <a:extLst>
            <a:ext uri="{FF2B5EF4-FFF2-40B4-BE49-F238E27FC236}">
              <a16:creationId xmlns:a16="http://schemas.microsoft.com/office/drawing/2014/main" id="{ADB909B8-7F84-D845-74CE-A269035DEF5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171450</xdr:rowOff>
    </xdr:to>
    <xdr:sp macro="" textlink="">
      <xdr:nvSpPr>
        <xdr:cNvPr id="377875" name="Text Box 19" hidden="1">
          <a:extLst>
            <a:ext uri="{FF2B5EF4-FFF2-40B4-BE49-F238E27FC236}">
              <a16:creationId xmlns:a16="http://schemas.microsoft.com/office/drawing/2014/main" id="{F892F668-0CFD-B66B-7178-AAAAEA0163A1}"/>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467247</xdr:colOff>
      <xdr:row>29</xdr:row>
      <xdr:rowOff>152400</xdr:rowOff>
    </xdr:to>
    <xdr:sp macro="" textlink="">
      <xdr:nvSpPr>
        <xdr:cNvPr id="377874" name="Text Box 18" hidden="1">
          <a:extLst>
            <a:ext uri="{FF2B5EF4-FFF2-40B4-BE49-F238E27FC236}">
              <a16:creationId xmlns:a16="http://schemas.microsoft.com/office/drawing/2014/main" id="{DD290760-C25A-051C-9CEF-5D05D91409C9}"/>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29898</xdr:rowOff>
    </xdr:from>
    <xdr:to>
      <xdr:col>24</xdr:col>
      <xdr:colOff>467247</xdr:colOff>
      <xdr:row>133</xdr:row>
      <xdr:rowOff>106098</xdr:rowOff>
    </xdr:to>
    <xdr:sp macro="" textlink="">
      <xdr:nvSpPr>
        <xdr:cNvPr id="377873" name="Text Box 17" hidden="1">
          <a:extLst>
            <a:ext uri="{FF2B5EF4-FFF2-40B4-BE49-F238E27FC236}">
              <a16:creationId xmlns:a16="http://schemas.microsoft.com/office/drawing/2014/main" id="{7F5CCCAE-1279-1C44-D71B-DE238A4FA3A1}"/>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25</xdr:col>
      <xdr:colOff>467247</xdr:colOff>
      <xdr:row>18</xdr:row>
      <xdr:rowOff>133350</xdr:rowOff>
    </xdr:to>
    <xdr:sp macro="" textlink="">
      <xdr:nvSpPr>
        <xdr:cNvPr id="377872" name="Text Box 16" hidden="1">
          <a:extLst>
            <a:ext uri="{FF2B5EF4-FFF2-40B4-BE49-F238E27FC236}">
              <a16:creationId xmlns:a16="http://schemas.microsoft.com/office/drawing/2014/main" id="{1D5F4B41-35C9-0A99-7726-F203CA787C70}"/>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25</xdr:col>
      <xdr:colOff>467247</xdr:colOff>
      <xdr:row>29</xdr:row>
      <xdr:rowOff>95250</xdr:rowOff>
    </xdr:to>
    <xdr:sp macro="" textlink="">
      <xdr:nvSpPr>
        <xdr:cNvPr id="377871" name="Text Box 15" hidden="1">
          <a:extLst>
            <a:ext uri="{FF2B5EF4-FFF2-40B4-BE49-F238E27FC236}">
              <a16:creationId xmlns:a16="http://schemas.microsoft.com/office/drawing/2014/main" id="{A3AA50C8-DDC3-D884-A050-176E001260E8}"/>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67998</xdr:rowOff>
    </xdr:from>
    <xdr:to>
      <xdr:col>25</xdr:col>
      <xdr:colOff>467247</xdr:colOff>
      <xdr:row>133</xdr:row>
      <xdr:rowOff>106098</xdr:rowOff>
    </xdr:to>
    <xdr:sp macro="" textlink="">
      <xdr:nvSpPr>
        <xdr:cNvPr id="377870" name="Text Box 14" hidden="1">
          <a:extLst>
            <a:ext uri="{FF2B5EF4-FFF2-40B4-BE49-F238E27FC236}">
              <a16:creationId xmlns:a16="http://schemas.microsoft.com/office/drawing/2014/main" id="{598886C9-3D06-EDBD-CC24-4F9A4335889C}"/>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41</xdr:row>
      <xdr:rowOff>76200</xdr:rowOff>
    </xdr:from>
    <xdr:to>
      <xdr:col>11</xdr:col>
      <xdr:colOff>712701</xdr:colOff>
      <xdr:row>45</xdr:row>
      <xdr:rowOff>95250</xdr:rowOff>
    </xdr:to>
    <xdr:sp macro="" textlink="">
      <xdr:nvSpPr>
        <xdr:cNvPr id="377869" name="Text Box 13" hidden="1">
          <a:extLst>
            <a:ext uri="{FF2B5EF4-FFF2-40B4-BE49-F238E27FC236}">
              <a16:creationId xmlns:a16="http://schemas.microsoft.com/office/drawing/2014/main" id="{391A1F4D-14EF-CBDB-CFEA-E90DE8471F83}"/>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41</xdr:row>
      <xdr:rowOff>76200</xdr:rowOff>
    </xdr:from>
    <xdr:to>
      <xdr:col>13</xdr:col>
      <xdr:colOff>504800</xdr:colOff>
      <xdr:row>45</xdr:row>
      <xdr:rowOff>95250</xdr:rowOff>
    </xdr:to>
    <xdr:sp macro="" textlink="">
      <xdr:nvSpPr>
        <xdr:cNvPr id="377868" name="Text Box 12" hidden="1">
          <a:extLst>
            <a:ext uri="{FF2B5EF4-FFF2-40B4-BE49-F238E27FC236}">
              <a16:creationId xmlns:a16="http://schemas.microsoft.com/office/drawing/2014/main" id="{8D9D2D30-D6DC-3DDF-2FEB-8183CC333DB3}"/>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521494</xdr:rowOff>
    </xdr:from>
    <xdr:to>
      <xdr:col>30</xdr:col>
      <xdr:colOff>439039</xdr:colOff>
      <xdr:row>29</xdr:row>
      <xdr:rowOff>19050</xdr:rowOff>
    </xdr:to>
    <xdr:sp macro="" textlink="">
      <xdr:nvSpPr>
        <xdr:cNvPr id="377867" name="Text Box 11" hidden="1">
          <a:extLst>
            <a:ext uri="{FF2B5EF4-FFF2-40B4-BE49-F238E27FC236}">
              <a16:creationId xmlns:a16="http://schemas.microsoft.com/office/drawing/2014/main" id="{30D459EA-A87D-40E3-2125-AA12F286139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56</xdr:row>
      <xdr:rowOff>278953</xdr:rowOff>
    </xdr:from>
    <xdr:to>
      <xdr:col>14</xdr:col>
      <xdr:colOff>362839</xdr:colOff>
      <xdr:row>56</xdr:row>
      <xdr:rowOff>336248</xdr:rowOff>
    </xdr:to>
    <xdr:sp macro="" textlink="">
      <xdr:nvSpPr>
        <xdr:cNvPr id="377866" name="Text Box 10" hidden="1">
          <a:extLst>
            <a:ext uri="{FF2B5EF4-FFF2-40B4-BE49-F238E27FC236}">
              <a16:creationId xmlns:a16="http://schemas.microsoft.com/office/drawing/2014/main" id="{9512F7DD-DA81-532A-F6BC-F2E0D1E5621F}"/>
            </a:ext>
          </a:extLst>
        </xdr:cNvPr>
        <xdr:cNvSpPr txBox="1">
          <a:spLocks noChangeArrowheads="1"/>
        </xdr:cNvSpPr>
      </xdr:nvSpPr>
      <xdr:spPr bwMode="auto">
        <a:xfrm>
          <a:off x="11957050" y="12611100"/>
          <a:ext cx="14160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29087</xdr:rowOff>
    </xdr:from>
    <xdr:to>
      <xdr:col>14</xdr:col>
      <xdr:colOff>447650</xdr:colOff>
      <xdr:row>70</xdr:row>
      <xdr:rowOff>169607</xdr:rowOff>
    </xdr:to>
    <xdr:sp macro="" textlink="">
      <xdr:nvSpPr>
        <xdr:cNvPr id="377865" name="Text Box 9" hidden="1">
          <a:extLst>
            <a:ext uri="{FF2B5EF4-FFF2-40B4-BE49-F238E27FC236}">
              <a16:creationId xmlns:a16="http://schemas.microsoft.com/office/drawing/2014/main" id="{CD1FE9A3-1DF0-C495-646E-93EA85558083}"/>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41</xdr:row>
      <xdr:rowOff>76200</xdr:rowOff>
    </xdr:from>
    <xdr:to>
      <xdr:col>14</xdr:col>
      <xdr:colOff>447650</xdr:colOff>
      <xdr:row>45</xdr:row>
      <xdr:rowOff>95250</xdr:rowOff>
    </xdr:to>
    <xdr:sp macro="" textlink="">
      <xdr:nvSpPr>
        <xdr:cNvPr id="377864" name="Text Box 8" hidden="1">
          <a:extLst>
            <a:ext uri="{FF2B5EF4-FFF2-40B4-BE49-F238E27FC236}">
              <a16:creationId xmlns:a16="http://schemas.microsoft.com/office/drawing/2014/main" id="{AED41548-19B4-3EEA-39CF-441F50272BE3}"/>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39971</xdr:rowOff>
    </xdr:from>
    <xdr:to>
      <xdr:col>5</xdr:col>
      <xdr:colOff>268754</xdr:colOff>
      <xdr:row>68</xdr:row>
      <xdr:rowOff>123651</xdr:rowOff>
    </xdr:to>
    <xdr:sp macro="" textlink="">
      <xdr:nvSpPr>
        <xdr:cNvPr id="377863" name="Text Box 7" hidden="1">
          <a:extLst>
            <a:ext uri="{FF2B5EF4-FFF2-40B4-BE49-F238E27FC236}">
              <a16:creationId xmlns:a16="http://schemas.microsoft.com/office/drawing/2014/main" id="{12572EEC-9D7A-5B6F-B8DF-7C465F613ABC}"/>
            </a:ext>
          </a:extLst>
        </xdr:cNvPr>
        <xdr:cNvSpPr txBox="1">
          <a:spLocks noChangeArrowheads="1"/>
        </xdr:cNvSpPr>
      </xdr:nvSpPr>
      <xdr:spPr bwMode="auto">
        <a:xfrm>
          <a:off x="4051300" y="12998450"/>
          <a:ext cx="1428750" cy="205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xdr:row>
      <xdr:rowOff>95250</xdr:rowOff>
    </xdr:from>
    <xdr:to>
      <xdr:col>26</xdr:col>
      <xdr:colOff>486298</xdr:colOff>
      <xdr:row>18</xdr:row>
      <xdr:rowOff>152400</xdr:rowOff>
    </xdr:to>
    <xdr:sp macro="" textlink="">
      <xdr:nvSpPr>
        <xdr:cNvPr id="377862" name="Text Box 6" hidden="1">
          <a:extLst>
            <a:ext uri="{FF2B5EF4-FFF2-40B4-BE49-F238E27FC236}">
              <a16:creationId xmlns:a16="http://schemas.microsoft.com/office/drawing/2014/main" id="{E9020C94-4717-79C0-21FF-98491DC524EC}"/>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23</xdr:row>
      <xdr:rowOff>95250</xdr:rowOff>
    </xdr:from>
    <xdr:to>
      <xdr:col>26</xdr:col>
      <xdr:colOff>486298</xdr:colOff>
      <xdr:row>27</xdr:row>
      <xdr:rowOff>152400</xdr:rowOff>
    </xdr:to>
    <xdr:sp macro="" textlink="">
      <xdr:nvSpPr>
        <xdr:cNvPr id="377861" name="Text Box 5" hidden="1">
          <a:extLst>
            <a:ext uri="{FF2B5EF4-FFF2-40B4-BE49-F238E27FC236}">
              <a16:creationId xmlns:a16="http://schemas.microsoft.com/office/drawing/2014/main" id="{2270E32E-16FA-F802-32D4-FDCD1AB0799A}"/>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125149</xdr:rowOff>
    </xdr:from>
    <xdr:to>
      <xdr:col>26</xdr:col>
      <xdr:colOff>486298</xdr:colOff>
      <xdr:row>135</xdr:row>
      <xdr:rowOff>153458</xdr:rowOff>
    </xdr:to>
    <xdr:sp macro="" textlink="">
      <xdr:nvSpPr>
        <xdr:cNvPr id="377860" name="Text Box 4" hidden="1">
          <a:extLst>
            <a:ext uri="{FF2B5EF4-FFF2-40B4-BE49-F238E27FC236}">
              <a16:creationId xmlns:a16="http://schemas.microsoft.com/office/drawing/2014/main" id="{C2F0F0BC-DD8D-33E5-35E1-309A6C911EB5}"/>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xdr:row>
      <xdr:rowOff>114300</xdr:rowOff>
    </xdr:from>
    <xdr:to>
      <xdr:col>27</xdr:col>
      <xdr:colOff>486296</xdr:colOff>
      <xdr:row>18</xdr:row>
      <xdr:rowOff>152400</xdr:rowOff>
    </xdr:to>
    <xdr:sp macro="" textlink="">
      <xdr:nvSpPr>
        <xdr:cNvPr id="377859" name="Text Box 3" hidden="1">
          <a:extLst>
            <a:ext uri="{FF2B5EF4-FFF2-40B4-BE49-F238E27FC236}">
              <a16:creationId xmlns:a16="http://schemas.microsoft.com/office/drawing/2014/main" id="{F094A578-1ED3-2F18-5176-46CA38BF7B32}"/>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114300</xdr:rowOff>
    </xdr:from>
    <xdr:to>
      <xdr:col>27</xdr:col>
      <xdr:colOff>486296</xdr:colOff>
      <xdr:row>27</xdr:row>
      <xdr:rowOff>152400</xdr:rowOff>
    </xdr:to>
    <xdr:sp macro="" textlink="">
      <xdr:nvSpPr>
        <xdr:cNvPr id="377858" name="Text Box 2" hidden="1">
          <a:extLst>
            <a:ext uri="{FF2B5EF4-FFF2-40B4-BE49-F238E27FC236}">
              <a16:creationId xmlns:a16="http://schemas.microsoft.com/office/drawing/2014/main" id="{F41BF2E6-211F-B99E-F06B-26273FEB1BF4}"/>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131</xdr:row>
      <xdr:rowOff>125149</xdr:rowOff>
    </xdr:from>
    <xdr:to>
      <xdr:col>27</xdr:col>
      <xdr:colOff>486296</xdr:colOff>
      <xdr:row>135</xdr:row>
      <xdr:rowOff>153458</xdr:rowOff>
    </xdr:to>
    <xdr:sp macro="" textlink="">
      <xdr:nvSpPr>
        <xdr:cNvPr id="377857" name="Text Box 1" hidden="1">
          <a:extLst>
            <a:ext uri="{FF2B5EF4-FFF2-40B4-BE49-F238E27FC236}">
              <a16:creationId xmlns:a16="http://schemas.microsoft.com/office/drawing/2014/main" id="{087C2E4A-7D85-5C13-B471-AED101A78765}"/>
            </a:ext>
          </a:extLst>
        </xdr:cNvPr>
        <xdr:cNvSpPr txBox="1">
          <a:spLocks noChangeArrowheads="1"/>
        </xdr:cNvSpPr>
      </xdr:nvSpPr>
      <xdr:spPr bwMode="auto">
        <a:xfrm>
          <a:off x="22313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95250</xdr:rowOff>
    </xdr:from>
    <xdr:to>
      <xdr:col>18</xdr:col>
      <xdr:colOff>229489</xdr:colOff>
      <xdr:row>10</xdr:row>
      <xdr:rowOff>152400</xdr:rowOff>
    </xdr:to>
    <xdr:sp macro="" textlink="">
      <xdr:nvSpPr>
        <xdr:cNvPr id="377932" name="Text Box 76" hidden="1">
          <a:extLst>
            <a:ext uri="{FF2B5EF4-FFF2-40B4-BE49-F238E27FC236}">
              <a16:creationId xmlns:a16="http://schemas.microsoft.com/office/drawing/2014/main" id="{79078806-E20E-FA8D-24D9-B76E23C1CE65}"/>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278953</xdr:rowOff>
    </xdr:from>
    <xdr:to>
      <xdr:col>5</xdr:col>
      <xdr:colOff>105335</xdr:colOff>
      <xdr:row>56</xdr:row>
      <xdr:rowOff>278953</xdr:rowOff>
    </xdr:to>
    <xdr:sp macro="" textlink="">
      <xdr:nvSpPr>
        <xdr:cNvPr id="377931" name="Text Box 75" hidden="1">
          <a:extLst>
            <a:ext uri="{FF2B5EF4-FFF2-40B4-BE49-F238E27FC236}">
              <a16:creationId xmlns:a16="http://schemas.microsoft.com/office/drawing/2014/main" id="{37D24F6A-3472-06B3-4979-4FE66AD0C5C3}"/>
            </a:ext>
          </a:extLst>
        </xdr:cNvPr>
        <xdr:cNvSpPr txBox="1">
          <a:spLocks noChangeArrowheads="1"/>
        </xdr:cNvSpPr>
      </xdr:nvSpPr>
      <xdr:spPr bwMode="auto">
        <a:xfrm>
          <a:off x="3994150" y="126111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278953</xdr:rowOff>
    </xdr:from>
    <xdr:to>
      <xdr:col>5</xdr:col>
      <xdr:colOff>124385</xdr:colOff>
      <xdr:row>81</xdr:row>
      <xdr:rowOff>29386</xdr:rowOff>
    </xdr:to>
    <xdr:sp macro="" textlink="">
      <xdr:nvSpPr>
        <xdr:cNvPr id="377930" name="Text Box 74" hidden="1">
          <a:extLst>
            <a:ext uri="{FF2B5EF4-FFF2-40B4-BE49-F238E27FC236}">
              <a16:creationId xmlns:a16="http://schemas.microsoft.com/office/drawing/2014/main" id="{CD05E2A1-EFE8-A95D-25D9-E40C9B9CB2E4}"/>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278953</xdr:rowOff>
    </xdr:from>
    <xdr:to>
      <xdr:col>5</xdr:col>
      <xdr:colOff>105335</xdr:colOff>
      <xdr:row>80</xdr:row>
      <xdr:rowOff>29241</xdr:rowOff>
    </xdr:to>
    <xdr:sp macro="" textlink="">
      <xdr:nvSpPr>
        <xdr:cNvPr id="377929" name="Text Box 73" hidden="1">
          <a:extLst>
            <a:ext uri="{FF2B5EF4-FFF2-40B4-BE49-F238E27FC236}">
              <a16:creationId xmlns:a16="http://schemas.microsoft.com/office/drawing/2014/main" id="{2A5698BB-6DF8-DC6B-55FD-FDEDE8E6A3F5}"/>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278953</xdr:rowOff>
    </xdr:from>
    <xdr:to>
      <xdr:col>5</xdr:col>
      <xdr:colOff>105335</xdr:colOff>
      <xdr:row>80</xdr:row>
      <xdr:rowOff>67341</xdr:rowOff>
    </xdr:to>
    <xdr:sp macro="" textlink="">
      <xdr:nvSpPr>
        <xdr:cNvPr id="377928" name="Text Box 72" hidden="1">
          <a:extLst>
            <a:ext uri="{FF2B5EF4-FFF2-40B4-BE49-F238E27FC236}">
              <a16:creationId xmlns:a16="http://schemas.microsoft.com/office/drawing/2014/main" id="{255BAB03-8F82-991C-AE60-8D0230249725}"/>
            </a:ext>
          </a:extLst>
        </xdr:cNvPr>
        <xdr:cNvSpPr txBox="1">
          <a:spLocks noChangeArrowheads="1"/>
        </xdr:cNvSpPr>
      </xdr:nvSpPr>
      <xdr:spPr bwMode="auto">
        <a:xfrm>
          <a:off x="3994150" y="12611100"/>
          <a:ext cx="13144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106929</xdr:rowOff>
    </xdr:from>
    <xdr:to>
      <xdr:col>5</xdr:col>
      <xdr:colOff>105335</xdr:colOff>
      <xdr:row>83</xdr:row>
      <xdr:rowOff>125731</xdr:rowOff>
    </xdr:to>
    <xdr:sp macro="" textlink="">
      <xdr:nvSpPr>
        <xdr:cNvPr id="377927" name="Text Box 71" hidden="1">
          <a:extLst>
            <a:ext uri="{FF2B5EF4-FFF2-40B4-BE49-F238E27FC236}">
              <a16:creationId xmlns:a16="http://schemas.microsoft.com/office/drawing/2014/main" id="{071CC272-6ECD-0C72-D40F-3C7AE52B63F6}"/>
            </a:ext>
          </a:extLst>
        </xdr:cNvPr>
        <xdr:cNvSpPr txBox="1">
          <a:spLocks noChangeArrowheads="1"/>
        </xdr:cNvSpPr>
      </xdr:nvSpPr>
      <xdr:spPr bwMode="auto">
        <a:xfrm>
          <a:off x="3994150" y="13652500"/>
          <a:ext cx="1314450" cy="460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103324</xdr:rowOff>
    </xdr:from>
    <xdr:to>
      <xdr:col>5</xdr:col>
      <xdr:colOff>105335</xdr:colOff>
      <xdr:row>92</xdr:row>
      <xdr:rowOff>95734</xdr:rowOff>
    </xdr:to>
    <xdr:sp macro="" textlink="">
      <xdr:nvSpPr>
        <xdr:cNvPr id="377926" name="Text Box 70" hidden="1">
          <a:extLst>
            <a:ext uri="{FF2B5EF4-FFF2-40B4-BE49-F238E27FC236}">
              <a16:creationId xmlns:a16="http://schemas.microsoft.com/office/drawing/2014/main" id="{95216A62-38B1-54BF-E56D-220BB1170EFE}"/>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50408</xdr:rowOff>
    </xdr:from>
    <xdr:to>
      <xdr:col>5</xdr:col>
      <xdr:colOff>105335</xdr:colOff>
      <xdr:row>90</xdr:row>
      <xdr:rowOff>164406</xdr:rowOff>
    </xdr:to>
    <xdr:sp macro="" textlink="">
      <xdr:nvSpPr>
        <xdr:cNvPr id="377925" name="Text Box 69" hidden="1">
          <a:extLst>
            <a:ext uri="{FF2B5EF4-FFF2-40B4-BE49-F238E27FC236}">
              <a16:creationId xmlns:a16="http://schemas.microsoft.com/office/drawing/2014/main" id="{2429A095-610E-534C-4B89-2A5043FBAF88}"/>
            </a:ext>
          </a:extLst>
        </xdr:cNvPr>
        <xdr:cNvSpPr txBox="1">
          <a:spLocks noChangeArrowheads="1"/>
        </xdr:cNvSpPr>
      </xdr:nvSpPr>
      <xdr:spPr bwMode="auto">
        <a:xfrm>
          <a:off x="3994150" y="16859250"/>
          <a:ext cx="1314450" cy="274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158778</xdr:rowOff>
    </xdr:from>
    <xdr:to>
      <xdr:col>5</xdr:col>
      <xdr:colOff>105335</xdr:colOff>
      <xdr:row>91</xdr:row>
      <xdr:rowOff>68362</xdr:rowOff>
    </xdr:to>
    <xdr:sp macro="" textlink="">
      <xdr:nvSpPr>
        <xdr:cNvPr id="377924" name="Text Box 68" hidden="1">
          <a:extLst>
            <a:ext uri="{FF2B5EF4-FFF2-40B4-BE49-F238E27FC236}">
              <a16:creationId xmlns:a16="http://schemas.microsoft.com/office/drawing/2014/main" id="{BDE69208-5F1B-997E-BE2B-E1081A426792}"/>
            </a:ext>
          </a:extLst>
        </xdr:cNvPr>
        <xdr:cNvSpPr txBox="1">
          <a:spLocks noChangeArrowheads="1"/>
        </xdr:cNvSpPr>
      </xdr:nvSpPr>
      <xdr:spPr bwMode="auto">
        <a:xfrm>
          <a:off x="3994150" y="16973550"/>
          <a:ext cx="1314450" cy="271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173439</xdr:rowOff>
    </xdr:from>
    <xdr:to>
      <xdr:col>5</xdr:col>
      <xdr:colOff>105335</xdr:colOff>
      <xdr:row>94</xdr:row>
      <xdr:rowOff>29104</xdr:rowOff>
    </xdr:to>
    <xdr:sp macro="" textlink="">
      <xdr:nvSpPr>
        <xdr:cNvPr id="377923" name="Text Box 67" hidden="1">
          <a:extLst>
            <a:ext uri="{FF2B5EF4-FFF2-40B4-BE49-F238E27FC236}">
              <a16:creationId xmlns:a16="http://schemas.microsoft.com/office/drawing/2014/main" id="{CCDCB290-4A88-06CE-274B-E903C493FF5A}"/>
            </a:ext>
          </a:extLst>
        </xdr:cNvPr>
        <xdr:cNvSpPr txBox="1">
          <a:spLocks noChangeArrowheads="1"/>
        </xdr:cNvSpPr>
      </xdr:nvSpPr>
      <xdr:spPr bwMode="auto">
        <a:xfrm>
          <a:off x="3994150" y="1715770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10774</xdr:rowOff>
    </xdr:from>
    <xdr:to>
      <xdr:col>5</xdr:col>
      <xdr:colOff>105335</xdr:colOff>
      <xdr:row>111</xdr:row>
      <xdr:rowOff>105514</xdr:rowOff>
    </xdr:to>
    <xdr:sp macro="" textlink="">
      <xdr:nvSpPr>
        <xdr:cNvPr id="377922" name="Text Box 66" hidden="1">
          <a:extLst>
            <a:ext uri="{FF2B5EF4-FFF2-40B4-BE49-F238E27FC236}">
              <a16:creationId xmlns:a16="http://schemas.microsoft.com/office/drawing/2014/main" id="{4C88D7DA-7B31-948B-43C9-6E2BFC47C7CE}"/>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27416</xdr:rowOff>
    </xdr:from>
    <xdr:to>
      <xdr:col>5</xdr:col>
      <xdr:colOff>105335</xdr:colOff>
      <xdr:row>108</xdr:row>
      <xdr:rowOff>124273</xdr:rowOff>
    </xdr:to>
    <xdr:sp macro="" textlink="">
      <xdr:nvSpPr>
        <xdr:cNvPr id="377921" name="Text Box 65" hidden="1">
          <a:extLst>
            <a:ext uri="{FF2B5EF4-FFF2-40B4-BE49-F238E27FC236}">
              <a16:creationId xmlns:a16="http://schemas.microsoft.com/office/drawing/2014/main" id="{EFD48D14-C813-9F16-F583-E58563965E7E}"/>
            </a:ext>
          </a:extLst>
        </xdr:cNvPr>
        <xdr:cNvSpPr txBox="1">
          <a:spLocks noChangeArrowheads="1"/>
        </xdr:cNvSpPr>
      </xdr:nvSpPr>
      <xdr:spPr bwMode="auto">
        <a:xfrm>
          <a:off x="3994150" y="2154555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69457</xdr:rowOff>
    </xdr:from>
    <xdr:to>
      <xdr:col>5</xdr:col>
      <xdr:colOff>105335</xdr:colOff>
      <xdr:row>108</xdr:row>
      <xdr:rowOff>65152</xdr:rowOff>
    </xdr:to>
    <xdr:sp macro="" textlink="">
      <xdr:nvSpPr>
        <xdr:cNvPr id="377920" name="Text Box 64" hidden="1">
          <a:extLst>
            <a:ext uri="{FF2B5EF4-FFF2-40B4-BE49-F238E27FC236}">
              <a16:creationId xmlns:a16="http://schemas.microsoft.com/office/drawing/2014/main" id="{7225CF9A-3EA7-9048-EE1D-3C41AAD5E9B8}"/>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31357</xdr:rowOff>
    </xdr:from>
    <xdr:to>
      <xdr:col>5</xdr:col>
      <xdr:colOff>105335</xdr:colOff>
      <xdr:row>108</xdr:row>
      <xdr:rowOff>65152</xdr:rowOff>
    </xdr:to>
    <xdr:sp macro="" textlink="">
      <xdr:nvSpPr>
        <xdr:cNvPr id="377919" name="Text Box 63" hidden="1">
          <a:extLst>
            <a:ext uri="{FF2B5EF4-FFF2-40B4-BE49-F238E27FC236}">
              <a16:creationId xmlns:a16="http://schemas.microsoft.com/office/drawing/2014/main" id="{B116AD8A-DBFA-48D0-7679-3A77960A6356}"/>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125</xdr:row>
      <xdr:rowOff>10848</xdr:rowOff>
    </xdr:from>
    <xdr:to>
      <xdr:col>21</xdr:col>
      <xdr:colOff>257697</xdr:colOff>
      <xdr:row>129</xdr:row>
      <xdr:rowOff>29898</xdr:rowOff>
    </xdr:to>
    <xdr:sp macro="" textlink="">
      <xdr:nvSpPr>
        <xdr:cNvPr id="377918" name="Text Box 62" hidden="1">
          <a:extLst>
            <a:ext uri="{FF2B5EF4-FFF2-40B4-BE49-F238E27FC236}">
              <a16:creationId xmlns:a16="http://schemas.microsoft.com/office/drawing/2014/main" id="{0AD0D513-E2FE-3A2B-303D-892935DB7FBB}"/>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76200</xdr:rowOff>
    </xdr:to>
    <xdr:sp macro="" textlink="">
      <xdr:nvSpPr>
        <xdr:cNvPr id="377917" name="Text Box 61" hidden="1">
          <a:extLst>
            <a:ext uri="{FF2B5EF4-FFF2-40B4-BE49-F238E27FC236}">
              <a16:creationId xmlns:a16="http://schemas.microsoft.com/office/drawing/2014/main" id="{5CEB3936-5360-0463-1A55-04CCE636E5D9}"/>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23</xdr:row>
      <xdr:rowOff>95250</xdr:rowOff>
    </xdr:from>
    <xdr:to>
      <xdr:col>22</xdr:col>
      <xdr:colOff>429146</xdr:colOff>
      <xdr:row>29</xdr:row>
      <xdr:rowOff>76200</xdr:rowOff>
    </xdr:to>
    <xdr:sp macro="" textlink="">
      <xdr:nvSpPr>
        <xdr:cNvPr id="377916" name="Text Box 60" hidden="1">
          <a:extLst>
            <a:ext uri="{FF2B5EF4-FFF2-40B4-BE49-F238E27FC236}">
              <a16:creationId xmlns:a16="http://schemas.microsoft.com/office/drawing/2014/main" id="{D455677F-A546-E84B-B6D1-DD6558AEE279}"/>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129</xdr:row>
      <xdr:rowOff>29898</xdr:rowOff>
    </xdr:from>
    <xdr:to>
      <xdr:col>22</xdr:col>
      <xdr:colOff>429146</xdr:colOff>
      <xdr:row>133</xdr:row>
      <xdr:rowOff>10848</xdr:rowOff>
    </xdr:to>
    <xdr:sp macro="" textlink="">
      <xdr:nvSpPr>
        <xdr:cNvPr id="377915" name="Text Box 59" hidden="1">
          <a:extLst>
            <a:ext uri="{FF2B5EF4-FFF2-40B4-BE49-F238E27FC236}">
              <a16:creationId xmlns:a16="http://schemas.microsoft.com/office/drawing/2014/main" id="{5C81BEBE-2E43-D87B-7858-06DC80DD3F90}"/>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37</xdr:row>
      <xdr:rowOff>95250</xdr:rowOff>
    </xdr:from>
    <xdr:to>
      <xdr:col>11</xdr:col>
      <xdr:colOff>636501</xdr:colOff>
      <xdr:row>42</xdr:row>
      <xdr:rowOff>19050</xdr:rowOff>
    </xdr:to>
    <xdr:sp macro="" textlink="">
      <xdr:nvSpPr>
        <xdr:cNvPr id="377914" name="Text Box 58" hidden="1">
          <a:extLst>
            <a:ext uri="{FF2B5EF4-FFF2-40B4-BE49-F238E27FC236}">
              <a16:creationId xmlns:a16="http://schemas.microsoft.com/office/drawing/2014/main" id="{FA7B6633-BD64-49F2-9DA9-8327F775D1A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171450</xdr:rowOff>
    </xdr:to>
    <xdr:sp macro="" textlink="">
      <xdr:nvSpPr>
        <xdr:cNvPr id="377913" name="Text Box 57" hidden="1">
          <a:extLst>
            <a:ext uri="{FF2B5EF4-FFF2-40B4-BE49-F238E27FC236}">
              <a16:creationId xmlns:a16="http://schemas.microsoft.com/office/drawing/2014/main" id="{EA589FCD-E4A9-BDB4-670C-13F204544FAA}"/>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467247</xdr:colOff>
      <xdr:row>29</xdr:row>
      <xdr:rowOff>152400</xdr:rowOff>
    </xdr:to>
    <xdr:sp macro="" textlink="">
      <xdr:nvSpPr>
        <xdr:cNvPr id="377912" name="Text Box 56" hidden="1">
          <a:extLst>
            <a:ext uri="{FF2B5EF4-FFF2-40B4-BE49-F238E27FC236}">
              <a16:creationId xmlns:a16="http://schemas.microsoft.com/office/drawing/2014/main" id="{11ADF56A-C505-BB39-06E0-DD21CDB793FA}"/>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29898</xdr:rowOff>
    </xdr:from>
    <xdr:to>
      <xdr:col>24</xdr:col>
      <xdr:colOff>467247</xdr:colOff>
      <xdr:row>133</xdr:row>
      <xdr:rowOff>106098</xdr:rowOff>
    </xdr:to>
    <xdr:sp macro="" textlink="">
      <xdr:nvSpPr>
        <xdr:cNvPr id="377911" name="Text Box 55" hidden="1">
          <a:extLst>
            <a:ext uri="{FF2B5EF4-FFF2-40B4-BE49-F238E27FC236}">
              <a16:creationId xmlns:a16="http://schemas.microsoft.com/office/drawing/2014/main" id="{D8DA7B17-22F4-3067-7201-503505E955F2}"/>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25</xdr:col>
      <xdr:colOff>467247</xdr:colOff>
      <xdr:row>18</xdr:row>
      <xdr:rowOff>133350</xdr:rowOff>
    </xdr:to>
    <xdr:sp macro="" textlink="">
      <xdr:nvSpPr>
        <xdr:cNvPr id="377910" name="Text Box 54" hidden="1">
          <a:extLst>
            <a:ext uri="{FF2B5EF4-FFF2-40B4-BE49-F238E27FC236}">
              <a16:creationId xmlns:a16="http://schemas.microsoft.com/office/drawing/2014/main" id="{2D25685F-1840-FEAA-5FD2-9D5AFFCDE21C}"/>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25</xdr:col>
      <xdr:colOff>467247</xdr:colOff>
      <xdr:row>29</xdr:row>
      <xdr:rowOff>95250</xdr:rowOff>
    </xdr:to>
    <xdr:sp macro="" textlink="">
      <xdr:nvSpPr>
        <xdr:cNvPr id="377909" name="Text Box 53" hidden="1">
          <a:extLst>
            <a:ext uri="{FF2B5EF4-FFF2-40B4-BE49-F238E27FC236}">
              <a16:creationId xmlns:a16="http://schemas.microsoft.com/office/drawing/2014/main" id="{1A6E2C3F-3F14-A1CC-4DF8-FEE413C31777}"/>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67998</xdr:rowOff>
    </xdr:from>
    <xdr:to>
      <xdr:col>25</xdr:col>
      <xdr:colOff>467247</xdr:colOff>
      <xdr:row>133</xdr:row>
      <xdr:rowOff>106098</xdr:rowOff>
    </xdr:to>
    <xdr:sp macro="" textlink="">
      <xdr:nvSpPr>
        <xdr:cNvPr id="377908" name="Text Box 52" hidden="1">
          <a:extLst>
            <a:ext uri="{FF2B5EF4-FFF2-40B4-BE49-F238E27FC236}">
              <a16:creationId xmlns:a16="http://schemas.microsoft.com/office/drawing/2014/main" id="{D4276169-337F-61B8-3B67-FDE8D499A368}"/>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41</xdr:row>
      <xdr:rowOff>76200</xdr:rowOff>
    </xdr:from>
    <xdr:to>
      <xdr:col>11</xdr:col>
      <xdr:colOff>712701</xdr:colOff>
      <xdr:row>45</xdr:row>
      <xdr:rowOff>95250</xdr:rowOff>
    </xdr:to>
    <xdr:sp macro="" textlink="">
      <xdr:nvSpPr>
        <xdr:cNvPr id="377907" name="Text Box 51" hidden="1">
          <a:extLst>
            <a:ext uri="{FF2B5EF4-FFF2-40B4-BE49-F238E27FC236}">
              <a16:creationId xmlns:a16="http://schemas.microsoft.com/office/drawing/2014/main" id="{B7F53AF3-B399-0E13-91FC-FA658EBD67BE}"/>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41</xdr:row>
      <xdr:rowOff>76200</xdr:rowOff>
    </xdr:from>
    <xdr:to>
      <xdr:col>13</xdr:col>
      <xdr:colOff>504800</xdr:colOff>
      <xdr:row>45</xdr:row>
      <xdr:rowOff>95250</xdr:rowOff>
    </xdr:to>
    <xdr:sp macro="" textlink="">
      <xdr:nvSpPr>
        <xdr:cNvPr id="377906" name="Text Box 50" hidden="1">
          <a:extLst>
            <a:ext uri="{FF2B5EF4-FFF2-40B4-BE49-F238E27FC236}">
              <a16:creationId xmlns:a16="http://schemas.microsoft.com/office/drawing/2014/main" id="{3DE51763-806B-D5D4-FDD0-0A5017BDB24D}"/>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521494</xdr:rowOff>
    </xdr:from>
    <xdr:to>
      <xdr:col>30</xdr:col>
      <xdr:colOff>439039</xdr:colOff>
      <xdr:row>29</xdr:row>
      <xdr:rowOff>19050</xdr:rowOff>
    </xdr:to>
    <xdr:sp macro="" textlink="">
      <xdr:nvSpPr>
        <xdr:cNvPr id="377905" name="Text Box 49" hidden="1">
          <a:extLst>
            <a:ext uri="{FF2B5EF4-FFF2-40B4-BE49-F238E27FC236}">
              <a16:creationId xmlns:a16="http://schemas.microsoft.com/office/drawing/2014/main" id="{5153B785-1898-BC27-CD51-B9D6FA47AD4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56</xdr:row>
      <xdr:rowOff>278953</xdr:rowOff>
    </xdr:from>
    <xdr:to>
      <xdr:col>14</xdr:col>
      <xdr:colOff>362839</xdr:colOff>
      <xdr:row>56</xdr:row>
      <xdr:rowOff>336248</xdr:rowOff>
    </xdr:to>
    <xdr:sp macro="" textlink="">
      <xdr:nvSpPr>
        <xdr:cNvPr id="377904" name="Text Box 48" hidden="1">
          <a:extLst>
            <a:ext uri="{FF2B5EF4-FFF2-40B4-BE49-F238E27FC236}">
              <a16:creationId xmlns:a16="http://schemas.microsoft.com/office/drawing/2014/main" id="{CDF0AC44-331C-AB42-F1DD-DCC64B826465}"/>
            </a:ext>
          </a:extLst>
        </xdr:cNvPr>
        <xdr:cNvSpPr txBox="1">
          <a:spLocks noChangeArrowheads="1"/>
        </xdr:cNvSpPr>
      </xdr:nvSpPr>
      <xdr:spPr bwMode="auto">
        <a:xfrm>
          <a:off x="11957050" y="12611100"/>
          <a:ext cx="14160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29087</xdr:rowOff>
    </xdr:from>
    <xdr:to>
      <xdr:col>14</xdr:col>
      <xdr:colOff>447650</xdr:colOff>
      <xdr:row>70</xdr:row>
      <xdr:rowOff>169607</xdr:rowOff>
    </xdr:to>
    <xdr:sp macro="" textlink="">
      <xdr:nvSpPr>
        <xdr:cNvPr id="377903" name="Text Box 47" hidden="1">
          <a:extLst>
            <a:ext uri="{FF2B5EF4-FFF2-40B4-BE49-F238E27FC236}">
              <a16:creationId xmlns:a16="http://schemas.microsoft.com/office/drawing/2014/main" id="{16F26A94-6499-7A85-BBB8-FC49CE90A317}"/>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41</xdr:row>
      <xdr:rowOff>76200</xdr:rowOff>
    </xdr:from>
    <xdr:to>
      <xdr:col>14</xdr:col>
      <xdr:colOff>447650</xdr:colOff>
      <xdr:row>45</xdr:row>
      <xdr:rowOff>95250</xdr:rowOff>
    </xdr:to>
    <xdr:sp macro="" textlink="">
      <xdr:nvSpPr>
        <xdr:cNvPr id="377902" name="Text Box 46" hidden="1">
          <a:extLst>
            <a:ext uri="{FF2B5EF4-FFF2-40B4-BE49-F238E27FC236}">
              <a16:creationId xmlns:a16="http://schemas.microsoft.com/office/drawing/2014/main" id="{82E2123B-F07D-5AB7-D4A2-7815F29CCDD9}"/>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39971</xdr:rowOff>
    </xdr:from>
    <xdr:to>
      <xdr:col>5</xdr:col>
      <xdr:colOff>268754</xdr:colOff>
      <xdr:row>68</xdr:row>
      <xdr:rowOff>123651</xdr:rowOff>
    </xdr:to>
    <xdr:sp macro="" textlink="">
      <xdr:nvSpPr>
        <xdr:cNvPr id="377901" name="Text Box 45" hidden="1">
          <a:extLst>
            <a:ext uri="{FF2B5EF4-FFF2-40B4-BE49-F238E27FC236}">
              <a16:creationId xmlns:a16="http://schemas.microsoft.com/office/drawing/2014/main" id="{F9D3601B-AFF6-ED93-D6E3-4CA6B877E50C}"/>
            </a:ext>
          </a:extLst>
        </xdr:cNvPr>
        <xdr:cNvSpPr txBox="1">
          <a:spLocks noChangeArrowheads="1"/>
        </xdr:cNvSpPr>
      </xdr:nvSpPr>
      <xdr:spPr bwMode="auto">
        <a:xfrm>
          <a:off x="4051300" y="12998450"/>
          <a:ext cx="1428750" cy="205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xdr:row>
      <xdr:rowOff>95250</xdr:rowOff>
    </xdr:from>
    <xdr:to>
      <xdr:col>26</xdr:col>
      <xdr:colOff>486298</xdr:colOff>
      <xdr:row>18</xdr:row>
      <xdr:rowOff>152400</xdr:rowOff>
    </xdr:to>
    <xdr:sp macro="" textlink="">
      <xdr:nvSpPr>
        <xdr:cNvPr id="377900" name="Text Box 44" hidden="1">
          <a:extLst>
            <a:ext uri="{FF2B5EF4-FFF2-40B4-BE49-F238E27FC236}">
              <a16:creationId xmlns:a16="http://schemas.microsoft.com/office/drawing/2014/main" id="{A9A3DB48-59D3-7654-B102-AEEA2C7EF302}"/>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23</xdr:row>
      <xdr:rowOff>95250</xdr:rowOff>
    </xdr:from>
    <xdr:to>
      <xdr:col>26</xdr:col>
      <xdr:colOff>486298</xdr:colOff>
      <xdr:row>27</xdr:row>
      <xdr:rowOff>152400</xdr:rowOff>
    </xdr:to>
    <xdr:sp macro="" textlink="">
      <xdr:nvSpPr>
        <xdr:cNvPr id="377899" name="Text Box 43" hidden="1">
          <a:extLst>
            <a:ext uri="{FF2B5EF4-FFF2-40B4-BE49-F238E27FC236}">
              <a16:creationId xmlns:a16="http://schemas.microsoft.com/office/drawing/2014/main" id="{23BF4DD5-9E53-6EC9-E702-D7CC8CD3A1F0}"/>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125149</xdr:rowOff>
    </xdr:from>
    <xdr:to>
      <xdr:col>26</xdr:col>
      <xdr:colOff>486298</xdr:colOff>
      <xdr:row>135</xdr:row>
      <xdr:rowOff>153458</xdr:rowOff>
    </xdr:to>
    <xdr:sp macro="" textlink="">
      <xdr:nvSpPr>
        <xdr:cNvPr id="377898" name="Text Box 42" hidden="1">
          <a:extLst>
            <a:ext uri="{FF2B5EF4-FFF2-40B4-BE49-F238E27FC236}">
              <a16:creationId xmlns:a16="http://schemas.microsoft.com/office/drawing/2014/main" id="{2C05280E-7FDF-9946-AF6E-FFAF181B7526}"/>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xdr:row>
      <xdr:rowOff>114300</xdr:rowOff>
    </xdr:from>
    <xdr:to>
      <xdr:col>27</xdr:col>
      <xdr:colOff>486296</xdr:colOff>
      <xdr:row>18</xdr:row>
      <xdr:rowOff>152400</xdr:rowOff>
    </xdr:to>
    <xdr:sp macro="" textlink="">
      <xdr:nvSpPr>
        <xdr:cNvPr id="377897" name="Text Box 41" hidden="1">
          <a:extLst>
            <a:ext uri="{FF2B5EF4-FFF2-40B4-BE49-F238E27FC236}">
              <a16:creationId xmlns:a16="http://schemas.microsoft.com/office/drawing/2014/main" id="{749E30BA-40C8-5BBC-8F86-746163407D20}"/>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114300</xdr:rowOff>
    </xdr:from>
    <xdr:to>
      <xdr:col>27</xdr:col>
      <xdr:colOff>486296</xdr:colOff>
      <xdr:row>27</xdr:row>
      <xdr:rowOff>152400</xdr:rowOff>
    </xdr:to>
    <xdr:sp macro="" textlink="">
      <xdr:nvSpPr>
        <xdr:cNvPr id="377896" name="Text Box 40" hidden="1">
          <a:extLst>
            <a:ext uri="{FF2B5EF4-FFF2-40B4-BE49-F238E27FC236}">
              <a16:creationId xmlns:a16="http://schemas.microsoft.com/office/drawing/2014/main" id="{8218DE26-569E-D54A-5CF4-69DDDB3A2675}"/>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131</xdr:row>
      <xdr:rowOff>125149</xdr:rowOff>
    </xdr:from>
    <xdr:to>
      <xdr:col>27</xdr:col>
      <xdr:colOff>486296</xdr:colOff>
      <xdr:row>135</xdr:row>
      <xdr:rowOff>153458</xdr:rowOff>
    </xdr:to>
    <xdr:sp macro="" textlink="">
      <xdr:nvSpPr>
        <xdr:cNvPr id="377895" name="Text Box 39" hidden="1">
          <a:extLst>
            <a:ext uri="{FF2B5EF4-FFF2-40B4-BE49-F238E27FC236}">
              <a16:creationId xmlns:a16="http://schemas.microsoft.com/office/drawing/2014/main" id="{840CFA94-A9BA-AF5A-B5A6-3E5EE97BCD55}"/>
            </a:ext>
          </a:extLst>
        </xdr:cNvPr>
        <xdr:cNvSpPr txBox="1">
          <a:spLocks noChangeArrowheads="1"/>
        </xdr:cNvSpPr>
      </xdr:nvSpPr>
      <xdr:spPr bwMode="auto">
        <a:xfrm>
          <a:off x="22313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95250</xdr:rowOff>
    </xdr:from>
    <xdr:to>
      <xdr:col>18</xdr:col>
      <xdr:colOff>229489</xdr:colOff>
      <xdr:row>10</xdr:row>
      <xdr:rowOff>152400</xdr:rowOff>
    </xdr:to>
    <xdr:sp macro="" textlink="">
      <xdr:nvSpPr>
        <xdr:cNvPr id="377970" name="Text Box 114" hidden="1">
          <a:extLst>
            <a:ext uri="{FF2B5EF4-FFF2-40B4-BE49-F238E27FC236}">
              <a16:creationId xmlns:a16="http://schemas.microsoft.com/office/drawing/2014/main" id="{009093E4-9FCA-9B5A-4D33-70047D208689}"/>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69156</xdr:rowOff>
    </xdr:from>
    <xdr:to>
      <xdr:col>5</xdr:col>
      <xdr:colOff>105335</xdr:colOff>
      <xdr:row>60</xdr:row>
      <xdr:rowOff>69156</xdr:rowOff>
    </xdr:to>
    <xdr:sp macro="" textlink="">
      <xdr:nvSpPr>
        <xdr:cNvPr id="377969" name="Text Box 113" hidden="1">
          <a:extLst>
            <a:ext uri="{FF2B5EF4-FFF2-40B4-BE49-F238E27FC236}">
              <a16:creationId xmlns:a16="http://schemas.microsoft.com/office/drawing/2014/main" id="{7C2E4311-F87D-FB7C-29B6-281956B001CB}"/>
            </a:ext>
          </a:extLst>
        </xdr:cNvPr>
        <xdr:cNvSpPr txBox="1">
          <a:spLocks noChangeArrowheads="1"/>
        </xdr:cNvSpPr>
      </xdr:nvSpPr>
      <xdr:spPr bwMode="auto">
        <a:xfrm>
          <a:off x="3994150" y="134048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69156</xdr:rowOff>
    </xdr:from>
    <xdr:to>
      <xdr:col>5</xdr:col>
      <xdr:colOff>124385</xdr:colOff>
      <xdr:row>85</xdr:row>
      <xdr:rowOff>163812</xdr:rowOff>
    </xdr:to>
    <xdr:sp macro="" textlink="">
      <xdr:nvSpPr>
        <xdr:cNvPr id="377968" name="Text Box 112" hidden="1">
          <a:extLst>
            <a:ext uri="{FF2B5EF4-FFF2-40B4-BE49-F238E27FC236}">
              <a16:creationId xmlns:a16="http://schemas.microsoft.com/office/drawing/2014/main" id="{F79C327B-61C1-1410-DF4B-69EAB4498BA4}"/>
            </a:ext>
          </a:extLst>
        </xdr:cNvPr>
        <xdr:cNvSpPr txBox="1">
          <a:spLocks noChangeArrowheads="1"/>
        </xdr:cNvSpPr>
      </xdr:nvSpPr>
      <xdr:spPr bwMode="auto">
        <a:xfrm>
          <a:off x="4013200" y="13404850"/>
          <a:ext cx="131445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69156</xdr:rowOff>
    </xdr:from>
    <xdr:to>
      <xdr:col>5</xdr:col>
      <xdr:colOff>105335</xdr:colOff>
      <xdr:row>84</xdr:row>
      <xdr:rowOff>149589</xdr:rowOff>
    </xdr:to>
    <xdr:sp macro="" textlink="">
      <xdr:nvSpPr>
        <xdr:cNvPr id="377967" name="Text Box 111" hidden="1">
          <a:extLst>
            <a:ext uri="{FF2B5EF4-FFF2-40B4-BE49-F238E27FC236}">
              <a16:creationId xmlns:a16="http://schemas.microsoft.com/office/drawing/2014/main" id="{7E63D10F-4A8A-47DC-3EC8-D76B4230693B}"/>
            </a:ext>
          </a:extLst>
        </xdr:cNvPr>
        <xdr:cNvSpPr txBox="1">
          <a:spLocks noChangeArrowheads="1"/>
        </xdr:cNvSpPr>
      </xdr:nvSpPr>
      <xdr:spPr bwMode="auto">
        <a:xfrm>
          <a:off x="3994150" y="13404850"/>
          <a:ext cx="1314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69156</xdr:rowOff>
    </xdr:from>
    <xdr:to>
      <xdr:col>5</xdr:col>
      <xdr:colOff>105335</xdr:colOff>
      <xdr:row>85</xdr:row>
      <xdr:rowOff>11212</xdr:rowOff>
    </xdr:to>
    <xdr:sp macro="" textlink="">
      <xdr:nvSpPr>
        <xdr:cNvPr id="377966" name="Text Box 110" hidden="1">
          <a:extLst>
            <a:ext uri="{FF2B5EF4-FFF2-40B4-BE49-F238E27FC236}">
              <a16:creationId xmlns:a16="http://schemas.microsoft.com/office/drawing/2014/main" id="{912CEBF6-C8FA-EE57-42DF-76EB7DA6DCB2}"/>
            </a:ext>
          </a:extLst>
        </xdr:cNvPr>
        <xdr:cNvSpPr txBox="1">
          <a:spLocks noChangeArrowheads="1"/>
        </xdr:cNvSpPr>
      </xdr:nvSpPr>
      <xdr:spPr bwMode="auto">
        <a:xfrm>
          <a:off x="3994150" y="13404850"/>
          <a:ext cx="1314450" cy="514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68765</xdr:rowOff>
    </xdr:from>
    <xdr:to>
      <xdr:col>5</xdr:col>
      <xdr:colOff>105335</xdr:colOff>
      <xdr:row>86</xdr:row>
      <xdr:rowOff>122337</xdr:rowOff>
    </xdr:to>
    <xdr:sp macro="" textlink="">
      <xdr:nvSpPr>
        <xdr:cNvPr id="377965" name="Text Box 109" hidden="1">
          <a:extLst>
            <a:ext uri="{FF2B5EF4-FFF2-40B4-BE49-F238E27FC236}">
              <a16:creationId xmlns:a16="http://schemas.microsoft.com/office/drawing/2014/main" id="{886102FA-726E-4CCE-DE43-F295A89AB8D4}"/>
            </a:ext>
          </a:extLst>
        </xdr:cNvPr>
        <xdr:cNvSpPr txBox="1">
          <a:spLocks noChangeArrowheads="1"/>
        </xdr:cNvSpPr>
      </xdr:nvSpPr>
      <xdr:spPr bwMode="auto">
        <a:xfrm>
          <a:off x="3994150" y="14268450"/>
          <a:ext cx="1314450" cy="458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95915</xdr:rowOff>
    </xdr:from>
    <xdr:to>
      <xdr:col>5</xdr:col>
      <xdr:colOff>105335</xdr:colOff>
      <xdr:row>95</xdr:row>
      <xdr:rowOff>112713</xdr:rowOff>
    </xdr:to>
    <xdr:sp macro="" textlink="">
      <xdr:nvSpPr>
        <xdr:cNvPr id="377964" name="Text Box 108" hidden="1">
          <a:extLst>
            <a:ext uri="{FF2B5EF4-FFF2-40B4-BE49-F238E27FC236}">
              <a16:creationId xmlns:a16="http://schemas.microsoft.com/office/drawing/2014/main" id="{D8869C13-B427-1D13-E9A3-8486B10C9835}"/>
            </a:ext>
          </a:extLst>
        </xdr:cNvPr>
        <xdr:cNvSpPr txBox="1">
          <a:spLocks noChangeArrowheads="1"/>
        </xdr:cNvSpPr>
      </xdr:nvSpPr>
      <xdr:spPr bwMode="auto">
        <a:xfrm>
          <a:off x="3994150" y="17513300"/>
          <a:ext cx="1314450" cy="304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19716</xdr:rowOff>
    </xdr:from>
    <xdr:to>
      <xdr:col>5</xdr:col>
      <xdr:colOff>105335</xdr:colOff>
      <xdr:row>94</xdr:row>
      <xdr:rowOff>10054</xdr:rowOff>
    </xdr:to>
    <xdr:sp macro="" textlink="">
      <xdr:nvSpPr>
        <xdr:cNvPr id="377963" name="Text Box 107" hidden="1">
          <a:extLst>
            <a:ext uri="{FF2B5EF4-FFF2-40B4-BE49-F238E27FC236}">
              <a16:creationId xmlns:a16="http://schemas.microsoft.com/office/drawing/2014/main" id="{71A5BB63-5CF4-8184-ABC2-6BB772184543}"/>
            </a:ext>
          </a:extLst>
        </xdr:cNvPr>
        <xdr:cNvSpPr txBox="1">
          <a:spLocks noChangeArrowheads="1"/>
        </xdr:cNvSpPr>
      </xdr:nvSpPr>
      <xdr:spPr bwMode="auto">
        <a:xfrm>
          <a:off x="3994150" y="17621250"/>
          <a:ext cx="1314450" cy="255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134162</xdr:rowOff>
    </xdr:from>
    <xdr:to>
      <xdr:col>5</xdr:col>
      <xdr:colOff>105335</xdr:colOff>
      <xdr:row>94</xdr:row>
      <xdr:rowOff>87842</xdr:rowOff>
    </xdr:to>
    <xdr:sp macro="" textlink="">
      <xdr:nvSpPr>
        <xdr:cNvPr id="377962" name="Text Box 106" hidden="1">
          <a:extLst>
            <a:ext uri="{FF2B5EF4-FFF2-40B4-BE49-F238E27FC236}">
              <a16:creationId xmlns:a16="http://schemas.microsoft.com/office/drawing/2014/main" id="{F5545E45-6021-C0C2-6D52-2497926BA82A}"/>
            </a:ext>
          </a:extLst>
        </xdr:cNvPr>
        <xdr:cNvSpPr txBox="1">
          <a:spLocks noChangeArrowheads="1"/>
        </xdr:cNvSpPr>
      </xdr:nvSpPr>
      <xdr:spPr bwMode="auto">
        <a:xfrm>
          <a:off x="3994150" y="17735550"/>
          <a:ext cx="1314450" cy="253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134161</xdr:rowOff>
    </xdr:from>
    <xdr:to>
      <xdr:col>5</xdr:col>
      <xdr:colOff>105335</xdr:colOff>
      <xdr:row>97</xdr:row>
      <xdr:rowOff>30309</xdr:rowOff>
    </xdr:to>
    <xdr:sp macro="" textlink="">
      <xdr:nvSpPr>
        <xdr:cNvPr id="377961" name="Text Box 105" hidden="1">
          <a:extLst>
            <a:ext uri="{FF2B5EF4-FFF2-40B4-BE49-F238E27FC236}">
              <a16:creationId xmlns:a16="http://schemas.microsoft.com/office/drawing/2014/main" id="{0A090CEF-2E3C-EBFF-6334-BF983C402869}"/>
            </a:ext>
          </a:extLst>
        </xdr:cNvPr>
        <xdr:cNvSpPr txBox="1">
          <a:spLocks noChangeArrowheads="1"/>
        </xdr:cNvSpPr>
      </xdr:nvSpPr>
      <xdr:spPr bwMode="auto">
        <a:xfrm>
          <a:off x="3994150" y="17926050"/>
          <a:ext cx="1314450" cy="300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28183</xdr:rowOff>
    </xdr:from>
    <xdr:to>
      <xdr:col>5</xdr:col>
      <xdr:colOff>105335</xdr:colOff>
      <xdr:row>115</xdr:row>
      <xdr:rowOff>11615</xdr:rowOff>
    </xdr:to>
    <xdr:sp macro="" textlink="">
      <xdr:nvSpPr>
        <xdr:cNvPr id="377960" name="Text Box 104" hidden="1">
          <a:extLst>
            <a:ext uri="{FF2B5EF4-FFF2-40B4-BE49-F238E27FC236}">
              <a16:creationId xmlns:a16="http://schemas.microsoft.com/office/drawing/2014/main" id="{002D52E4-87F0-8602-A90B-249077E2703C}"/>
            </a:ext>
          </a:extLst>
        </xdr:cNvPr>
        <xdr:cNvSpPr txBox="1">
          <a:spLocks noChangeArrowheads="1"/>
        </xdr:cNvSpPr>
      </xdr:nvSpPr>
      <xdr:spPr bwMode="auto">
        <a:xfrm>
          <a:off x="3994150" y="21939250"/>
          <a:ext cx="1314450" cy="242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28182</xdr:rowOff>
    </xdr:from>
    <xdr:to>
      <xdr:col>5</xdr:col>
      <xdr:colOff>105335</xdr:colOff>
      <xdr:row>111</xdr:row>
      <xdr:rowOff>123944</xdr:rowOff>
    </xdr:to>
    <xdr:sp macro="" textlink="">
      <xdr:nvSpPr>
        <xdr:cNvPr id="377959" name="Text Box 103" hidden="1">
          <a:extLst>
            <a:ext uri="{FF2B5EF4-FFF2-40B4-BE49-F238E27FC236}">
              <a16:creationId xmlns:a16="http://schemas.microsoft.com/office/drawing/2014/main" id="{F9911BD4-B79B-3EB2-C849-EB499D3D456B}"/>
            </a:ext>
          </a:extLst>
        </xdr:cNvPr>
        <xdr:cNvSpPr txBox="1">
          <a:spLocks noChangeArrowheads="1"/>
        </xdr:cNvSpPr>
      </xdr:nvSpPr>
      <xdr:spPr bwMode="auto">
        <a:xfrm>
          <a:off x="3994150" y="2212340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66282</xdr:rowOff>
    </xdr:from>
    <xdr:to>
      <xdr:col>5</xdr:col>
      <xdr:colOff>105335</xdr:colOff>
      <xdr:row>111</xdr:row>
      <xdr:rowOff>10264</xdr:rowOff>
    </xdr:to>
    <xdr:sp macro="" textlink="">
      <xdr:nvSpPr>
        <xdr:cNvPr id="377958" name="Text Box 102" hidden="1">
          <a:extLst>
            <a:ext uri="{FF2B5EF4-FFF2-40B4-BE49-F238E27FC236}">
              <a16:creationId xmlns:a16="http://schemas.microsoft.com/office/drawing/2014/main" id="{CAB3B6B7-14A9-9C33-2747-8908E0B73E4B}"/>
            </a:ext>
          </a:extLst>
        </xdr:cNvPr>
        <xdr:cNvSpPr txBox="1">
          <a:spLocks noChangeArrowheads="1"/>
        </xdr:cNvSpPr>
      </xdr:nvSpPr>
      <xdr:spPr bwMode="auto">
        <a:xfrm>
          <a:off x="3994150" y="22345650"/>
          <a:ext cx="1314450" cy="129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28182</xdr:rowOff>
    </xdr:from>
    <xdr:to>
      <xdr:col>5</xdr:col>
      <xdr:colOff>105335</xdr:colOff>
      <xdr:row>111</xdr:row>
      <xdr:rowOff>10264</xdr:rowOff>
    </xdr:to>
    <xdr:sp macro="" textlink="">
      <xdr:nvSpPr>
        <xdr:cNvPr id="377957" name="Text Box 101" hidden="1">
          <a:extLst>
            <a:ext uri="{FF2B5EF4-FFF2-40B4-BE49-F238E27FC236}">
              <a16:creationId xmlns:a16="http://schemas.microsoft.com/office/drawing/2014/main" id="{AC343296-BD76-DE0D-79B2-72EFF5E98CA3}"/>
            </a:ext>
          </a:extLst>
        </xdr:cNvPr>
        <xdr:cNvSpPr txBox="1">
          <a:spLocks noChangeArrowheads="1"/>
        </xdr:cNvSpPr>
      </xdr:nvSpPr>
      <xdr:spPr bwMode="auto">
        <a:xfrm>
          <a:off x="3994150" y="22307550"/>
          <a:ext cx="1314450" cy="133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128</xdr:row>
      <xdr:rowOff>7673</xdr:rowOff>
    </xdr:from>
    <xdr:to>
      <xdr:col>21</xdr:col>
      <xdr:colOff>257697</xdr:colOff>
      <xdr:row>132</xdr:row>
      <xdr:rowOff>26723</xdr:rowOff>
    </xdr:to>
    <xdr:sp macro="" textlink="">
      <xdr:nvSpPr>
        <xdr:cNvPr id="377956" name="Text Box 100" hidden="1">
          <a:extLst>
            <a:ext uri="{FF2B5EF4-FFF2-40B4-BE49-F238E27FC236}">
              <a16:creationId xmlns:a16="http://schemas.microsoft.com/office/drawing/2014/main" id="{DA54D650-D089-D60C-FAF9-77AAF8CE81C2}"/>
            </a:ext>
          </a:extLst>
        </xdr:cNvPr>
        <xdr:cNvSpPr txBox="1">
          <a:spLocks noChangeArrowheads="1"/>
        </xdr:cNvSpPr>
      </xdr:nvSpPr>
      <xdr:spPr bwMode="auto">
        <a:xfrm>
          <a:off x="17513300" y="267589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22</xdr:col>
      <xdr:colOff>429146</xdr:colOff>
      <xdr:row>18</xdr:row>
      <xdr:rowOff>76200</xdr:rowOff>
    </xdr:to>
    <xdr:sp macro="" textlink="">
      <xdr:nvSpPr>
        <xdr:cNvPr id="377955" name="Text Box 99" hidden="1">
          <a:extLst>
            <a:ext uri="{FF2B5EF4-FFF2-40B4-BE49-F238E27FC236}">
              <a16:creationId xmlns:a16="http://schemas.microsoft.com/office/drawing/2014/main" id="{2B23733A-884F-93CC-3280-FC01DC23D0ED}"/>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23</xdr:row>
      <xdr:rowOff>95250</xdr:rowOff>
    </xdr:from>
    <xdr:to>
      <xdr:col>22</xdr:col>
      <xdr:colOff>429146</xdr:colOff>
      <xdr:row>29</xdr:row>
      <xdr:rowOff>76200</xdr:rowOff>
    </xdr:to>
    <xdr:sp macro="" textlink="">
      <xdr:nvSpPr>
        <xdr:cNvPr id="377954" name="Text Box 98" hidden="1">
          <a:extLst>
            <a:ext uri="{FF2B5EF4-FFF2-40B4-BE49-F238E27FC236}">
              <a16:creationId xmlns:a16="http://schemas.microsoft.com/office/drawing/2014/main" id="{00725213-4CB4-6B79-EBAB-8AC1274AE15B}"/>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132</xdr:row>
      <xdr:rowOff>26723</xdr:rowOff>
    </xdr:from>
    <xdr:to>
      <xdr:col>22</xdr:col>
      <xdr:colOff>429146</xdr:colOff>
      <xdr:row>136</xdr:row>
      <xdr:rowOff>9789</xdr:rowOff>
    </xdr:to>
    <xdr:sp macro="" textlink="">
      <xdr:nvSpPr>
        <xdr:cNvPr id="377953" name="Text Box 97" hidden="1">
          <a:extLst>
            <a:ext uri="{FF2B5EF4-FFF2-40B4-BE49-F238E27FC236}">
              <a16:creationId xmlns:a16="http://schemas.microsoft.com/office/drawing/2014/main" id="{AC8E38B4-C96B-9531-B59B-3DFF8624F0E5}"/>
            </a:ext>
          </a:extLst>
        </xdr:cNvPr>
        <xdr:cNvSpPr txBox="1">
          <a:spLocks noChangeArrowheads="1"/>
        </xdr:cNvSpPr>
      </xdr:nvSpPr>
      <xdr:spPr bwMode="auto">
        <a:xfrm>
          <a:off x="18332450" y="275145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95250</xdr:rowOff>
    </xdr:from>
    <xdr:to>
      <xdr:col>11</xdr:col>
      <xdr:colOff>636501</xdr:colOff>
      <xdr:row>45</xdr:row>
      <xdr:rowOff>19050</xdr:rowOff>
    </xdr:to>
    <xdr:sp macro="" textlink="">
      <xdr:nvSpPr>
        <xdr:cNvPr id="377952" name="Text Box 96" hidden="1">
          <a:extLst>
            <a:ext uri="{FF2B5EF4-FFF2-40B4-BE49-F238E27FC236}">
              <a16:creationId xmlns:a16="http://schemas.microsoft.com/office/drawing/2014/main" id="{5626323A-03D4-5199-74BD-617A67A97EEB}"/>
            </a:ext>
          </a:extLst>
        </xdr:cNvPr>
        <xdr:cNvSpPr txBox="1">
          <a:spLocks noChangeArrowheads="1"/>
        </xdr:cNvSpPr>
      </xdr:nvSpPr>
      <xdr:spPr bwMode="auto">
        <a:xfrm>
          <a:off x="9359900" y="869315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467247</xdr:colOff>
      <xdr:row>18</xdr:row>
      <xdr:rowOff>171450</xdr:rowOff>
    </xdr:to>
    <xdr:sp macro="" textlink="">
      <xdr:nvSpPr>
        <xdr:cNvPr id="377951" name="Text Box 95" hidden="1">
          <a:extLst>
            <a:ext uri="{FF2B5EF4-FFF2-40B4-BE49-F238E27FC236}">
              <a16:creationId xmlns:a16="http://schemas.microsoft.com/office/drawing/2014/main" id="{37C42DE6-CCBF-062C-E665-E9ACB98D9B31}"/>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467247</xdr:colOff>
      <xdr:row>29</xdr:row>
      <xdr:rowOff>152400</xdr:rowOff>
    </xdr:to>
    <xdr:sp macro="" textlink="">
      <xdr:nvSpPr>
        <xdr:cNvPr id="377950" name="Text Box 94" hidden="1">
          <a:extLst>
            <a:ext uri="{FF2B5EF4-FFF2-40B4-BE49-F238E27FC236}">
              <a16:creationId xmlns:a16="http://schemas.microsoft.com/office/drawing/2014/main" id="{D8883854-CC48-87F4-DEA1-79B7F2D46E01}"/>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26723</xdr:rowOff>
    </xdr:from>
    <xdr:to>
      <xdr:col>24</xdr:col>
      <xdr:colOff>467247</xdr:colOff>
      <xdr:row>136</xdr:row>
      <xdr:rowOff>105039</xdr:rowOff>
    </xdr:to>
    <xdr:sp macro="" textlink="">
      <xdr:nvSpPr>
        <xdr:cNvPr id="377949" name="Text Box 93" hidden="1">
          <a:extLst>
            <a:ext uri="{FF2B5EF4-FFF2-40B4-BE49-F238E27FC236}">
              <a16:creationId xmlns:a16="http://schemas.microsoft.com/office/drawing/2014/main" id="{4598E66C-2FB9-69B2-1B62-0C3A43CB4A18}"/>
            </a:ext>
          </a:extLst>
        </xdr:cNvPr>
        <xdr:cNvSpPr txBox="1">
          <a:spLocks noChangeArrowheads="1"/>
        </xdr:cNvSpPr>
      </xdr:nvSpPr>
      <xdr:spPr bwMode="auto">
        <a:xfrm>
          <a:off x="20027900" y="275145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25</xdr:col>
      <xdr:colOff>467247</xdr:colOff>
      <xdr:row>18</xdr:row>
      <xdr:rowOff>133350</xdr:rowOff>
    </xdr:to>
    <xdr:sp macro="" textlink="">
      <xdr:nvSpPr>
        <xdr:cNvPr id="377948" name="Text Box 92" hidden="1">
          <a:extLst>
            <a:ext uri="{FF2B5EF4-FFF2-40B4-BE49-F238E27FC236}">
              <a16:creationId xmlns:a16="http://schemas.microsoft.com/office/drawing/2014/main" id="{6061B25C-7466-84B1-0246-71DF9A8BB5EA}"/>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25</xdr:col>
      <xdr:colOff>467247</xdr:colOff>
      <xdr:row>29</xdr:row>
      <xdr:rowOff>95250</xdr:rowOff>
    </xdr:to>
    <xdr:sp macro="" textlink="">
      <xdr:nvSpPr>
        <xdr:cNvPr id="377947" name="Text Box 91" hidden="1">
          <a:extLst>
            <a:ext uri="{FF2B5EF4-FFF2-40B4-BE49-F238E27FC236}">
              <a16:creationId xmlns:a16="http://schemas.microsoft.com/office/drawing/2014/main" id="{BA6DCF2F-02C2-7618-B686-7CCFA4A4162F}"/>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64823</xdr:rowOff>
    </xdr:from>
    <xdr:to>
      <xdr:col>25</xdr:col>
      <xdr:colOff>467247</xdr:colOff>
      <xdr:row>136</xdr:row>
      <xdr:rowOff>105039</xdr:rowOff>
    </xdr:to>
    <xdr:sp macro="" textlink="">
      <xdr:nvSpPr>
        <xdr:cNvPr id="377946" name="Text Box 90" hidden="1">
          <a:extLst>
            <a:ext uri="{FF2B5EF4-FFF2-40B4-BE49-F238E27FC236}">
              <a16:creationId xmlns:a16="http://schemas.microsoft.com/office/drawing/2014/main" id="{8B16CEBF-5120-B282-6124-F1F540C98B30}"/>
            </a:ext>
          </a:extLst>
        </xdr:cNvPr>
        <xdr:cNvSpPr txBox="1">
          <a:spLocks noChangeArrowheads="1"/>
        </xdr:cNvSpPr>
      </xdr:nvSpPr>
      <xdr:spPr bwMode="auto">
        <a:xfrm>
          <a:off x="20789900" y="275526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44</xdr:row>
      <xdr:rowOff>76200</xdr:rowOff>
    </xdr:from>
    <xdr:to>
      <xdr:col>11</xdr:col>
      <xdr:colOff>712701</xdr:colOff>
      <xdr:row>48</xdr:row>
      <xdr:rowOff>95250</xdr:rowOff>
    </xdr:to>
    <xdr:sp macro="" textlink="">
      <xdr:nvSpPr>
        <xdr:cNvPr id="377945" name="Text Box 89" hidden="1">
          <a:extLst>
            <a:ext uri="{FF2B5EF4-FFF2-40B4-BE49-F238E27FC236}">
              <a16:creationId xmlns:a16="http://schemas.microsoft.com/office/drawing/2014/main" id="{03A5CF65-B690-46E6-3776-71E7194CD7C5}"/>
            </a:ext>
          </a:extLst>
        </xdr:cNvPr>
        <xdr:cNvSpPr txBox="1">
          <a:spLocks noChangeArrowheads="1"/>
        </xdr:cNvSpPr>
      </xdr:nvSpPr>
      <xdr:spPr bwMode="auto">
        <a:xfrm>
          <a:off x="9398000" y="941070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44</xdr:row>
      <xdr:rowOff>76200</xdr:rowOff>
    </xdr:from>
    <xdr:to>
      <xdr:col>13</xdr:col>
      <xdr:colOff>504800</xdr:colOff>
      <xdr:row>48</xdr:row>
      <xdr:rowOff>95250</xdr:rowOff>
    </xdr:to>
    <xdr:sp macro="" textlink="">
      <xdr:nvSpPr>
        <xdr:cNvPr id="377944" name="Text Box 88" hidden="1">
          <a:extLst>
            <a:ext uri="{FF2B5EF4-FFF2-40B4-BE49-F238E27FC236}">
              <a16:creationId xmlns:a16="http://schemas.microsoft.com/office/drawing/2014/main" id="{889C5AB7-6A13-E4BA-8020-DB9B98735E52}"/>
            </a:ext>
          </a:extLst>
        </xdr:cNvPr>
        <xdr:cNvSpPr txBox="1">
          <a:spLocks noChangeArrowheads="1"/>
        </xdr:cNvSpPr>
      </xdr:nvSpPr>
      <xdr:spPr bwMode="auto">
        <a:xfrm>
          <a:off x="11125200" y="941070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521494</xdr:rowOff>
    </xdr:from>
    <xdr:to>
      <xdr:col>30</xdr:col>
      <xdr:colOff>439039</xdr:colOff>
      <xdr:row>29</xdr:row>
      <xdr:rowOff>19050</xdr:rowOff>
    </xdr:to>
    <xdr:sp macro="" textlink="">
      <xdr:nvSpPr>
        <xdr:cNvPr id="377943" name="Text Box 87" hidden="1">
          <a:extLst>
            <a:ext uri="{FF2B5EF4-FFF2-40B4-BE49-F238E27FC236}">
              <a16:creationId xmlns:a16="http://schemas.microsoft.com/office/drawing/2014/main" id="{EEE611C4-C5C2-2275-62FA-7076711660D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60</xdr:row>
      <xdr:rowOff>69156</xdr:rowOff>
    </xdr:from>
    <xdr:to>
      <xdr:col>14</xdr:col>
      <xdr:colOff>362839</xdr:colOff>
      <xdr:row>60</xdr:row>
      <xdr:rowOff>88206</xdr:rowOff>
    </xdr:to>
    <xdr:sp macro="" textlink="">
      <xdr:nvSpPr>
        <xdr:cNvPr id="377942" name="Text Box 86" hidden="1">
          <a:extLst>
            <a:ext uri="{FF2B5EF4-FFF2-40B4-BE49-F238E27FC236}">
              <a16:creationId xmlns:a16="http://schemas.microsoft.com/office/drawing/2014/main" id="{B2A61BD8-ABB9-1C98-EB49-7A0A36CB5252}"/>
            </a:ext>
          </a:extLst>
        </xdr:cNvPr>
        <xdr:cNvSpPr txBox="1">
          <a:spLocks noChangeArrowheads="1"/>
        </xdr:cNvSpPr>
      </xdr:nvSpPr>
      <xdr:spPr bwMode="auto">
        <a:xfrm>
          <a:off x="11957050" y="13404850"/>
          <a:ext cx="1416050" cy="3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11615</xdr:rowOff>
    </xdr:from>
    <xdr:to>
      <xdr:col>14</xdr:col>
      <xdr:colOff>447650</xdr:colOff>
      <xdr:row>73</xdr:row>
      <xdr:rowOff>151013</xdr:rowOff>
    </xdr:to>
    <xdr:sp macro="" textlink="">
      <xdr:nvSpPr>
        <xdr:cNvPr id="377941" name="Text Box 85" hidden="1">
          <a:extLst>
            <a:ext uri="{FF2B5EF4-FFF2-40B4-BE49-F238E27FC236}">
              <a16:creationId xmlns:a16="http://schemas.microsoft.com/office/drawing/2014/main" id="{7D5247FC-CC53-2643-7FF9-9A50E5E9A01B}"/>
            </a:ext>
          </a:extLst>
        </xdr:cNvPr>
        <xdr:cNvSpPr txBox="1">
          <a:spLocks noChangeArrowheads="1"/>
        </xdr:cNvSpPr>
      </xdr:nvSpPr>
      <xdr:spPr bwMode="auto">
        <a:xfrm>
          <a:off x="11995150" y="14211300"/>
          <a:ext cx="1416050" cy="206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44</xdr:row>
      <xdr:rowOff>76200</xdr:rowOff>
    </xdr:from>
    <xdr:to>
      <xdr:col>14</xdr:col>
      <xdr:colOff>447650</xdr:colOff>
      <xdr:row>48</xdr:row>
      <xdr:rowOff>95250</xdr:rowOff>
    </xdr:to>
    <xdr:sp macro="" textlink="">
      <xdr:nvSpPr>
        <xdr:cNvPr id="377940" name="Text Box 84" hidden="1">
          <a:extLst>
            <a:ext uri="{FF2B5EF4-FFF2-40B4-BE49-F238E27FC236}">
              <a16:creationId xmlns:a16="http://schemas.microsoft.com/office/drawing/2014/main" id="{937B8CD3-B978-085A-CC9D-7A46F1B1AC8C}"/>
            </a:ext>
          </a:extLst>
        </xdr:cNvPr>
        <xdr:cNvSpPr txBox="1">
          <a:spLocks noChangeArrowheads="1"/>
        </xdr:cNvSpPr>
      </xdr:nvSpPr>
      <xdr:spPr bwMode="auto">
        <a:xfrm>
          <a:off x="11995150" y="941070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48137</xdr:rowOff>
    </xdr:from>
    <xdr:to>
      <xdr:col>5</xdr:col>
      <xdr:colOff>268754</xdr:colOff>
      <xdr:row>74</xdr:row>
      <xdr:rowOff>66684</xdr:rowOff>
    </xdr:to>
    <xdr:sp macro="" textlink="">
      <xdr:nvSpPr>
        <xdr:cNvPr id="377939" name="Text Box 83" hidden="1">
          <a:extLst>
            <a:ext uri="{FF2B5EF4-FFF2-40B4-BE49-F238E27FC236}">
              <a16:creationId xmlns:a16="http://schemas.microsoft.com/office/drawing/2014/main" id="{7A11ECB3-F456-6EE4-6EC8-02E6C4782C81}"/>
            </a:ext>
          </a:extLst>
        </xdr:cNvPr>
        <xdr:cNvSpPr txBox="1">
          <a:spLocks noChangeArrowheads="1"/>
        </xdr:cNvSpPr>
      </xdr:nvSpPr>
      <xdr:spPr bwMode="auto">
        <a:xfrm>
          <a:off x="4051300" y="13595350"/>
          <a:ext cx="1428750" cy="276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xdr:row>
      <xdr:rowOff>95250</xdr:rowOff>
    </xdr:from>
    <xdr:to>
      <xdr:col>26</xdr:col>
      <xdr:colOff>486298</xdr:colOff>
      <xdr:row>18</xdr:row>
      <xdr:rowOff>152400</xdr:rowOff>
    </xdr:to>
    <xdr:sp macro="" textlink="">
      <xdr:nvSpPr>
        <xdr:cNvPr id="377938" name="Text Box 82" hidden="1">
          <a:extLst>
            <a:ext uri="{FF2B5EF4-FFF2-40B4-BE49-F238E27FC236}">
              <a16:creationId xmlns:a16="http://schemas.microsoft.com/office/drawing/2014/main" id="{737EAB0E-8BFD-1DF8-4174-2B1774BAFBD2}"/>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23</xdr:row>
      <xdr:rowOff>95250</xdr:rowOff>
    </xdr:from>
    <xdr:to>
      <xdr:col>26</xdr:col>
      <xdr:colOff>486298</xdr:colOff>
      <xdr:row>27</xdr:row>
      <xdr:rowOff>152400</xdr:rowOff>
    </xdr:to>
    <xdr:sp macro="" textlink="">
      <xdr:nvSpPr>
        <xdr:cNvPr id="377937" name="Text Box 81" hidden="1">
          <a:extLst>
            <a:ext uri="{FF2B5EF4-FFF2-40B4-BE49-F238E27FC236}">
              <a16:creationId xmlns:a16="http://schemas.microsoft.com/office/drawing/2014/main" id="{292DB0EF-FD2E-993F-B7EB-E17358A182EF}"/>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134</xdr:row>
      <xdr:rowOff>121973</xdr:rowOff>
    </xdr:from>
    <xdr:to>
      <xdr:col>26</xdr:col>
      <xdr:colOff>486298</xdr:colOff>
      <xdr:row>138</xdr:row>
      <xdr:rowOff>153458</xdr:rowOff>
    </xdr:to>
    <xdr:sp macro="" textlink="">
      <xdr:nvSpPr>
        <xdr:cNvPr id="377936" name="Text Box 80" hidden="1">
          <a:extLst>
            <a:ext uri="{FF2B5EF4-FFF2-40B4-BE49-F238E27FC236}">
              <a16:creationId xmlns:a16="http://schemas.microsoft.com/office/drawing/2014/main" id="{F822EEA5-7320-934B-0D70-6875914768F8}"/>
            </a:ext>
          </a:extLst>
        </xdr:cNvPr>
        <xdr:cNvSpPr txBox="1">
          <a:spLocks noChangeArrowheads="1"/>
        </xdr:cNvSpPr>
      </xdr:nvSpPr>
      <xdr:spPr bwMode="auto">
        <a:xfrm>
          <a:off x="21551900" y="27978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xdr:row>
      <xdr:rowOff>114300</xdr:rowOff>
    </xdr:from>
    <xdr:to>
      <xdr:col>27</xdr:col>
      <xdr:colOff>486296</xdr:colOff>
      <xdr:row>18</xdr:row>
      <xdr:rowOff>152400</xdr:rowOff>
    </xdr:to>
    <xdr:sp macro="" textlink="">
      <xdr:nvSpPr>
        <xdr:cNvPr id="377935" name="Text Box 79" hidden="1">
          <a:extLst>
            <a:ext uri="{FF2B5EF4-FFF2-40B4-BE49-F238E27FC236}">
              <a16:creationId xmlns:a16="http://schemas.microsoft.com/office/drawing/2014/main" id="{19E80CD1-B6B4-9EE3-C539-88C01EA14AE2}"/>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114300</xdr:rowOff>
    </xdr:from>
    <xdr:to>
      <xdr:col>27</xdr:col>
      <xdr:colOff>486296</xdr:colOff>
      <xdr:row>27</xdr:row>
      <xdr:rowOff>152400</xdr:rowOff>
    </xdr:to>
    <xdr:sp macro="" textlink="">
      <xdr:nvSpPr>
        <xdr:cNvPr id="377934" name="Text Box 78" hidden="1">
          <a:extLst>
            <a:ext uri="{FF2B5EF4-FFF2-40B4-BE49-F238E27FC236}">
              <a16:creationId xmlns:a16="http://schemas.microsoft.com/office/drawing/2014/main" id="{BF6F6F4B-205E-B4DF-DD26-988D78CC2340}"/>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134</xdr:row>
      <xdr:rowOff>121973</xdr:rowOff>
    </xdr:from>
    <xdr:to>
      <xdr:col>27</xdr:col>
      <xdr:colOff>486296</xdr:colOff>
      <xdr:row>138</xdr:row>
      <xdr:rowOff>153458</xdr:rowOff>
    </xdr:to>
    <xdr:sp macro="" textlink="">
      <xdr:nvSpPr>
        <xdr:cNvPr id="377933" name="Text Box 77" hidden="1">
          <a:extLst>
            <a:ext uri="{FF2B5EF4-FFF2-40B4-BE49-F238E27FC236}">
              <a16:creationId xmlns:a16="http://schemas.microsoft.com/office/drawing/2014/main" id="{290A3379-3FB2-F860-9637-416749EFB67F}"/>
            </a:ext>
          </a:extLst>
        </xdr:cNvPr>
        <xdr:cNvSpPr txBox="1">
          <a:spLocks noChangeArrowheads="1"/>
        </xdr:cNvSpPr>
      </xdr:nvSpPr>
      <xdr:spPr bwMode="auto">
        <a:xfrm>
          <a:off x="22313900" y="27978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14</xdr:row>
      <xdr:rowOff>95250</xdr:rowOff>
    </xdr:from>
    <xdr:to>
      <xdr:col>28</xdr:col>
      <xdr:colOff>611982</xdr:colOff>
      <xdr:row>18</xdr:row>
      <xdr:rowOff>104775</xdr:rowOff>
    </xdr:to>
    <xdr:sp macro="" textlink="">
      <xdr:nvSpPr>
        <xdr:cNvPr id="377971" name="Text Box 115" hidden="1">
          <a:extLst>
            <a:ext uri="{FF2B5EF4-FFF2-40B4-BE49-F238E27FC236}">
              <a16:creationId xmlns:a16="http://schemas.microsoft.com/office/drawing/2014/main" id="{F7430A46-0067-BEDE-7933-7354FD25E767}"/>
            </a:ext>
          </a:extLst>
        </xdr:cNvPr>
        <xdr:cNvSpPr txBox="1">
          <a:spLocks noChangeArrowheads="1"/>
        </xdr:cNvSpPr>
      </xdr:nvSpPr>
      <xdr:spPr bwMode="auto">
        <a:xfrm>
          <a:off x="23120350" y="355600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23</xdr:row>
      <xdr:rowOff>95250</xdr:rowOff>
    </xdr:from>
    <xdr:to>
      <xdr:col>28</xdr:col>
      <xdr:colOff>611982</xdr:colOff>
      <xdr:row>27</xdr:row>
      <xdr:rowOff>114300</xdr:rowOff>
    </xdr:to>
    <xdr:sp macro="" textlink="">
      <xdr:nvSpPr>
        <xdr:cNvPr id="377972" name="Text Box 116" hidden="1">
          <a:extLst>
            <a:ext uri="{FF2B5EF4-FFF2-40B4-BE49-F238E27FC236}">
              <a16:creationId xmlns:a16="http://schemas.microsoft.com/office/drawing/2014/main" id="{16514411-E09A-40A3-0436-02862EC02DB6}"/>
            </a:ext>
          </a:extLst>
        </xdr:cNvPr>
        <xdr:cNvSpPr txBox="1">
          <a:spLocks noChangeArrowheads="1"/>
        </xdr:cNvSpPr>
      </xdr:nvSpPr>
      <xdr:spPr bwMode="auto">
        <a:xfrm>
          <a:off x="23120350" y="556260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6</xdr:row>
      <xdr:rowOff>95250</xdr:rowOff>
    </xdr:from>
    <xdr:to>
      <xdr:col>21</xdr:col>
      <xdr:colOff>257697</xdr:colOff>
      <xdr:row>26</xdr:row>
      <xdr:rowOff>152400</xdr:rowOff>
    </xdr:to>
    <xdr:sp macro="" textlink="">
      <xdr:nvSpPr>
        <xdr:cNvPr id="378012" name="Text Box 156" hidden="1">
          <a:extLst>
            <a:ext uri="{FF2B5EF4-FFF2-40B4-BE49-F238E27FC236}">
              <a16:creationId xmlns:a16="http://schemas.microsoft.com/office/drawing/2014/main" id="{E831D3A8-A199-EE6C-6EF1-8C087432228C}"/>
            </a:ext>
          </a:extLst>
        </xdr:cNvPr>
        <xdr:cNvSpPr txBox="1">
          <a:spLocks noChangeArrowheads="1"/>
        </xdr:cNvSpPr>
      </xdr:nvSpPr>
      <xdr:spPr bwMode="auto">
        <a:xfrm>
          <a:off x="151511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50106</xdr:rowOff>
    </xdr:from>
    <xdr:to>
      <xdr:col>9</xdr:col>
      <xdr:colOff>102160</xdr:colOff>
      <xdr:row>79</xdr:row>
      <xdr:rowOff>10190</xdr:rowOff>
    </xdr:to>
    <xdr:sp macro="" textlink="">
      <xdr:nvSpPr>
        <xdr:cNvPr id="378011" name="Text Box 155" hidden="1">
          <a:extLst>
            <a:ext uri="{FF2B5EF4-FFF2-40B4-BE49-F238E27FC236}">
              <a16:creationId xmlns:a16="http://schemas.microsoft.com/office/drawing/2014/main" id="{04CD633A-EE39-0FC3-A91F-927CE37249D4}"/>
            </a:ext>
          </a:extLst>
        </xdr:cNvPr>
        <xdr:cNvSpPr txBox="1">
          <a:spLocks noChangeArrowheads="1"/>
        </xdr:cNvSpPr>
      </xdr:nvSpPr>
      <xdr:spPr bwMode="auto">
        <a:xfrm>
          <a:off x="3994150" y="133985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50106</xdr:rowOff>
    </xdr:from>
    <xdr:to>
      <xdr:col>9</xdr:col>
      <xdr:colOff>121210</xdr:colOff>
      <xdr:row>79</xdr:row>
      <xdr:rowOff>10190</xdr:rowOff>
    </xdr:to>
    <xdr:sp macro="" textlink="">
      <xdr:nvSpPr>
        <xdr:cNvPr id="378010" name="Text Box 154" hidden="1">
          <a:extLst>
            <a:ext uri="{FF2B5EF4-FFF2-40B4-BE49-F238E27FC236}">
              <a16:creationId xmlns:a16="http://schemas.microsoft.com/office/drawing/2014/main" id="{63CB59DB-3815-BD09-8484-095EE8E10EBC}"/>
            </a:ext>
          </a:extLst>
        </xdr:cNvPr>
        <xdr:cNvSpPr txBox="1">
          <a:spLocks noChangeArrowheads="1"/>
        </xdr:cNvSpPr>
      </xdr:nvSpPr>
      <xdr:spPr bwMode="auto">
        <a:xfrm>
          <a:off x="4013200" y="133985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50106</xdr:rowOff>
    </xdr:from>
    <xdr:to>
      <xdr:col>9</xdr:col>
      <xdr:colOff>102160</xdr:colOff>
      <xdr:row>79</xdr:row>
      <xdr:rowOff>161414</xdr:rowOff>
    </xdr:to>
    <xdr:sp macro="" textlink="">
      <xdr:nvSpPr>
        <xdr:cNvPr id="378009" name="Text Box 153" hidden="1">
          <a:extLst>
            <a:ext uri="{FF2B5EF4-FFF2-40B4-BE49-F238E27FC236}">
              <a16:creationId xmlns:a16="http://schemas.microsoft.com/office/drawing/2014/main" id="{1086C628-C7E7-300F-B80B-7A85BF8346B2}"/>
            </a:ext>
          </a:extLst>
        </xdr:cNvPr>
        <xdr:cNvSpPr txBox="1">
          <a:spLocks noChangeArrowheads="1"/>
        </xdr:cNvSpPr>
      </xdr:nvSpPr>
      <xdr:spPr bwMode="auto">
        <a:xfrm>
          <a:off x="3994150" y="13398500"/>
          <a:ext cx="4362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50106</xdr:rowOff>
    </xdr:from>
    <xdr:to>
      <xdr:col>9</xdr:col>
      <xdr:colOff>102160</xdr:colOff>
      <xdr:row>79</xdr:row>
      <xdr:rowOff>29240</xdr:rowOff>
    </xdr:to>
    <xdr:sp macro="" textlink="">
      <xdr:nvSpPr>
        <xdr:cNvPr id="378008" name="Text Box 152" hidden="1">
          <a:extLst>
            <a:ext uri="{FF2B5EF4-FFF2-40B4-BE49-F238E27FC236}">
              <a16:creationId xmlns:a16="http://schemas.microsoft.com/office/drawing/2014/main" id="{D08D1F2E-AE09-0CB5-BD44-C04FBA8EC00A}"/>
            </a:ext>
          </a:extLst>
        </xdr:cNvPr>
        <xdr:cNvSpPr txBox="1">
          <a:spLocks noChangeArrowheads="1"/>
        </xdr:cNvSpPr>
      </xdr:nvSpPr>
      <xdr:spPr bwMode="auto">
        <a:xfrm>
          <a:off x="3994150" y="13398500"/>
          <a:ext cx="43624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46540</xdr:rowOff>
    </xdr:from>
    <xdr:to>
      <xdr:col>9</xdr:col>
      <xdr:colOff>102160</xdr:colOff>
      <xdr:row>84</xdr:row>
      <xdr:rowOff>125513</xdr:rowOff>
    </xdr:to>
    <xdr:sp macro="" textlink="">
      <xdr:nvSpPr>
        <xdr:cNvPr id="378007" name="Text Box 151" hidden="1">
          <a:extLst>
            <a:ext uri="{FF2B5EF4-FFF2-40B4-BE49-F238E27FC236}">
              <a16:creationId xmlns:a16="http://schemas.microsoft.com/office/drawing/2014/main" id="{CBE3AAFA-226C-D851-2D28-FED7CBB7EFDE}"/>
            </a:ext>
          </a:extLst>
        </xdr:cNvPr>
        <xdr:cNvSpPr txBox="1">
          <a:spLocks noChangeArrowheads="1"/>
        </xdr:cNvSpPr>
      </xdr:nvSpPr>
      <xdr:spPr bwMode="auto">
        <a:xfrm>
          <a:off x="3994150" y="14262100"/>
          <a:ext cx="43624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105440</xdr:rowOff>
    </xdr:from>
    <xdr:to>
      <xdr:col>9</xdr:col>
      <xdr:colOff>102160</xdr:colOff>
      <xdr:row>99</xdr:row>
      <xdr:rowOff>135220</xdr:rowOff>
    </xdr:to>
    <xdr:sp macro="" textlink="">
      <xdr:nvSpPr>
        <xdr:cNvPr id="378006" name="Text Box 150" hidden="1">
          <a:extLst>
            <a:ext uri="{FF2B5EF4-FFF2-40B4-BE49-F238E27FC236}">
              <a16:creationId xmlns:a16="http://schemas.microsoft.com/office/drawing/2014/main" id="{3F5A7524-EC2F-D419-9EB8-5F1C9A23FEEB}"/>
            </a:ext>
          </a:extLst>
        </xdr:cNvPr>
        <xdr:cNvSpPr txBox="1">
          <a:spLocks noChangeArrowheads="1"/>
        </xdr:cNvSpPr>
      </xdr:nvSpPr>
      <xdr:spPr bwMode="auto">
        <a:xfrm>
          <a:off x="3994150" y="17506950"/>
          <a:ext cx="4362450" cy="3962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29241</xdr:rowOff>
    </xdr:from>
    <xdr:to>
      <xdr:col>9</xdr:col>
      <xdr:colOff>102160</xdr:colOff>
      <xdr:row>101</xdr:row>
      <xdr:rowOff>150830</xdr:rowOff>
    </xdr:to>
    <xdr:sp macro="" textlink="">
      <xdr:nvSpPr>
        <xdr:cNvPr id="378005" name="Text Box 149" hidden="1">
          <a:extLst>
            <a:ext uri="{FF2B5EF4-FFF2-40B4-BE49-F238E27FC236}">
              <a16:creationId xmlns:a16="http://schemas.microsoft.com/office/drawing/2014/main" id="{56ACE551-3ECB-C714-60DC-A4415362CBA2}"/>
            </a:ext>
          </a:extLst>
        </xdr:cNvPr>
        <xdr:cNvSpPr txBox="1">
          <a:spLocks noChangeArrowheads="1"/>
        </xdr:cNvSpPr>
      </xdr:nvSpPr>
      <xdr:spPr bwMode="auto">
        <a:xfrm>
          <a:off x="3994150" y="17614900"/>
          <a:ext cx="43624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134017</xdr:rowOff>
    </xdr:from>
    <xdr:to>
      <xdr:col>9</xdr:col>
      <xdr:colOff>102160</xdr:colOff>
      <xdr:row>101</xdr:row>
      <xdr:rowOff>69457</xdr:rowOff>
    </xdr:to>
    <xdr:sp macro="" textlink="">
      <xdr:nvSpPr>
        <xdr:cNvPr id="378004" name="Text Box 148" hidden="1">
          <a:extLst>
            <a:ext uri="{FF2B5EF4-FFF2-40B4-BE49-F238E27FC236}">
              <a16:creationId xmlns:a16="http://schemas.microsoft.com/office/drawing/2014/main" id="{84761533-AA32-1447-8A5F-F29BAC55FCD3}"/>
            </a:ext>
          </a:extLst>
        </xdr:cNvPr>
        <xdr:cNvSpPr txBox="1">
          <a:spLocks noChangeArrowheads="1"/>
        </xdr:cNvSpPr>
      </xdr:nvSpPr>
      <xdr:spPr bwMode="auto">
        <a:xfrm>
          <a:off x="3994150" y="1772920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124636</xdr:rowOff>
    </xdr:from>
    <xdr:to>
      <xdr:col>9</xdr:col>
      <xdr:colOff>102160</xdr:colOff>
      <xdr:row>101</xdr:row>
      <xdr:rowOff>173648</xdr:rowOff>
    </xdr:to>
    <xdr:sp macro="" textlink="">
      <xdr:nvSpPr>
        <xdr:cNvPr id="378003" name="Text Box 147" hidden="1">
          <a:extLst>
            <a:ext uri="{FF2B5EF4-FFF2-40B4-BE49-F238E27FC236}">
              <a16:creationId xmlns:a16="http://schemas.microsoft.com/office/drawing/2014/main" id="{1FF154B5-B412-6D0E-1FBE-E2A7E64101CA}"/>
            </a:ext>
          </a:extLst>
        </xdr:cNvPr>
        <xdr:cNvSpPr txBox="1">
          <a:spLocks noChangeArrowheads="1"/>
        </xdr:cNvSpPr>
      </xdr:nvSpPr>
      <xdr:spPr bwMode="auto">
        <a:xfrm>
          <a:off x="3994150" y="179197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31358</xdr:rowOff>
    </xdr:from>
    <xdr:to>
      <xdr:col>9</xdr:col>
      <xdr:colOff>102160</xdr:colOff>
      <xdr:row>122</xdr:row>
      <xdr:rowOff>10848</xdr:rowOff>
    </xdr:to>
    <xdr:sp macro="" textlink="">
      <xdr:nvSpPr>
        <xdr:cNvPr id="378002" name="Text Box 146" hidden="1">
          <a:extLst>
            <a:ext uri="{FF2B5EF4-FFF2-40B4-BE49-F238E27FC236}">
              <a16:creationId xmlns:a16="http://schemas.microsoft.com/office/drawing/2014/main" id="{B94B98FD-7C1A-B16F-3D1F-ED7CC9ABC3C1}"/>
            </a:ext>
          </a:extLst>
        </xdr:cNvPr>
        <xdr:cNvSpPr txBox="1">
          <a:spLocks noChangeArrowheads="1"/>
        </xdr:cNvSpPr>
      </xdr:nvSpPr>
      <xdr:spPr bwMode="auto">
        <a:xfrm>
          <a:off x="3994150" y="219329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31357</xdr:rowOff>
    </xdr:from>
    <xdr:to>
      <xdr:col>9</xdr:col>
      <xdr:colOff>102160</xdr:colOff>
      <xdr:row>123</xdr:row>
      <xdr:rowOff>125149</xdr:rowOff>
    </xdr:to>
    <xdr:sp macro="" textlink="">
      <xdr:nvSpPr>
        <xdr:cNvPr id="378001" name="Text Box 145" hidden="1">
          <a:extLst>
            <a:ext uri="{FF2B5EF4-FFF2-40B4-BE49-F238E27FC236}">
              <a16:creationId xmlns:a16="http://schemas.microsoft.com/office/drawing/2014/main" id="{84D5E3F9-ED57-C102-F98E-7FAA91525E33}"/>
            </a:ext>
          </a:extLst>
        </xdr:cNvPr>
        <xdr:cNvSpPr txBox="1">
          <a:spLocks noChangeArrowheads="1"/>
        </xdr:cNvSpPr>
      </xdr:nvSpPr>
      <xdr:spPr bwMode="auto">
        <a:xfrm>
          <a:off x="3994150" y="22117050"/>
          <a:ext cx="4362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69457</xdr:rowOff>
    </xdr:from>
    <xdr:to>
      <xdr:col>9</xdr:col>
      <xdr:colOff>102160</xdr:colOff>
      <xdr:row>124</xdr:row>
      <xdr:rowOff>29898</xdr:rowOff>
    </xdr:to>
    <xdr:sp macro="" textlink="">
      <xdr:nvSpPr>
        <xdr:cNvPr id="378000" name="Text Box 144" hidden="1">
          <a:extLst>
            <a:ext uri="{FF2B5EF4-FFF2-40B4-BE49-F238E27FC236}">
              <a16:creationId xmlns:a16="http://schemas.microsoft.com/office/drawing/2014/main" id="{9489AFC5-184B-361D-8960-2AAE261FFE7C}"/>
            </a:ext>
          </a:extLst>
        </xdr:cNvPr>
        <xdr:cNvSpPr txBox="1">
          <a:spLocks noChangeArrowheads="1"/>
        </xdr:cNvSpPr>
      </xdr:nvSpPr>
      <xdr:spPr bwMode="auto">
        <a:xfrm>
          <a:off x="3994150" y="2233930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31357</xdr:rowOff>
    </xdr:from>
    <xdr:to>
      <xdr:col>9</xdr:col>
      <xdr:colOff>102160</xdr:colOff>
      <xdr:row>124</xdr:row>
      <xdr:rowOff>29898</xdr:rowOff>
    </xdr:to>
    <xdr:sp macro="" textlink="">
      <xdr:nvSpPr>
        <xdr:cNvPr id="377999" name="Text Box 143" hidden="1">
          <a:extLst>
            <a:ext uri="{FF2B5EF4-FFF2-40B4-BE49-F238E27FC236}">
              <a16:creationId xmlns:a16="http://schemas.microsoft.com/office/drawing/2014/main" id="{C135916E-14DA-C28D-DA4A-94FCE1A9C04B}"/>
            </a:ext>
          </a:extLst>
        </xdr:cNvPr>
        <xdr:cNvSpPr txBox="1">
          <a:spLocks noChangeArrowheads="1"/>
        </xdr:cNvSpPr>
      </xdr:nvSpPr>
      <xdr:spPr bwMode="auto">
        <a:xfrm>
          <a:off x="3994150" y="22301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128</xdr:row>
      <xdr:rowOff>10848</xdr:rowOff>
    </xdr:from>
    <xdr:to>
      <xdr:col>24</xdr:col>
      <xdr:colOff>257697</xdr:colOff>
      <xdr:row>148</xdr:row>
      <xdr:rowOff>29897</xdr:rowOff>
    </xdr:to>
    <xdr:sp macro="" textlink="">
      <xdr:nvSpPr>
        <xdr:cNvPr id="377998" name="Text Box 142" hidden="1">
          <a:extLst>
            <a:ext uri="{FF2B5EF4-FFF2-40B4-BE49-F238E27FC236}">
              <a16:creationId xmlns:a16="http://schemas.microsoft.com/office/drawing/2014/main" id="{83D1AE8C-68A0-A40F-4C60-649C2C04215A}"/>
            </a:ext>
          </a:extLst>
        </xdr:cNvPr>
        <xdr:cNvSpPr txBox="1">
          <a:spLocks noChangeArrowheads="1"/>
        </xdr:cNvSpPr>
      </xdr:nvSpPr>
      <xdr:spPr bwMode="auto">
        <a:xfrm>
          <a:off x="17513300" y="26752550"/>
          <a:ext cx="36195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xdr:row>
      <xdr:rowOff>95250</xdr:rowOff>
    </xdr:from>
    <xdr:to>
      <xdr:col>25</xdr:col>
      <xdr:colOff>429147</xdr:colOff>
      <xdr:row>34</xdr:row>
      <xdr:rowOff>76200</xdr:rowOff>
    </xdr:to>
    <xdr:sp macro="" textlink="">
      <xdr:nvSpPr>
        <xdr:cNvPr id="377997" name="Text Box 141" hidden="1">
          <a:extLst>
            <a:ext uri="{FF2B5EF4-FFF2-40B4-BE49-F238E27FC236}">
              <a16:creationId xmlns:a16="http://schemas.microsoft.com/office/drawing/2014/main" id="{AD5C1BA9-FCD3-76D0-01F7-BCA6F6B8CF1C}"/>
            </a:ext>
          </a:extLst>
        </xdr:cNvPr>
        <xdr:cNvSpPr txBox="1">
          <a:spLocks noChangeArrowheads="1"/>
        </xdr:cNvSpPr>
      </xdr:nvSpPr>
      <xdr:spPr bwMode="auto">
        <a:xfrm>
          <a:off x="18332450" y="3556000"/>
          <a:ext cx="37338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23</xdr:row>
      <xdr:rowOff>95250</xdr:rowOff>
    </xdr:from>
    <xdr:to>
      <xdr:col>25</xdr:col>
      <xdr:colOff>429147</xdr:colOff>
      <xdr:row>43</xdr:row>
      <xdr:rowOff>76200</xdr:rowOff>
    </xdr:to>
    <xdr:sp macro="" textlink="">
      <xdr:nvSpPr>
        <xdr:cNvPr id="377996" name="Text Box 140" hidden="1">
          <a:extLst>
            <a:ext uri="{FF2B5EF4-FFF2-40B4-BE49-F238E27FC236}">
              <a16:creationId xmlns:a16="http://schemas.microsoft.com/office/drawing/2014/main" id="{07045987-5F34-D876-4B22-DA1F6F620F7A}"/>
            </a:ext>
          </a:extLst>
        </xdr:cNvPr>
        <xdr:cNvSpPr txBox="1">
          <a:spLocks noChangeArrowheads="1"/>
        </xdr:cNvSpPr>
      </xdr:nvSpPr>
      <xdr:spPr bwMode="auto">
        <a:xfrm>
          <a:off x="18332450" y="556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132</xdr:row>
      <xdr:rowOff>29898</xdr:rowOff>
    </xdr:from>
    <xdr:to>
      <xdr:col>25</xdr:col>
      <xdr:colOff>429147</xdr:colOff>
      <xdr:row>152</xdr:row>
      <xdr:rowOff>10847</xdr:rowOff>
    </xdr:to>
    <xdr:sp macro="" textlink="">
      <xdr:nvSpPr>
        <xdr:cNvPr id="377995" name="Text Box 139" hidden="1">
          <a:extLst>
            <a:ext uri="{FF2B5EF4-FFF2-40B4-BE49-F238E27FC236}">
              <a16:creationId xmlns:a16="http://schemas.microsoft.com/office/drawing/2014/main" id="{429DF83A-9FD1-5120-A765-79F1F3EC3055}"/>
            </a:ext>
          </a:extLst>
        </xdr:cNvPr>
        <xdr:cNvSpPr txBox="1">
          <a:spLocks noChangeArrowheads="1"/>
        </xdr:cNvSpPr>
      </xdr:nvSpPr>
      <xdr:spPr bwMode="auto">
        <a:xfrm>
          <a:off x="18332450" y="275082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95250</xdr:rowOff>
    </xdr:from>
    <xdr:to>
      <xdr:col>16</xdr:col>
      <xdr:colOff>543448</xdr:colOff>
      <xdr:row>56</xdr:row>
      <xdr:rowOff>298003</xdr:rowOff>
    </xdr:to>
    <xdr:sp macro="" textlink="">
      <xdr:nvSpPr>
        <xdr:cNvPr id="377994" name="Text Box 138" hidden="1">
          <a:extLst>
            <a:ext uri="{FF2B5EF4-FFF2-40B4-BE49-F238E27FC236}">
              <a16:creationId xmlns:a16="http://schemas.microsoft.com/office/drawing/2014/main" id="{F31DD76F-B30C-FC60-9923-376F34D50BD9}"/>
            </a:ext>
          </a:extLst>
        </xdr:cNvPr>
        <xdr:cNvSpPr txBox="1">
          <a:spLocks noChangeArrowheads="1"/>
        </xdr:cNvSpPr>
      </xdr:nvSpPr>
      <xdr:spPr bwMode="auto">
        <a:xfrm>
          <a:off x="9359900" y="8693150"/>
          <a:ext cx="59245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28</xdr:col>
      <xdr:colOff>467246</xdr:colOff>
      <xdr:row>34</xdr:row>
      <xdr:rowOff>171450</xdr:rowOff>
    </xdr:to>
    <xdr:sp macro="" textlink="">
      <xdr:nvSpPr>
        <xdr:cNvPr id="377993" name="Text Box 137" hidden="1">
          <a:extLst>
            <a:ext uri="{FF2B5EF4-FFF2-40B4-BE49-F238E27FC236}">
              <a16:creationId xmlns:a16="http://schemas.microsoft.com/office/drawing/2014/main" id="{D843107B-2124-A37D-E821-BBB36700242D}"/>
            </a:ext>
          </a:extLst>
        </xdr:cNvPr>
        <xdr:cNvSpPr txBox="1">
          <a:spLocks noChangeArrowheads="1"/>
        </xdr:cNvSpPr>
      </xdr:nvSpPr>
      <xdr:spPr bwMode="auto">
        <a:xfrm>
          <a:off x="20027900" y="35560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28</xdr:col>
      <xdr:colOff>467246</xdr:colOff>
      <xdr:row>43</xdr:row>
      <xdr:rowOff>152400</xdr:rowOff>
    </xdr:to>
    <xdr:sp macro="" textlink="">
      <xdr:nvSpPr>
        <xdr:cNvPr id="377992" name="Text Box 136" hidden="1">
          <a:extLst>
            <a:ext uri="{FF2B5EF4-FFF2-40B4-BE49-F238E27FC236}">
              <a16:creationId xmlns:a16="http://schemas.microsoft.com/office/drawing/2014/main" id="{BB91E6A4-16C9-F226-03A0-ADB1494E706D}"/>
            </a:ext>
          </a:extLst>
        </xdr:cNvPr>
        <xdr:cNvSpPr txBox="1">
          <a:spLocks noChangeArrowheads="1"/>
        </xdr:cNvSpPr>
      </xdr:nvSpPr>
      <xdr:spPr bwMode="auto">
        <a:xfrm>
          <a:off x="20027900" y="55626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29898</xdr:rowOff>
    </xdr:from>
    <xdr:to>
      <xdr:col>28</xdr:col>
      <xdr:colOff>467246</xdr:colOff>
      <xdr:row>152</xdr:row>
      <xdr:rowOff>106097</xdr:rowOff>
    </xdr:to>
    <xdr:sp macro="" textlink="">
      <xdr:nvSpPr>
        <xdr:cNvPr id="377991" name="Text Box 135" hidden="1">
          <a:extLst>
            <a:ext uri="{FF2B5EF4-FFF2-40B4-BE49-F238E27FC236}">
              <a16:creationId xmlns:a16="http://schemas.microsoft.com/office/drawing/2014/main" id="{5A4CCD4E-F184-6BD7-B0A9-1E91F4079B9B}"/>
            </a:ext>
          </a:extLst>
        </xdr:cNvPr>
        <xdr:cNvSpPr txBox="1">
          <a:spLocks noChangeArrowheads="1"/>
        </xdr:cNvSpPr>
      </xdr:nvSpPr>
      <xdr:spPr bwMode="auto">
        <a:xfrm>
          <a:off x="20027900" y="2750820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29</xdr:col>
      <xdr:colOff>467246</xdr:colOff>
      <xdr:row>34</xdr:row>
      <xdr:rowOff>133350</xdr:rowOff>
    </xdr:to>
    <xdr:sp macro="" textlink="">
      <xdr:nvSpPr>
        <xdr:cNvPr id="377990" name="Text Box 134" hidden="1">
          <a:extLst>
            <a:ext uri="{FF2B5EF4-FFF2-40B4-BE49-F238E27FC236}">
              <a16:creationId xmlns:a16="http://schemas.microsoft.com/office/drawing/2014/main" id="{4A2F88A1-68C2-1EAE-5DF4-D22409D20724}"/>
            </a:ext>
          </a:extLst>
        </xdr:cNvPr>
        <xdr:cNvSpPr txBox="1">
          <a:spLocks noChangeArrowheads="1"/>
        </xdr:cNvSpPr>
      </xdr:nvSpPr>
      <xdr:spPr bwMode="auto">
        <a:xfrm>
          <a:off x="20789900" y="3556000"/>
          <a:ext cx="436245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29</xdr:col>
      <xdr:colOff>467246</xdr:colOff>
      <xdr:row>43</xdr:row>
      <xdr:rowOff>95250</xdr:rowOff>
    </xdr:to>
    <xdr:sp macro="" textlink="">
      <xdr:nvSpPr>
        <xdr:cNvPr id="377989" name="Text Box 133" hidden="1">
          <a:extLst>
            <a:ext uri="{FF2B5EF4-FFF2-40B4-BE49-F238E27FC236}">
              <a16:creationId xmlns:a16="http://schemas.microsoft.com/office/drawing/2014/main" id="{C55F1976-3D4C-ACE6-A9A5-1B992FDAC9B2}"/>
            </a:ext>
          </a:extLst>
        </xdr:cNvPr>
        <xdr:cNvSpPr txBox="1">
          <a:spLocks noChangeArrowheads="1"/>
        </xdr:cNvSpPr>
      </xdr:nvSpPr>
      <xdr:spPr bwMode="auto">
        <a:xfrm>
          <a:off x="20789900" y="5562600"/>
          <a:ext cx="4362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67998</xdr:rowOff>
    </xdr:from>
    <xdr:to>
      <xdr:col>29</xdr:col>
      <xdr:colOff>467246</xdr:colOff>
      <xdr:row>152</xdr:row>
      <xdr:rowOff>106097</xdr:rowOff>
    </xdr:to>
    <xdr:sp macro="" textlink="">
      <xdr:nvSpPr>
        <xdr:cNvPr id="377988" name="Text Box 132" hidden="1">
          <a:extLst>
            <a:ext uri="{FF2B5EF4-FFF2-40B4-BE49-F238E27FC236}">
              <a16:creationId xmlns:a16="http://schemas.microsoft.com/office/drawing/2014/main" id="{D683EDCC-1374-AD4C-890B-26F5AE9E8D07}"/>
            </a:ext>
          </a:extLst>
        </xdr:cNvPr>
        <xdr:cNvSpPr txBox="1">
          <a:spLocks noChangeArrowheads="1"/>
        </xdr:cNvSpPr>
      </xdr:nvSpPr>
      <xdr:spPr bwMode="auto">
        <a:xfrm>
          <a:off x="20789900" y="2754630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44</xdr:row>
      <xdr:rowOff>76200</xdr:rowOff>
    </xdr:from>
    <xdr:to>
      <xdr:col>16</xdr:col>
      <xdr:colOff>543448</xdr:colOff>
      <xdr:row>62</xdr:row>
      <xdr:rowOff>83645</xdr:rowOff>
    </xdr:to>
    <xdr:sp macro="" textlink="">
      <xdr:nvSpPr>
        <xdr:cNvPr id="377987" name="Text Box 131" hidden="1">
          <a:extLst>
            <a:ext uri="{FF2B5EF4-FFF2-40B4-BE49-F238E27FC236}">
              <a16:creationId xmlns:a16="http://schemas.microsoft.com/office/drawing/2014/main" id="{9DA93244-7656-06DF-FF6F-9215DA0CB43E}"/>
            </a:ext>
          </a:extLst>
        </xdr:cNvPr>
        <xdr:cNvSpPr txBox="1">
          <a:spLocks noChangeArrowheads="1"/>
        </xdr:cNvSpPr>
      </xdr:nvSpPr>
      <xdr:spPr bwMode="auto">
        <a:xfrm>
          <a:off x="9398000" y="9410700"/>
          <a:ext cx="588645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44</xdr:row>
      <xdr:rowOff>76200</xdr:rowOff>
    </xdr:from>
    <xdr:to>
      <xdr:col>17</xdr:col>
      <xdr:colOff>486297</xdr:colOff>
      <xdr:row>62</xdr:row>
      <xdr:rowOff>83645</xdr:rowOff>
    </xdr:to>
    <xdr:sp macro="" textlink="">
      <xdr:nvSpPr>
        <xdr:cNvPr id="377986" name="Text Box 130" hidden="1">
          <a:extLst>
            <a:ext uri="{FF2B5EF4-FFF2-40B4-BE49-F238E27FC236}">
              <a16:creationId xmlns:a16="http://schemas.microsoft.com/office/drawing/2014/main" id="{17EFCB6D-C92D-2563-BA1D-32A8FA0F03A4}"/>
            </a:ext>
          </a:extLst>
        </xdr:cNvPr>
        <xdr:cNvSpPr txBox="1">
          <a:spLocks noChangeArrowheads="1"/>
        </xdr:cNvSpPr>
      </xdr:nvSpPr>
      <xdr:spPr bwMode="auto">
        <a:xfrm>
          <a:off x="11125200" y="9410700"/>
          <a:ext cx="482600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521494</xdr:rowOff>
    </xdr:from>
    <xdr:to>
      <xdr:col>34</xdr:col>
      <xdr:colOff>467247</xdr:colOff>
      <xdr:row>40</xdr:row>
      <xdr:rowOff>19050</xdr:rowOff>
    </xdr:to>
    <xdr:sp macro="" textlink="">
      <xdr:nvSpPr>
        <xdr:cNvPr id="377985" name="Text Box 129" hidden="1">
          <a:extLst>
            <a:ext uri="{FF2B5EF4-FFF2-40B4-BE49-F238E27FC236}">
              <a16:creationId xmlns:a16="http://schemas.microsoft.com/office/drawing/2014/main" id="{483E292D-13E1-CA66-D8B7-741835BAF044}"/>
            </a:ext>
          </a:extLst>
        </xdr:cNvPr>
        <xdr:cNvSpPr txBox="1">
          <a:spLocks noChangeArrowheads="1"/>
        </xdr:cNvSpPr>
      </xdr:nvSpPr>
      <xdr:spPr bwMode="auto">
        <a:xfrm>
          <a:off x="24599900" y="4914900"/>
          <a:ext cx="4845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60</xdr:row>
      <xdr:rowOff>50106</xdr:rowOff>
    </xdr:from>
    <xdr:to>
      <xdr:col>18</xdr:col>
      <xdr:colOff>410406</xdr:colOff>
      <xdr:row>79</xdr:row>
      <xdr:rowOff>48290</xdr:rowOff>
    </xdr:to>
    <xdr:sp macro="" textlink="">
      <xdr:nvSpPr>
        <xdr:cNvPr id="377984" name="Text Box 128" hidden="1">
          <a:extLst>
            <a:ext uri="{FF2B5EF4-FFF2-40B4-BE49-F238E27FC236}">
              <a16:creationId xmlns:a16="http://schemas.microsoft.com/office/drawing/2014/main" id="{C9DADD4B-EE6A-B573-68A1-1A09FBBEA9D0}"/>
            </a:ext>
          </a:extLst>
        </xdr:cNvPr>
        <xdr:cNvSpPr txBox="1">
          <a:spLocks noChangeArrowheads="1"/>
        </xdr:cNvSpPr>
      </xdr:nvSpPr>
      <xdr:spPr bwMode="auto">
        <a:xfrm>
          <a:off x="11957050" y="13398500"/>
          <a:ext cx="46609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63</xdr:row>
      <xdr:rowOff>174334</xdr:rowOff>
    </xdr:from>
    <xdr:to>
      <xdr:col>18</xdr:col>
      <xdr:colOff>448506</xdr:colOff>
      <xdr:row>84</xdr:row>
      <xdr:rowOff>159853</xdr:rowOff>
    </xdr:to>
    <xdr:sp macro="" textlink="">
      <xdr:nvSpPr>
        <xdr:cNvPr id="377983" name="Text Box 127" hidden="1">
          <a:extLst>
            <a:ext uri="{FF2B5EF4-FFF2-40B4-BE49-F238E27FC236}">
              <a16:creationId xmlns:a16="http://schemas.microsoft.com/office/drawing/2014/main" id="{FBAD3223-69C9-42B9-2395-A85BD704448C}"/>
            </a:ext>
          </a:extLst>
        </xdr:cNvPr>
        <xdr:cNvSpPr txBox="1">
          <a:spLocks noChangeArrowheads="1"/>
        </xdr:cNvSpPr>
      </xdr:nvSpPr>
      <xdr:spPr bwMode="auto">
        <a:xfrm>
          <a:off x="11995150" y="14204950"/>
          <a:ext cx="4660900" cy="4324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44</xdr:row>
      <xdr:rowOff>76200</xdr:rowOff>
    </xdr:from>
    <xdr:to>
      <xdr:col>18</xdr:col>
      <xdr:colOff>448506</xdr:colOff>
      <xdr:row>62</xdr:row>
      <xdr:rowOff>83645</xdr:rowOff>
    </xdr:to>
    <xdr:sp macro="" textlink="">
      <xdr:nvSpPr>
        <xdr:cNvPr id="377982" name="Text Box 126" hidden="1">
          <a:extLst>
            <a:ext uri="{FF2B5EF4-FFF2-40B4-BE49-F238E27FC236}">
              <a16:creationId xmlns:a16="http://schemas.microsoft.com/office/drawing/2014/main" id="{AD2945A3-5AC2-54A0-12C4-34E2176FC72E}"/>
            </a:ext>
          </a:extLst>
        </xdr:cNvPr>
        <xdr:cNvSpPr txBox="1">
          <a:spLocks noChangeArrowheads="1"/>
        </xdr:cNvSpPr>
      </xdr:nvSpPr>
      <xdr:spPr bwMode="auto">
        <a:xfrm>
          <a:off x="11995150" y="9410700"/>
          <a:ext cx="466090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29086</xdr:rowOff>
    </xdr:from>
    <xdr:to>
      <xdr:col>8</xdr:col>
      <xdr:colOff>268754</xdr:colOff>
      <xdr:row>79</xdr:row>
      <xdr:rowOff>67340</xdr:rowOff>
    </xdr:to>
    <xdr:sp macro="" textlink="">
      <xdr:nvSpPr>
        <xdr:cNvPr id="377981" name="Text Box 125" hidden="1">
          <a:extLst>
            <a:ext uri="{FF2B5EF4-FFF2-40B4-BE49-F238E27FC236}">
              <a16:creationId xmlns:a16="http://schemas.microsoft.com/office/drawing/2014/main" id="{8A4DBE25-8389-8F77-5954-EF0920230930}"/>
            </a:ext>
          </a:extLst>
        </xdr:cNvPr>
        <xdr:cNvSpPr txBox="1">
          <a:spLocks noChangeArrowheads="1"/>
        </xdr:cNvSpPr>
      </xdr:nvSpPr>
      <xdr:spPr bwMode="auto">
        <a:xfrm>
          <a:off x="4051300" y="13589000"/>
          <a:ext cx="3714750" cy="387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xdr:row>
      <xdr:rowOff>95250</xdr:rowOff>
    </xdr:from>
    <xdr:to>
      <xdr:col>30</xdr:col>
      <xdr:colOff>458089</xdr:colOff>
      <xdr:row>34</xdr:row>
      <xdr:rowOff>152400</xdr:rowOff>
    </xdr:to>
    <xdr:sp macro="" textlink="">
      <xdr:nvSpPr>
        <xdr:cNvPr id="377980" name="Text Box 124" hidden="1">
          <a:extLst>
            <a:ext uri="{FF2B5EF4-FFF2-40B4-BE49-F238E27FC236}">
              <a16:creationId xmlns:a16="http://schemas.microsoft.com/office/drawing/2014/main" id="{D05A8BBF-8B51-2F33-998C-806C99533839}"/>
            </a:ext>
          </a:extLst>
        </xdr:cNvPr>
        <xdr:cNvSpPr txBox="1">
          <a:spLocks noChangeArrowheads="1"/>
        </xdr:cNvSpPr>
      </xdr:nvSpPr>
      <xdr:spPr bwMode="auto">
        <a:xfrm>
          <a:off x="21551900" y="3556000"/>
          <a:ext cx="438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23</xdr:row>
      <xdr:rowOff>95250</xdr:rowOff>
    </xdr:from>
    <xdr:to>
      <xdr:col>30</xdr:col>
      <xdr:colOff>458089</xdr:colOff>
      <xdr:row>43</xdr:row>
      <xdr:rowOff>152400</xdr:rowOff>
    </xdr:to>
    <xdr:sp macro="" textlink="">
      <xdr:nvSpPr>
        <xdr:cNvPr id="377979" name="Text Box 123" hidden="1">
          <a:extLst>
            <a:ext uri="{FF2B5EF4-FFF2-40B4-BE49-F238E27FC236}">
              <a16:creationId xmlns:a16="http://schemas.microsoft.com/office/drawing/2014/main" id="{B9B941EA-44C2-806B-A566-D7979B15416B}"/>
            </a:ext>
          </a:extLst>
        </xdr:cNvPr>
        <xdr:cNvSpPr txBox="1">
          <a:spLocks noChangeArrowheads="1"/>
        </xdr:cNvSpPr>
      </xdr:nvSpPr>
      <xdr:spPr bwMode="auto">
        <a:xfrm>
          <a:off x="21551900" y="55626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134</xdr:row>
      <xdr:rowOff>125148</xdr:rowOff>
    </xdr:from>
    <xdr:to>
      <xdr:col>30</xdr:col>
      <xdr:colOff>458089</xdr:colOff>
      <xdr:row>154</xdr:row>
      <xdr:rowOff>144991</xdr:rowOff>
    </xdr:to>
    <xdr:sp macro="" textlink="">
      <xdr:nvSpPr>
        <xdr:cNvPr id="377978" name="Text Box 122" hidden="1">
          <a:extLst>
            <a:ext uri="{FF2B5EF4-FFF2-40B4-BE49-F238E27FC236}">
              <a16:creationId xmlns:a16="http://schemas.microsoft.com/office/drawing/2014/main" id="{7C31C78C-9434-6836-5298-1E0FB7EA40EC}"/>
            </a:ext>
          </a:extLst>
        </xdr:cNvPr>
        <xdr:cNvSpPr txBox="1">
          <a:spLocks noChangeArrowheads="1"/>
        </xdr:cNvSpPr>
      </xdr:nvSpPr>
      <xdr:spPr bwMode="auto">
        <a:xfrm>
          <a:off x="21551900" y="279717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xdr:row>
      <xdr:rowOff>114300</xdr:rowOff>
    </xdr:from>
    <xdr:to>
      <xdr:col>31</xdr:col>
      <xdr:colOff>486297</xdr:colOff>
      <xdr:row>34</xdr:row>
      <xdr:rowOff>152400</xdr:rowOff>
    </xdr:to>
    <xdr:sp macro="" textlink="">
      <xdr:nvSpPr>
        <xdr:cNvPr id="377977" name="Text Box 121" hidden="1">
          <a:extLst>
            <a:ext uri="{FF2B5EF4-FFF2-40B4-BE49-F238E27FC236}">
              <a16:creationId xmlns:a16="http://schemas.microsoft.com/office/drawing/2014/main" id="{138CF37B-3268-E1A9-1ED1-748A637B1AF8}"/>
            </a:ext>
          </a:extLst>
        </xdr:cNvPr>
        <xdr:cNvSpPr txBox="1">
          <a:spLocks noChangeArrowheads="1"/>
        </xdr:cNvSpPr>
      </xdr:nvSpPr>
      <xdr:spPr bwMode="auto">
        <a:xfrm>
          <a:off x="22313900" y="3575050"/>
          <a:ext cx="486410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114300</xdr:rowOff>
    </xdr:from>
    <xdr:to>
      <xdr:col>31</xdr:col>
      <xdr:colOff>486297</xdr:colOff>
      <xdr:row>43</xdr:row>
      <xdr:rowOff>152400</xdr:rowOff>
    </xdr:to>
    <xdr:sp macro="" textlink="">
      <xdr:nvSpPr>
        <xdr:cNvPr id="377976" name="Text Box 120" hidden="1">
          <a:extLst>
            <a:ext uri="{FF2B5EF4-FFF2-40B4-BE49-F238E27FC236}">
              <a16:creationId xmlns:a16="http://schemas.microsoft.com/office/drawing/2014/main" id="{D8BCE67D-6C7E-5C6D-B004-95CFA381B80C}"/>
            </a:ext>
          </a:extLst>
        </xdr:cNvPr>
        <xdr:cNvSpPr txBox="1">
          <a:spLocks noChangeArrowheads="1"/>
        </xdr:cNvSpPr>
      </xdr:nvSpPr>
      <xdr:spPr bwMode="auto">
        <a:xfrm>
          <a:off x="22313900" y="55816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134</xdr:row>
      <xdr:rowOff>125148</xdr:rowOff>
    </xdr:from>
    <xdr:to>
      <xdr:col>31</xdr:col>
      <xdr:colOff>486297</xdr:colOff>
      <xdr:row>154</xdr:row>
      <xdr:rowOff>144991</xdr:rowOff>
    </xdr:to>
    <xdr:sp macro="" textlink="">
      <xdr:nvSpPr>
        <xdr:cNvPr id="377975" name="Text Box 119" hidden="1">
          <a:extLst>
            <a:ext uri="{FF2B5EF4-FFF2-40B4-BE49-F238E27FC236}">
              <a16:creationId xmlns:a16="http://schemas.microsoft.com/office/drawing/2014/main" id="{1123A60E-E569-F52E-EAF8-F967A5BD6DB5}"/>
            </a:ext>
          </a:extLst>
        </xdr:cNvPr>
        <xdr:cNvSpPr txBox="1">
          <a:spLocks noChangeArrowheads="1"/>
        </xdr:cNvSpPr>
      </xdr:nvSpPr>
      <xdr:spPr bwMode="auto">
        <a:xfrm>
          <a:off x="22313900" y="279717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14</xdr:row>
      <xdr:rowOff>95250</xdr:rowOff>
    </xdr:from>
    <xdr:to>
      <xdr:col>31</xdr:col>
      <xdr:colOff>592933</xdr:colOff>
      <xdr:row>34</xdr:row>
      <xdr:rowOff>95250</xdr:rowOff>
    </xdr:to>
    <xdr:sp macro="" textlink="">
      <xdr:nvSpPr>
        <xdr:cNvPr id="377974" name="Text Box 118" hidden="1">
          <a:extLst>
            <a:ext uri="{FF2B5EF4-FFF2-40B4-BE49-F238E27FC236}">
              <a16:creationId xmlns:a16="http://schemas.microsoft.com/office/drawing/2014/main" id="{C5D5A2EF-7B8E-CA0D-4454-FA01B65473F7}"/>
            </a:ext>
          </a:extLst>
        </xdr:cNvPr>
        <xdr:cNvSpPr txBox="1">
          <a:spLocks noChangeArrowheads="1"/>
        </xdr:cNvSpPr>
      </xdr:nvSpPr>
      <xdr:spPr bwMode="auto">
        <a:xfrm>
          <a:off x="23114000" y="3556000"/>
          <a:ext cx="421640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23</xdr:row>
      <xdr:rowOff>95250</xdr:rowOff>
    </xdr:from>
    <xdr:to>
      <xdr:col>31</xdr:col>
      <xdr:colOff>592933</xdr:colOff>
      <xdr:row>43</xdr:row>
      <xdr:rowOff>114300</xdr:rowOff>
    </xdr:to>
    <xdr:sp macro="" textlink="">
      <xdr:nvSpPr>
        <xdr:cNvPr id="377973" name="Text Box 117" hidden="1">
          <a:extLst>
            <a:ext uri="{FF2B5EF4-FFF2-40B4-BE49-F238E27FC236}">
              <a16:creationId xmlns:a16="http://schemas.microsoft.com/office/drawing/2014/main" id="{405F76E7-1852-A5E5-6BAD-862EF3E0D9FD}"/>
            </a:ext>
          </a:extLst>
        </xdr:cNvPr>
        <xdr:cNvSpPr txBox="1">
          <a:spLocks noChangeArrowheads="1"/>
        </xdr:cNvSpPr>
      </xdr:nvSpPr>
      <xdr:spPr bwMode="auto">
        <a:xfrm>
          <a:off x="23114000" y="5562600"/>
          <a:ext cx="42164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669134</xdr:colOff>
      <xdr:row>8</xdr:row>
      <xdr:rowOff>76200</xdr:rowOff>
    </xdr:from>
    <xdr:to>
      <xdr:col>41</xdr:col>
      <xdr:colOff>592933</xdr:colOff>
      <xdr:row>28</xdr:row>
      <xdr:rowOff>95250</xdr:rowOff>
    </xdr:to>
    <xdr:sp macro="" textlink="">
      <xdr:nvSpPr>
        <xdr:cNvPr id="378013" name="Text Box 157" hidden="1">
          <a:extLst>
            <a:ext uri="{FF2B5EF4-FFF2-40B4-BE49-F238E27FC236}">
              <a16:creationId xmlns:a16="http://schemas.microsoft.com/office/drawing/2014/main" id="{EF92B0A9-7CCB-0BD6-CC56-72391A819817}"/>
            </a:ext>
          </a:extLst>
        </xdr:cNvPr>
        <xdr:cNvSpPr txBox="1">
          <a:spLocks noChangeArrowheads="1"/>
        </xdr:cNvSpPr>
      </xdr:nvSpPr>
      <xdr:spPr bwMode="auto">
        <a:xfrm>
          <a:off x="312166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6</xdr:row>
      <xdr:rowOff>95250</xdr:rowOff>
    </xdr:from>
    <xdr:to>
      <xdr:col>20</xdr:col>
      <xdr:colOff>687854</xdr:colOff>
      <xdr:row>26</xdr:row>
      <xdr:rowOff>152400</xdr:rowOff>
    </xdr:to>
    <xdr:sp macro="" textlink="">
      <xdr:nvSpPr>
        <xdr:cNvPr id="421929" name="Text Box 1065" hidden="1">
          <a:extLst>
            <a:ext uri="{FF2B5EF4-FFF2-40B4-BE49-F238E27FC236}">
              <a16:creationId xmlns:a16="http://schemas.microsoft.com/office/drawing/2014/main" id="{3A13F89C-6B9A-2B32-F17C-0B1610556C2B}"/>
            </a:ext>
          </a:extLst>
        </xdr:cNvPr>
        <xdr:cNvSpPr txBox="1">
          <a:spLocks noChangeArrowheads="1"/>
        </xdr:cNvSpPr>
      </xdr:nvSpPr>
      <xdr:spPr bwMode="auto">
        <a:xfrm>
          <a:off x="14846300" y="2082800"/>
          <a:ext cx="36957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178593</xdr:rowOff>
    </xdr:from>
    <xdr:to>
      <xdr:col>9</xdr:col>
      <xdr:colOff>102160</xdr:colOff>
      <xdr:row>75</xdr:row>
      <xdr:rowOff>142875</xdr:rowOff>
    </xdr:to>
    <xdr:sp macro="" textlink="">
      <xdr:nvSpPr>
        <xdr:cNvPr id="421928" name="Text Box 1064" hidden="1">
          <a:extLst>
            <a:ext uri="{FF2B5EF4-FFF2-40B4-BE49-F238E27FC236}">
              <a16:creationId xmlns:a16="http://schemas.microsoft.com/office/drawing/2014/main" id="{2552476E-907D-3C88-72EC-C205FD93D3DA}"/>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178593</xdr:rowOff>
    </xdr:from>
    <xdr:to>
      <xdr:col>9</xdr:col>
      <xdr:colOff>121210</xdr:colOff>
      <xdr:row>75</xdr:row>
      <xdr:rowOff>142875</xdr:rowOff>
    </xdr:to>
    <xdr:sp macro="" textlink="">
      <xdr:nvSpPr>
        <xdr:cNvPr id="421927" name="Text Box 1063" hidden="1">
          <a:extLst>
            <a:ext uri="{FF2B5EF4-FFF2-40B4-BE49-F238E27FC236}">
              <a16:creationId xmlns:a16="http://schemas.microsoft.com/office/drawing/2014/main" id="{E0CE8E3E-8C5F-1796-4450-C572FA2D5A96}"/>
            </a:ext>
          </a:extLst>
        </xdr:cNvPr>
        <xdr:cNvSpPr txBox="1">
          <a:spLocks noChangeArrowheads="1"/>
        </xdr:cNvSpPr>
      </xdr:nvSpPr>
      <xdr:spPr bwMode="auto">
        <a:xfrm>
          <a:off x="401320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178593</xdr:rowOff>
    </xdr:from>
    <xdr:to>
      <xdr:col>9</xdr:col>
      <xdr:colOff>102160</xdr:colOff>
      <xdr:row>75</xdr:row>
      <xdr:rowOff>142875</xdr:rowOff>
    </xdr:to>
    <xdr:sp macro="" textlink="">
      <xdr:nvSpPr>
        <xdr:cNvPr id="421926" name="Text Box 1062" hidden="1">
          <a:extLst>
            <a:ext uri="{FF2B5EF4-FFF2-40B4-BE49-F238E27FC236}">
              <a16:creationId xmlns:a16="http://schemas.microsoft.com/office/drawing/2014/main" id="{487BA97C-F09E-2EE5-64DF-7BDA97A31D1C}"/>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178593</xdr:rowOff>
    </xdr:from>
    <xdr:to>
      <xdr:col>9</xdr:col>
      <xdr:colOff>102160</xdr:colOff>
      <xdr:row>75</xdr:row>
      <xdr:rowOff>142875</xdr:rowOff>
    </xdr:to>
    <xdr:sp macro="" textlink="">
      <xdr:nvSpPr>
        <xdr:cNvPr id="421925" name="Text Box 1061" hidden="1">
          <a:extLst>
            <a:ext uri="{FF2B5EF4-FFF2-40B4-BE49-F238E27FC236}">
              <a16:creationId xmlns:a16="http://schemas.microsoft.com/office/drawing/2014/main" id="{D1485E19-3DB1-D178-E8BF-51503D89F842}"/>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76200</xdr:rowOff>
    </xdr:from>
    <xdr:to>
      <xdr:col>9</xdr:col>
      <xdr:colOff>102160</xdr:colOff>
      <xdr:row>80</xdr:row>
      <xdr:rowOff>40482</xdr:rowOff>
    </xdr:to>
    <xdr:sp macro="" textlink="">
      <xdr:nvSpPr>
        <xdr:cNvPr id="421924" name="Text Box 1060" hidden="1">
          <a:extLst>
            <a:ext uri="{FF2B5EF4-FFF2-40B4-BE49-F238E27FC236}">
              <a16:creationId xmlns:a16="http://schemas.microsoft.com/office/drawing/2014/main" id="{0BB2D512-3A73-0752-9DD1-234F5D255F92}"/>
            </a:ext>
          </a:extLst>
        </xdr:cNvPr>
        <xdr:cNvSpPr txBox="1">
          <a:spLocks noChangeArrowheads="1"/>
        </xdr:cNvSpPr>
      </xdr:nvSpPr>
      <xdr:spPr bwMode="auto">
        <a:xfrm>
          <a:off x="3994150" y="13335000"/>
          <a:ext cx="4362450" cy="415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59531</xdr:rowOff>
    </xdr:from>
    <xdr:to>
      <xdr:col>9</xdr:col>
      <xdr:colOff>102160</xdr:colOff>
      <xdr:row>96</xdr:row>
      <xdr:rowOff>182563</xdr:rowOff>
    </xdr:to>
    <xdr:sp macro="" textlink="">
      <xdr:nvSpPr>
        <xdr:cNvPr id="421923" name="Text Box 1059" hidden="1">
          <a:extLst>
            <a:ext uri="{FF2B5EF4-FFF2-40B4-BE49-F238E27FC236}">
              <a16:creationId xmlns:a16="http://schemas.microsoft.com/office/drawing/2014/main" id="{66A30B15-730B-32F1-3495-456247BA1257}"/>
            </a:ext>
          </a:extLst>
        </xdr:cNvPr>
        <xdr:cNvSpPr txBox="1">
          <a:spLocks noChangeArrowheads="1"/>
        </xdr:cNvSpPr>
      </xdr:nvSpPr>
      <xdr:spPr bwMode="auto">
        <a:xfrm>
          <a:off x="3994150" y="16579850"/>
          <a:ext cx="4362450" cy="411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161925</xdr:rowOff>
    </xdr:from>
    <xdr:to>
      <xdr:col>9</xdr:col>
      <xdr:colOff>102160</xdr:colOff>
      <xdr:row>97</xdr:row>
      <xdr:rowOff>49213</xdr:rowOff>
    </xdr:to>
    <xdr:sp macro="" textlink="">
      <xdr:nvSpPr>
        <xdr:cNvPr id="421922" name="Text Box 1058" hidden="1">
          <a:extLst>
            <a:ext uri="{FF2B5EF4-FFF2-40B4-BE49-F238E27FC236}">
              <a16:creationId xmlns:a16="http://schemas.microsoft.com/office/drawing/2014/main" id="{E9821A62-DA38-0C71-DCEE-84540D6EE02B}"/>
            </a:ext>
          </a:extLst>
        </xdr:cNvPr>
        <xdr:cNvSpPr txBox="1">
          <a:spLocks noChangeArrowheads="1"/>
        </xdr:cNvSpPr>
      </xdr:nvSpPr>
      <xdr:spPr bwMode="auto">
        <a:xfrm>
          <a:off x="3994150" y="16687800"/>
          <a:ext cx="4362450" cy="411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97631</xdr:rowOff>
    </xdr:from>
    <xdr:to>
      <xdr:col>9</xdr:col>
      <xdr:colOff>102160</xdr:colOff>
      <xdr:row>97</xdr:row>
      <xdr:rowOff>30163</xdr:rowOff>
    </xdr:to>
    <xdr:sp macro="" textlink="">
      <xdr:nvSpPr>
        <xdr:cNvPr id="421921" name="Text Box 1057" hidden="1">
          <a:extLst>
            <a:ext uri="{FF2B5EF4-FFF2-40B4-BE49-F238E27FC236}">
              <a16:creationId xmlns:a16="http://schemas.microsoft.com/office/drawing/2014/main" id="{FBB50E9B-1133-7EE8-56C5-7A712BFA2D5A}"/>
            </a:ext>
          </a:extLst>
        </xdr:cNvPr>
        <xdr:cNvSpPr txBox="1">
          <a:spLocks noChangeArrowheads="1"/>
        </xdr:cNvSpPr>
      </xdr:nvSpPr>
      <xdr:spPr bwMode="auto">
        <a:xfrm>
          <a:off x="3994150" y="16802100"/>
          <a:ext cx="43624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103187</xdr:rowOff>
    </xdr:from>
    <xdr:to>
      <xdr:col>9</xdr:col>
      <xdr:colOff>102160</xdr:colOff>
      <xdr:row>97</xdr:row>
      <xdr:rowOff>87313</xdr:rowOff>
    </xdr:to>
    <xdr:sp macro="" textlink="">
      <xdr:nvSpPr>
        <xdr:cNvPr id="421920" name="Text Box 1056" hidden="1">
          <a:extLst>
            <a:ext uri="{FF2B5EF4-FFF2-40B4-BE49-F238E27FC236}">
              <a16:creationId xmlns:a16="http://schemas.microsoft.com/office/drawing/2014/main" id="{9710C440-AD2E-02F3-25EA-EE2A0756A36B}"/>
            </a:ext>
          </a:extLst>
        </xdr:cNvPr>
        <xdr:cNvSpPr txBox="1">
          <a:spLocks noChangeArrowheads="1"/>
        </xdr:cNvSpPr>
      </xdr:nvSpPr>
      <xdr:spPr bwMode="auto">
        <a:xfrm>
          <a:off x="3994150" y="16992600"/>
          <a:ext cx="43624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2382</xdr:rowOff>
    </xdr:from>
    <xdr:to>
      <xdr:col>9</xdr:col>
      <xdr:colOff>102160</xdr:colOff>
      <xdr:row>118</xdr:row>
      <xdr:rowOff>59531</xdr:rowOff>
    </xdr:to>
    <xdr:sp macro="" textlink="">
      <xdr:nvSpPr>
        <xdr:cNvPr id="421919" name="Text Box 1055" hidden="1">
          <a:extLst>
            <a:ext uri="{FF2B5EF4-FFF2-40B4-BE49-F238E27FC236}">
              <a16:creationId xmlns:a16="http://schemas.microsoft.com/office/drawing/2014/main" id="{13215D16-055B-41A6-91B7-B090625F8A0C}"/>
            </a:ext>
          </a:extLst>
        </xdr:cNvPr>
        <xdr:cNvSpPr txBox="1">
          <a:spLocks noChangeArrowheads="1"/>
        </xdr:cNvSpPr>
      </xdr:nvSpPr>
      <xdr:spPr bwMode="auto">
        <a:xfrm>
          <a:off x="3994150" y="21005800"/>
          <a:ext cx="4362450" cy="379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2381</xdr:rowOff>
    </xdr:from>
    <xdr:to>
      <xdr:col>9</xdr:col>
      <xdr:colOff>102160</xdr:colOff>
      <xdr:row>119</xdr:row>
      <xdr:rowOff>40482</xdr:rowOff>
    </xdr:to>
    <xdr:sp macro="" textlink="">
      <xdr:nvSpPr>
        <xdr:cNvPr id="421918" name="Text Box 1054" hidden="1">
          <a:extLst>
            <a:ext uri="{FF2B5EF4-FFF2-40B4-BE49-F238E27FC236}">
              <a16:creationId xmlns:a16="http://schemas.microsoft.com/office/drawing/2014/main" id="{78155E4D-4B6D-5E45-BE92-7164422ECAB0}"/>
            </a:ext>
          </a:extLst>
        </xdr:cNvPr>
        <xdr:cNvSpPr txBox="1">
          <a:spLocks noChangeArrowheads="1"/>
        </xdr:cNvSpPr>
      </xdr:nvSpPr>
      <xdr:spPr bwMode="auto">
        <a:xfrm>
          <a:off x="3994150" y="2118995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40481</xdr:rowOff>
    </xdr:from>
    <xdr:to>
      <xdr:col>9</xdr:col>
      <xdr:colOff>102160</xdr:colOff>
      <xdr:row>120</xdr:row>
      <xdr:rowOff>40481</xdr:rowOff>
    </xdr:to>
    <xdr:sp macro="" textlink="">
      <xdr:nvSpPr>
        <xdr:cNvPr id="421917" name="Text Box 1053" hidden="1">
          <a:extLst>
            <a:ext uri="{FF2B5EF4-FFF2-40B4-BE49-F238E27FC236}">
              <a16:creationId xmlns:a16="http://schemas.microsoft.com/office/drawing/2014/main" id="{F0FA357D-2F65-4F6D-9659-955175756949}"/>
            </a:ext>
          </a:extLst>
        </xdr:cNvPr>
        <xdr:cNvSpPr txBox="1">
          <a:spLocks noChangeArrowheads="1"/>
        </xdr:cNvSpPr>
      </xdr:nvSpPr>
      <xdr:spPr bwMode="auto">
        <a:xfrm>
          <a:off x="3994150" y="2141220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2381</xdr:rowOff>
    </xdr:from>
    <xdr:to>
      <xdr:col>9</xdr:col>
      <xdr:colOff>102160</xdr:colOff>
      <xdr:row>120</xdr:row>
      <xdr:rowOff>40481</xdr:rowOff>
    </xdr:to>
    <xdr:sp macro="" textlink="">
      <xdr:nvSpPr>
        <xdr:cNvPr id="421916" name="Text Box 1052" hidden="1">
          <a:extLst>
            <a:ext uri="{FF2B5EF4-FFF2-40B4-BE49-F238E27FC236}">
              <a16:creationId xmlns:a16="http://schemas.microsoft.com/office/drawing/2014/main" id="{D8526C22-E9ED-E561-1E54-1EFB0A2EB429}"/>
            </a:ext>
          </a:extLst>
        </xdr:cNvPr>
        <xdr:cNvSpPr txBox="1">
          <a:spLocks noChangeArrowheads="1"/>
        </xdr:cNvSpPr>
      </xdr:nvSpPr>
      <xdr:spPr bwMode="auto">
        <a:xfrm>
          <a:off x="3994150" y="2137410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123</xdr:row>
      <xdr:rowOff>161925</xdr:rowOff>
    </xdr:from>
    <xdr:to>
      <xdr:col>23</xdr:col>
      <xdr:colOff>687855</xdr:colOff>
      <xdr:row>143</xdr:row>
      <xdr:rowOff>142875</xdr:rowOff>
    </xdr:to>
    <xdr:sp macro="" textlink="">
      <xdr:nvSpPr>
        <xdr:cNvPr id="421915" name="Text Box 1051" hidden="1">
          <a:extLst>
            <a:ext uri="{FF2B5EF4-FFF2-40B4-BE49-F238E27FC236}">
              <a16:creationId xmlns:a16="http://schemas.microsoft.com/office/drawing/2014/main" id="{CAC2981C-5FAF-1A60-F046-998B0627E674}"/>
            </a:ext>
          </a:extLst>
        </xdr:cNvPr>
        <xdr:cNvSpPr txBox="1">
          <a:spLocks noChangeArrowheads="1"/>
        </xdr:cNvSpPr>
      </xdr:nvSpPr>
      <xdr:spPr bwMode="auto">
        <a:xfrm>
          <a:off x="17208500" y="25825450"/>
          <a:ext cx="36195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15</xdr:row>
      <xdr:rowOff>95250</xdr:rowOff>
    </xdr:from>
    <xdr:to>
      <xdr:col>25</xdr:col>
      <xdr:colOff>102161</xdr:colOff>
      <xdr:row>35</xdr:row>
      <xdr:rowOff>76200</xdr:rowOff>
    </xdr:to>
    <xdr:sp macro="" textlink="">
      <xdr:nvSpPr>
        <xdr:cNvPr id="421914" name="Text Box 1050" hidden="1">
          <a:extLst>
            <a:ext uri="{FF2B5EF4-FFF2-40B4-BE49-F238E27FC236}">
              <a16:creationId xmlns:a16="http://schemas.microsoft.com/office/drawing/2014/main" id="{D0A9A330-FBFB-3ACC-A6A6-693E26D897C0}"/>
            </a:ext>
          </a:extLst>
        </xdr:cNvPr>
        <xdr:cNvSpPr txBox="1">
          <a:spLocks noChangeArrowheads="1"/>
        </xdr:cNvSpPr>
      </xdr:nvSpPr>
      <xdr:spPr bwMode="auto">
        <a:xfrm>
          <a:off x="18027650" y="3740150"/>
          <a:ext cx="3733800" cy="400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24</xdr:row>
      <xdr:rowOff>95250</xdr:rowOff>
    </xdr:from>
    <xdr:to>
      <xdr:col>25</xdr:col>
      <xdr:colOff>102161</xdr:colOff>
      <xdr:row>44</xdr:row>
      <xdr:rowOff>76200</xdr:rowOff>
    </xdr:to>
    <xdr:sp macro="" textlink="">
      <xdr:nvSpPr>
        <xdr:cNvPr id="421913" name="Text Box 1049" hidden="1">
          <a:extLst>
            <a:ext uri="{FF2B5EF4-FFF2-40B4-BE49-F238E27FC236}">
              <a16:creationId xmlns:a16="http://schemas.microsoft.com/office/drawing/2014/main" id="{9ADA79F2-9122-8815-6F5C-822CDB7619E9}"/>
            </a:ext>
          </a:extLst>
        </xdr:cNvPr>
        <xdr:cNvSpPr txBox="1">
          <a:spLocks noChangeArrowheads="1"/>
        </xdr:cNvSpPr>
      </xdr:nvSpPr>
      <xdr:spPr bwMode="auto">
        <a:xfrm>
          <a:off x="18027650" y="5746750"/>
          <a:ext cx="37338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128</xdr:row>
      <xdr:rowOff>2381</xdr:rowOff>
    </xdr:from>
    <xdr:to>
      <xdr:col>25</xdr:col>
      <xdr:colOff>102161</xdr:colOff>
      <xdr:row>147</xdr:row>
      <xdr:rowOff>161925</xdr:rowOff>
    </xdr:to>
    <xdr:sp macro="" textlink="">
      <xdr:nvSpPr>
        <xdr:cNvPr id="421912" name="Text Box 1048" hidden="1">
          <a:extLst>
            <a:ext uri="{FF2B5EF4-FFF2-40B4-BE49-F238E27FC236}">
              <a16:creationId xmlns:a16="http://schemas.microsoft.com/office/drawing/2014/main" id="{A8B8E41F-6504-7DB6-A1F4-1312F052DB67}"/>
            </a:ext>
          </a:extLst>
        </xdr:cNvPr>
        <xdr:cNvSpPr txBox="1">
          <a:spLocks noChangeArrowheads="1"/>
        </xdr:cNvSpPr>
      </xdr:nvSpPr>
      <xdr:spPr bwMode="auto">
        <a:xfrm>
          <a:off x="18027650" y="265811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35</xdr:row>
      <xdr:rowOff>95250</xdr:rowOff>
    </xdr:from>
    <xdr:to>
      <xdr:col>15</xdr:col>
      <xdr:colOff>273798</xdr:colOff>
      <xdr:row>55</xdr:row>
      <xdr:rowOff>26988</xdr:rowOff>
    </xdr:to>
    <xdr:sp macro="" textlink="">
      <xdr:nvSpPr>
        <xdr:cNvPr id="421911" name="Text Box 1047" hidden="1">
          <a:extLst>
            <a:ext uri="{FF2B5EF4-FFF2-40B4-BE49-F238E27FC236}">
              <a16:creationId xmlns:a16="http://schemas.microsoft.com/office/drawing/2014/main" id="{D9D2BEFB-1758-F196-D84B-5CB681AE8DA4}"/>
            </a:ext>
          </a:extLst>
        </xdr:cNvPr>
        <xdr:cNvSpPr txBox="1">
          <a:spLocks noChangeArrowheads="1"/>
        </xdr:cNvSpPr>
      </xdr:nvSpPr>
      <xdr:spPr bwMode="auto">
        <a:xfrm>
          <a:off x="9683750" y="7766050"/>
          <a:ext cx="4533900" cy="417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15</xdr:row>
      <xdr:rowOff>95250</xdr:rowOff>
    </xdr:from>
    <xdr:to>
      <xdr:col>28</xdr:col>
      <xdr:colOff>140260</xdr:colOff>
      <xdr:row>35</xdr:row>
      <xdr:rowOff>171450</xdr:rowOff>
    </xdr:to>
    <xdr:sp macro="" textlink="">
      <xdr:nvSpPr>
        <xdr:cNvPr id="421910" name="Text Box 1046" hidden="1">
          <a:extLst>
            <a:ext uri="{FF2B5EF4-FFF2-40B4-BE49-F238E27FC236}">
              <a16:creationId xmlns:a16="http://schemas.microsoft.com/office/drawing/2014/main" id="{B11FB887-EA3F-38D7-CDCE-28056C0CF9A1}"/>
            </a:ext>
          </a:extLst>
        </xdr:cNvPr>
        <xdr:cNvSpPr txBox="1">
          <a:spLocks noChangeArrowheads="1"/>
        </xdr:cNvSpPr>
      </xdr:nvSpPr>
      <xdr:spPr bwMode="auto">
        <a:xfrm>
          <a:off x="19723100" y="3740150"/>
          <a:ext cx="436245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24</xdr:row>
      <xdr:rowOff>95250</xdr:rowOff>
    </xdr:from>
    <xdr:to>
      <xdr:col>28</xdr:col>
      <xdr:colOff>140260</xdr:colOff>
      <xdr:row>44</xdr:row>
      <xdr:rowOff>152400</xdr:rowOff>
    </xdr:to>
    <xdr:sp macro="" textlink="">
      <xdr:nvSpPr>
        <xdr:cNvPr id="421909" name="Text Box 1045" hidden="1">
          <a:extLst>
            <a:ext uri="{FF2B5EF4-FFF2-40B4-BE49-F238E27FC236}">
              <a16:creationId xmlns:a16="http://schemas.microsoft.com/office/drawing/2014/main" id="{61CF6775-7FB9-BD95-2F26-EBD83552CB28}"/>
            </a:ext>
          </a:extLst>
        </xdr:cNvPr>
        <xdr:cNvSpPr txBox="1">
          <a:spLocks noChangeArrowheads="1"/>
        </xdr:cNvSpPr>
      </xdr:nvSpPr>
      <xdr:spPr bwMode="auto">
        <a:xfrm>
          <a:off x="19723100" y="574675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128</xdr:row>
      <xdr:rowOff>2381</xdr:rowOff>
    </xdr:from>
    <xdr:to>
      <xdr:col>28</xdr:col>
      <xdr:colOff>140260</xdr:colOff>
      <xdr:row>148</xdr:row>
      <xdr:rowOff>59531</xdr:rowOff>
    </xdr:to>
    <xdr:sp macro="" textlink="">
      <xdr:nvSpPr>
        <xdr:cNvPr id="421908" name="Text Box 1044" hidden="1">
          <a:extLst>
            <a:ext uri="{FF2B5EF4-FFF2-40B4-BE49-F238E27FC236}">
              <a16:creationId xmlns:a16="http://schemas.microsoft.com/office/drawing/2014/main" id="{5E9C0EDD-51D4-AB43-6D5A-3FD05C58EFB0}"/>
            </a:ext>
          </a:extLst>
        </xdr:cNvPr>
        <xdr:cNvSpPr txBox="1">
          <a:spLocks noChangeArrowheads="1"/>
        </xdr:cNvSpPr>
      </xdr:nvSpPr>
      <xdr:spPr bwMode="auto">
        <a:xfrm>
          <a:off x="19723100" y="26581100"/>
          <a:ext cx="43624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15</xdr:row>
      <xdr:rowOff>95250</xdr:rowOff>
    </xdr:from>
    <xdr:to>
      <xdr:col>29</xdr:col>
      <xdr:colOff>140260</xdr:colOff>
      <xdr:row>35</xdr:row>
      <xdr:rowOff>133350</xdr:rowOff>
    </xdr:to>
    <xdr:sp macro="" textlink="">
      <xdr:nvSpPr>
        <xdr:cNvPr id="421907" name="Text Box 1043" hidden="1">
          <a:extLst>
            <a:ext uri="{FF2B5EF4-FFF2-40B4-BE49-F238E27FC236}">
              <a16:creationId xmlns:a16="http://schemas.microsoft.com/office/drawing/2014/main" id="{7DC915E4-5966-264A-9937-BF054440599C}"/>
            </a:ext>
          </a:extLst>
        </xdr:cNvPr>
        <xdr:cNvSpPr txBox="1">
          <a:spLocks noChangeArrowheads="1"/>
        </xdr:cNvSpPr>
      </xdr:nvSpPr>
      <xdr:spPr bwMode="auto">
        <a:xfrm>
          <a:off x="20485100" y="3740150"/>
          <a:ext cx="436245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24</xdr:row>
      <xdr:rowOff>95250</xdr:rowOff>
    </xdr:from>
    <xdr:to>
      <xdr:col>29</xdr:col>
      <xdr:colOff>140260</xdr:colOff>
      <xdr:row>44</xdr:row>
      <xdr:rowOff>95250</xdr:rowOff>
    </xdr:to>
    <xdr:sp macro="" textlink="">
      <xdr:nvSpPr>
        <xdr:cNvPr id="421906" name="Text Box 1042" hidden="1">
          <a:extLst>
            <a:ext uri="{FF2B5EF4-FFF2-40B4-BE49-F238E27FC236}">
              <a16:creationId xmlns:a16="http://schemas.microsoft.com/office/drawing/2014/main" id="{815A9791-1EF1-130E-1928-2EA04438FAC0}"/>
            </a:ext>
          </a:extLst>
        </xdr:cNvPr>
        <xdr:cNvSpPr txBox="1">
          <a:spLocks noChangeArrowheads="1"/>
        </xdr:cNvSpPr>
      </xdr:nvSpPr>
      <xdr:spPr bwMode="auto">
        <a:xfrm>
          <a:off x="20485100" y="5746750"/>
          <a:ext cx="436245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128</xdr:row>
      <xdr:rowOff>40481</xdr:rowOff>
    </xdr:from>
    <xdr:to>
      <xdr:col>29</xdr:col>
      <xdr:colOff>140260</xdr:colOff>
      <xdr:row>148</xdr:row>
      <xdr:rowOff>59531</xdr:rowOff>
    </xdr:to>
    <xdr:sp macro="" textlink="">
      <xdr:nvSpPr>
        <xdr:cNvPr id="421905" name="Text Box 1041" hidden="1">
          <a:extLst>
            <a:ext uri="{FF2B5EF4-FFF2-40B4-BE49-F238E27FC236}">
              <a16:creationId xmlns:a16="http://schemas.microsoft.com/office/drawing/2014/main" id="{270B73D4-FAA1-9110-9E3E-20BCCC05AEFF}"/>
            </a:ext>
          </a:extLst>
        </xdr:cNvPr>
        <xdr:cNvSpPr txBox="1">
          <a:spLocks noChangeArrowheads="1"/>
        </xdr:cNvSpPr>
      </xdr:nvSpPr>
      <xdr:spPr bwMode="auto">
        <a:xfrm>
          <a:off x="20485100" y="26619200"/>
          <a:ext cx="43624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39</xdr:row>
      <xdr:rowOff>76200</xdr:rowOff>
    </xdr:from>
    <xdr:to>
      <xdr:col>15</xdr:col>
      <xdr:colOff>273798</xdr:colOff>
      <xdr:row>58</xdr:row>
      <xdr:rowOff>40482</xdr:rowOff>
    </xdr:to>
    <xdr:sp macro="" textlink="">
      <xdr:nvSpPr>
        <xdr:cNvPr id="421904" name="Text Box 1040" hidden="1">
          <a:extLst>
            <a:ext uri="{FF2B5EF4-FFF2-40B4-BE49-F238E27FC236}">
              <a16:creationId xmlns:a16="http://schemas.microsoft.com/office/drawing/2014/main" id="{4899F195-0262-57E2-5006-09E5D13FD74B}"/>
            </a:ext>
          </a:extLst>
        </xdr:cNvPr>
        <xdr:cNvSpPr txBox="1">
          <a:spLocks noChangeArrowheads="1"/>
        </xdr:cNvSpPr>
      </xdr:nvSpPr>
      <xdr:spPr bwMode="auto">
        <a:xfrm>
          <a:off x="9721850" y="8483600"/>
          <a:ext cx="44958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39</xdr:row>
      <xdr:rowOff>76200</xdr:rowOff>
    </xdr:from>
    <xdr:to>
      <xdr:col>17</xdr:col>
      <xdr:colOff>162486</xdr:colOff>
      <xdr:row>58</xdr:row>
      <xdr:rowOff>40482</xdr:rowOff>
    </xdr:to>
    <xdr:sp macro="" textlink="">
      <xdr:nvSpPr>
        <xdr:cNvPr id="421903" name="Text Box 1039" hidden="1">
          <a:extLst>
            <a:ext uri="{FF2B5EF4-FFF2-40B4-BE49-F238E27FC236}">
              <a16:creationId xmlns:a16="http://schemas.microsoft.com/office/drawing/2014/main" id="{E07B9978-F6CD-510C-4608-A2A5D25A7DDE}"/>
            </a:ext>
          </a:extLst>
        </xdr:cNvPr>
        <xdr:cNvSpPr txBox="1">
          <a:spLocks noChangeArrowheads="1"/>
        </xdr:cNvSpPr>
      </xdr:nvSpPr>
      <xdr:spPr bwMode="auto">
        <a:xfrm>
          <a:off x="10820400" y="8483600"/>
          <a:ext cx="48260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21</xdr:row>
      <xdr:rowOff>0</xdr:rowOff>
    </xdr:from>
    <xdr:to>
      <xdr:col>34</xdr:col>
      <xdr:colOff>140261</xdr:colOff>
      <xdr:row>41</xdr:row>
      <xdr:rowOff>0</xdr:rowOff>
    </xdr:to>
    <xdr:sp macro="" textlink="">
      <xdr:nvSpPr>
        <xdr:cNvPr id="421902" name="Text Box 1038" hidden="1">
          <a:extLst>
            <a:ext uri="{FF2B5EF4-FFF2-40B4-BE49-F238E27FC236}">
              <a16:creationId xmlns:a16="http://schemas.microsoft.com/office/drawing/2014/main" id="{9BDBA905-0E83-CC8A-FA9B-7058F6809C3E}"/>
            </a:ext>
          </a:extLst>
        </xdr:cNvPr>
        <xdr:cNvSpPr txBox="1">
          <a:spLocks noChangeArrowheads="1"/>
        </xdr:cNvSpPr>
      </xdr:nvSpPr>
      <xdr:spPr bwMode="auto">
        <a:xfrm>
          <a:off x="24295100" y="5099050"/>
          <a:ext cx="484505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56</xdr:row>
      <xdr:rowOff>178593</xdr:rowOff>
    </xdr:from>
    <xdr:to>
      <xdr:col>18</xdr:col>
      <xdr:colOff>64061</xdr:colOff>
      <xdr:row>75</xdr:row>
      <xdr:rowOff>142875</xdr:rowOff>
    </xdr:to>
    <xdr:sp macro="" textlink="">
      <xdr:nvSpPr>
        <xdr:cNvPr id="421901" name="Text Box 1037" hidden="1">
          <a:extLst>
            <a:ext uri="{FF2B5EF4-FFF2-40B4-BE49-F238E27FC236}">
              <a16:creationId xmlns:a16="http://schemas.microsoft.com/office/drawing/2014/main" id="{3113B1E5-476F-7FFB-0315-8AB80605670C}"/>
            </a:ext>
          </a:extLst>
        </xdr:cNvPr>
        <xdr:cNvSpPr txBox="1">
          <a:spLocks noChangeArrowheads="1"/>
        </xdr:cNvSpPr>
      </xdr:nvSpPr>
      <xdr:spPr bwMode="auto">
        <a:xfrm>
          <a:off x="11652250" y="12471400"/>
          <a:ext cx="466090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60</xdr:row>
      <xdr:rowOff>19050</xdr:rowOff>
    </xdr:from>
    <xdr:to>
      <xdr:col>18</xdr:col>
      <xdr:colOff>102161</xdr:colOff>
      <xdr:row>80</xdr:row>
      <xdr:rowOff>116682</xdr:rowOff>
    </xdr:to>
    <xdr:sp macro="" textlink="">
      <xdr:nvSpPr>
        <xdr:cNvPr id="421900" name="Text Box 1036" hidden="1">
          <a:extLst>
            <a:ext uri="{FF2B5EF4-FFF2-40B4-BE49-F238E27FC236}">
              <a16:creationId xmlns:a16="http://schemas.microsoft.com/office/drawing/2014/main" id="{704947E1-83A2-F7A8-BD14-00782A28907A}"/>
            </a:ext>
          </a:extLst>
        </xdr:cNvPr>
        <xdr:cNvSpPr txBox="1">
          <a:spLocks noChangeArrowheads="1"/>
        </xdr:cNvSpPr>
      </xdr:nvSpPr>
      <xdr:spPr bwMode="auto">
        <a:xfrm>
          <a:off x="11690350" y="13277850"/>
          <a:ext cx="4660900" cy="429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39</xdr:row>
      <xdr:rowOff>76200</xdr:rowOff>
    </xdr:from>
    <xdr:to>
      <xdr:col>18</xdr:col>
      <xdr:colOff>102161</xdr:colOff>
      <xdr:row>58</xdr:row>
      <xdr:rowOff>40482</xdr:rowOff>
    </xdr:to>
    <xdr:sp macro="" textlink="">
      <xdr:nvSpPr>
        <xdr:cNvPr id="421899" name="Text Box 1035" hidden="1">
          <a:extLst>
            <a:ext uri="{FF2B5EF4-FFF2-40B4-BE49-F238E27FC236}">
              <a16:creationId xmlns:a16="http://schemas.microsoft.com/office/drawing/2014/main" id="{923532D6-BF08-26A0-1623-B27961E5CF1D}"/>
            </a:ext>
          </a:extLst>
        </xdr:cNvPr>
        <xdr:cNvSpPr txBox="1">
          <a:spLocks noChangeArrowheads="1"/>
        </xdr:cNvSpPr>
      </xdr:nvSpPr>
      <xdr:spPr bwMode="auto">
        <a:xfrm>
          <a:off x="11690350" y="8483600"/>
          <a:ext cx="46609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15</xdr:row>
      <xdr:rowOff>95250</xdr:rowOff>
    </xdr:from>
    <xdr:to>
      <xdr:col>30</xdr:col>
      <xdr:colOff>162485</xdr:colOff>
      <xdr:row>35</xdr:row>
      <xdr:rowOff>152400</xdr:rowOff>
    </xdr:to>
    <xdr:sp macro="" textlink="">
      <xdr:nvSpPr>
        <xdr:cNvPr id="421898" name="Text Box 1034" hidden="1">
          <a:extLst>
            <a:ext uri="{FF2B5EF4-FFF2-40B4-BE49-F238E27FC236}">
              <a16:creationId xmlns:a16="http://schemas.microsoft.com/office/drawing/2014/main" id="{E7C8802F-3C98-1848-B812-AB4EF69165F0}"/>
            </a:ext>
          </a:extLst>
        </xdr:cNvPr>
        <xdr:cNvSpPr txBox="1">
          <a:spLocks noChangeArrowheads="1"/>
        </xdr:cNvSpPr>
      </xdr:nvSpPr>
      <xdr:spPr bwMode="auto">
        <a:xfrm>
          <a:off x="21247100" y="3740150"/>
          <a:ext cx="43815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24</xdr:row>
      <xdr:rowOff>95250</xdr:rowOff>
    </xdr:from>
    <xdr:to>
      <xdr:col>30</xdr:col>
      <xdr:colOff>162485</xdr:colOff>
      <xdr:row>44</xdr:row>
      <xdr:rowOff>152400</xdr:rowOff>
    </xdr:to>
    <xdr:sp macro="" textlink="">
      <xdr:nvSpPr>
        <xdr:cNvPr id="421897" name="Text Box 1033" hidden="1">
          <a:extLst>
            <a:ext uri="{FF2B5EF4-FFF2-40B4-BE49-F238E27FC236}">
              <a16:creationId xmlns:a16="http://schemas.microsoft.com/office/drawing/2014/main" id="{EBE0073A-D8AF-102D-E662-F3F7BD64B9EB}"/>
            </a:ext>
          </a:extLst>
        </xdr:cNvPr>
        <xdr:cNvSpPr txBox="1">
          <a:spLocks noChangeArrowheads="1"/>
        </xdr:cNvSpPr>
      </xdr:nvSpPr>
      <xdr:spPr bwMode="auto">
        <a:xfrm>
          <a:off x="21247100" y="5746750"/>
          <a:ext cx="43815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130</xdr:row>
      <xdr:rowOff>97631</xdr:rowOff>
    </xdr:from>
    <xdr:to>
      <xdr:col>30</xdr:col>
      <xdr:colOff>162485</xdr:colOff>
      <xdr:row>150</xdr:row>
      <xdr:rowOff>135731</xdr:rowOff>
    </xdr:to>
    <xdr:sp macro="" textlink="">
      <xdr:nvSpPr>
        <xdr:cNvPr id="421896" name="Text Box 1032" hidden="1">
          <a:extLst>
            <a:ext uri="{FF2B5EF4-FFF2-40B4-BE49-F238E27FC236}">
              <a16:creationId xmlns:a16="http://schemas.microsoft.com/office/drawing/2014/main" id="{1AA14602-2547-BA60-65CD-45BD2D9F466A}"/>
            </a:ext>
          </a:extLst>
        </xdr:cNvPr>
        <xdr:cNvSpPr txBox="1">
          <a:spLocks noChangeArrowheads="1"/>
        </xdr:cNvSpPr>
      </xdr:nvSpPr>
      <xdr:spPr bwMode="auto">
        <a:xfrm>
          <a:off x="21247100" y="27044650"/>
          <a:ext cx="43815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15</xdr:row>
      <xdr:rowOff>114300</xdr:rowOff>
    </xdr:from>
    <xdr:to>
      <xdr:col>31</xdr:col>
      <xdr:colOff>162485</xdr:colOff>
      <xdr:row>35</xdr:row>
      <xdr:rowOff>152400</xdr:rowOff>
    </xdr:to>
    <xdr:sp macro="" textlink="">
      <xdr:nvSpPr>
        <xdr:cNvPr id="421895" name="Text Box 1031" hidden="1">
          <a:extLst>
            <a:ext uri="{FF2B5EF4-FFF2-40B4-BE49-F238E27FC236}">
              <a16:creationId xmlns:a16="http://schemas.microsoft.com/office/drawing/2014/main" id="{78CEEBDD-93C3-C4D8-2E58-44495C809849}"/>
            </a:ext>
          </a:extLst>
        </xdr:cNvPr>
        <xdr:cNvSpPr txBox="1">
          <a:spLocks noChangeArrowheads="1"/>
        </xdr:cNvSpPr>
      </xdr:nvSpPr>
      <xdr:spPr bwMode="auto">
        <a:xfrm>
          <a:off x="22009100" y="3759200"/>
          <a:ext cx="486410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24</xdr:row>
      <xdr:rowOff>114300</xdr:rowOff>
    </xdr:from>
    <xdr:to>
      <xdr:col>31</xdr:col>
      <xdr:colOff>162485</xdr:colOff>
      <xdr:row>44</xdr:row>
      <xdr:rowOff>152400</xdr:rowOff>
    </xdr:to>
    <xdr:sp macro="" textlink="">
      <xdr:nvSpPr>
        <xdr:cNvPr id="421894" name="Text Box 1030" hidden="1">
          <a:extLst>
            <a:ext uri="{FF2B5EF4-FFF2-40B4-BE49-F238E27FC236}">
              <a16:creationId xmlns:a16="http://schemas.microsoft.com/office/drawing/2014/main" id="{CCC50B68-4751-C592-C36C-6CF80A1F758B}"/>
            </a:ext>
          </a:extLst>
        </xdr:cNvPr>
        <xdr:cNvSpPr txBox="1">
          <a:spLocks noChangeArrowheads="1"/>
        </xdr:cNvSpPr>
      </xdr:nvSpPr>
      <xdr:spPr bwMode="auto">
        <a:xfrm>
          <a:off x="22009100" y="5765800"/>
          <a:ext cx="48641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130</xdr:row>
      <xdr:rowOff>97631</xdr:rowOff>
    </xdr:from>
    <xdr:to>
      <xdr:col>31</xdr:col>
      <xdr:colOff>162485</xdr:colOff>
      <xdr:row>150</xdr:row>
      <xdr:rowOff>135731</xdr:rowOff>
    </xdr:to>
    <xdr:sp macro="" textlink="">
      <xdr:nvSpPr>
        <xdr:cNvPr id="421893" name="Text Box 1029" hidden="1">
          <a:extLst>
            <a:ext uri="{FF2B5EF4-FFF2-40B4-BE49-F238E27FC236}">
              <a16:creationId xmlns:a16="http://schemas.microsoft.com/office/drawing/2014/main" id="{6E508C05-DC76-8423-104B-3C503F27E1DE}"/>
            </a:ext>
          </a:extLst>
        </xdr:cNvPr>
        <xdr:cNvSpPr txBox="1">
          <a:spLocks noChangeArrowheads="1"/>
        </xdr:cNvSpPr>
      </xdr:nvSpPr>
      <xdr:spPr bwMode="auto">
        <a:xfrm>
          <a:off x="22009100" y="27044650"/>
          <a:ext cx="48641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15</xdr:row>
      <xdr:rowOff>95250</xdr:rowOff>
    </xdr:from>
    <xdr:to>
      <xdr:col>31</xdr:col>
      <xdr:colOff>306854</xdr:colOff>
      <xdr:row>35</xdr:row>
      <xdr:rowOff>95250</xdr:rowOff>
    </xdr:to>
    <xdr:sp macro="" textlink="">
      <xdr:nvSpPr>
        <xdr:cNvPr id="421892" name="Text Box 1028" hidden="1">
          <a:extLst>
            <a:ext uri="{FF2B5EF4-FFF2-40B4-BE49-F238E27FC236}">
              <a16:creationId xmlns:a16="http://schemas.microsoft.com/office/drawing/2014/main" id="{DCF14DA3-3FA9-B2CF-6B19-A3A2EABEC523}"/>
            </a:ext>
          </a:extLst>
        </xdr:cNvPr>
        <xdr:cNvSpPr txBox="1">
          <a:spLocks noChangeArrowheads="1"/>
        </xdr:cNvSpPr>
      </xdr:nvSpPr>
      <xdr:spPr bwMode="auto">
        <a:xfrm>
          <a:off x="22809200" y="3740150"/>
          <a:ext cx="42164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24</xdr:row>
      <xdr:rowOff>95250</xdr:rowOff>
    </xdr:from>
    <xdr:to>
      <xdr:col>31</xdr:col>
      <xdr:colOff>306854</xdr:colOff>
      <xdr:row>44</xdr:row>
      <xdr:rowOff>114300</xdr:rowOff>
    </xdr:to>
    <xdr:sp macro="" textlink="">
      <xdr:nvSpPr>
        <xdr:cNvPr id="421891" name="Text Box 1027" hidden="1">
          <a:extLst>
            <a:ext uri="{FF2B5EF4-FFF2-40B4-BE49-F238E27FC236}">
              <a16:creationId xmlns:a16="http://schemas.microsoft.com/office/drawing/2014/main" id="{9E39B4F9-779D-6518-E36C-A79122A60C93}"/>
            </a:ext>
          </a:extLst>
        </xdr:cNvPr>
        <xdr:cNvSpPr txBox="1">
          <a:spLocks noChangeArrowheads="1"/>
        </xdr:cNvSpPr>
      </xdr:nvSpPr>
      <xdr:spPr bwMode="auto">
        <a:xfrm>
          <a:off x="22809200" y="5746750"/>
          <a:ext cx="4216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9</xdr:row>
      <xdr:rowOff>76200</xdr:rowOff>
    </xdr:from>
    <xdr:to>
      <xdr:col>41</xdr:col>
      <xdr:colOff>306854</xdr:colOff>
      <xdr:row>29</xdr:row>
      <xdr:rowOff>95250</xdr:rowOff>
    </xdr:to>
    <xdr:sp macro="" textlink="">
      <xdr:nvSpPr>
        <xdr:cNvPr id="421890" name="Text Box 1026" hidden="1">
          <a:extLst>
            <a:ext uri="{FF2B5EF4-FFF2-40B4-BE49-F238E27FC236}">
              <a16:creationId xmlns:a16="http://schemas.microsoft.com/office/drawing/2014/main" id="{9E92D054-3A81-5B08-647A-42DB1823BECD}"/>
            </a:ext>
          </a:extLst>
        </xdr:cNvPr>
        <xdr:cNvSpPr txBox="1">
          <a:spLocks noChangeArrowheads="1"/>
        </xdr:cNvSpPr>
      </xdr:nvSpPr>
      <xdr:spPr bwMode="auto">
        <a:xfrm>
          <a:off x="30911800" y="2616200"/>
          <a:ext cx="373380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130</xdr:row>
      <xdr:rowOff>69056</xdr:rowOff>
    </xdr:from>
    <xdr:to>
      <xdr:col>28</xdr:col>
      <xdr:colOff>162485</xdr:colOff>
      <xdr:row>134</xdr:row>
      <xdr:rowOff>142875</xdr:rowOff>
    </xdr:to>
    <xdr:sp macro="" textlink="">
      <xdr:nvSpPr>
        <xdr:cNvPr id="421889" name="Text Box 1025" hidden="1">
          <a:extLst>
            <a:ext uri="{FF2B5EF4-FFF2-40B4-BE49-F238E27FC236}">
              <a16:creationId xmlns:a16="http://schemas.microsoft.com/office/drawing/2014/main" id="{E0E7D47F-DE36-DE47-CBDD-94E72E626E51}"/>
            </a:ext>
          </a:extLst>
        </xdr:cNvPr>
        <xdr:cNvSpPr txBox="1">
          <a:spLocks noChangeArrowheads="1"/>
        </xdr:cNvSpPr>
      </xdr:nvSpPr>
      <xdr:spPr bwMode="auto">
        <a:xfrm>
          <a:off x="22771100" y="27012900"/>
          <a:ext cx="13335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6</xdr:row>
      <xdr:rowOff>95250</xdr:rowOff>
    </xdr:from>
    <xdr:to>
      <xdr:col>20</xdr:col>
      <xdr:colOff>687854</xdr:colOff>
      <xdr:row>26</xdr:row>
      <xdr:rowOff>152400</xdr:rowOff>
    </xdr:to>
    <xdr:sp macro="" textlink="">
      <xdr:nvSpPr>
        <xdr:cNvPr id="378054" name="Text Box 198" hidden="1">
          <a:extLst>
            <a:ext uri="{FF2B5EF4-FFF2-40B4-BE49-F238E27FC236}">
              <a16:creationId xmlns:a16="http://schemas.microsoft.com/office/drawing/2014/main" id="{37F89471-3B4D-957A-DE3F-1D5A97323BDA}"/>
            </a:ext>
          </a:extLst>
        </xdr:cNvPr>
        <xdr:cNvSpPr txBox="1">
          <a:spLocks noChangeArrowheads="1"/>
        </xdr:cNvSpPr>
      </xdr:nvSpPr>
      <xdr:spPr bwMode="auto">
        <a:xfrm>
          <a:off x="148463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178593</xdr:rowOff>
    </xdr:from>
    <xdr:to>
      <xdr:col>9</xdr:col>
      <xdr:colOff>102160</xdr:colOff>
      <xdr:row>75</xdr:row>
      <xdr:rowOff>142875</xdr:rowOff>
    </xdr:to>
    <xdr:sp macro="" textlink="">
      <xdr:nvSpPr>
        <xdr:cNvPr id="378053" name="Text Box 197" hidden="1">
          <a:extLst>
            <a:ext uri="{FF2B5EF4-FFF2-40B4-BE49-F238E27FC236}">
              <a16:creationId xmlns:a16="http://schemas.microsoft.com/office/drawing/2014/main" id="{2D8C7C0B-60FA-78FC-2BF6-C164C8B24081}"/>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178593</xdr:rowOff>
    </xdr:from>
    <xdr:to>
      <xdr:col>9</xdr:col>
      <xdr:colOff>121210</xdr:colOff>
      <xdr:row>75</xdr:row>
      <xdr:rowOff>142875</xdr:rowOff>
    </xdr:to>
    <xdr:sp macro="" textlink="">
      <xdr:nvSpPr>
        <xdr:cNvPr id="378052" name="Text Box 196" hidden="1">
          <a:extLst>
            <a:ext uri="{FF2B5EF4-FFF2-40B4-BE49-F238E27FC236}">
              <a16:creationId xmlns:a16="http://schemas.microsoft.com/office/drawing/2014/main" id="{BFBCA689-361D-1F98-E1F8-E7DA2B47CCA6}"/>
            </a:ext>
          </a:extLst>
        </xdr:cNvPr>
        <xdr:cNvSpPr txBox="1">
          <a:spLocks noChangeArrowheads="1"/>
        </xdr:cNvSpPr>
      </xdr:nvSpPr>
      <xdr:spPr bwMode="auto">
        <a:xfrm>
          <a:off x="401320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178593</xdr:rowOff>
    </xdr:from>
    <xdr:to>
      <xdr:col>9</xdr:col>
      <xdr:colOff>102160</xdr:colOff>
      <xdr:row>75</xdr:row>
      <xdr:rowOff>142875</xdr:rowOff>
    </xdr:to>
    <xdr:sp macro="" textlink="">
      <xdr:nvSpPr>
        <xdr:cNvPr id="378051" name="Text Box 195" hidden="1">
          <a:extLst>
            <a:ext uri="{FF2B5EF4-FFF2-40B4-BE49-F238E27FC236}">
              <a16:creationId xmlns:a16="http://schemas.microsoft.com/office/drawing/2014/main" id="{2F7A40A5-5714-6426-4158-1BBB96980D84}"/>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178593</xdr:rowOff>
    </xdr:from>
    <xdr:to>
      <xdr:col>9</xdr:col>
      <xdr:colOff>102160</xdr:colOff>
      <xdr:row>75</xdr:row>
      <xdr:rowOff>142875</xdr:rowOff>
    </xdr:to>
    <xdr:sp macro="" textlink="">
      <xdr:nvSpPr>
        <xdr:cNvPr id="378050" name="Text Box 194" hidden="1">
          <a:extLst>
            <a:ext uri="{FF2B5EF4-FFF2-40B4-BE49-F238E27FC236}">
              <a16:creationId xmlns:a16="http://schemas.microsoft.com/office/drawing/2014/main" id="{77D71B69-73CC-965A-0911-DEF410E1423B}"/>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76200</xdr:rowOff>
    </xdr:from>
    <xdr:to>
      <xdr:col>9</xdr:col>
      <xdr:colOff>102160</xdr:colOff>
      <xdr:row>80</xdr:row>
      <xdr:rowOff>40482</xdr:rowOff>
    </xdr:to>
    <xdr:sp macro="" textlink="">
      <xdr:nvSpPr>
        <xdr:cNvPr id="378049" name="Text Box 193" hidden="1">
          <a:extLst>
            <a:ext uri="{FF2B5EF4-FFF2-40B4-BE49-F238E27FC236}">
              <a16:creationId xmlns:a16="http://schemas.microsoft.com/office/drawing/2014/main" id="{D7CEDC68-3DAF-5B82-90E3-4D3ADA539CA3}"/>
            </a:ext>
          </a:extLst>
        </xdr:cNvPr>
        <xdr:cNvSpPr txBox="1">
          <a:spLocks noChangeArrowheads="1"/>
        </xdr:cNvSpPr>
      </xdr:nvSpPr>
      <xdr:spPr bwMode="auto">
        <a:xfrm>
          <a:off x="3994150" y="133350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59531</xdr:rowOff>
    </xdr:from>
    <xdr:to>
      <xdr:col>9</xdr:col>
      <xdr:colOff>102160</xdr:colOff>
      <xdr:row>96</xdr:row>
      <xdr:rowOff>182563</xdr:rowOff>
    </xdr:to>
    <xdr:sp macro="" textlink="">
      <xdr:nvSpPr>
        <xdr:cNvPr id="378048" name="Text Box 192" hidden="1">
          <a:extLst>
            <a:ext uri="{FF2B5EF4-FFF2-40B4-BE49-F238E27FC236}">
              <a16:creationId xmlns:a16="http://schemas.microsoft.com/office/drawing/2014/main" id="{EC32F047-4DC6-2FFD-39AD-599311BDF841}"/>
            </a:ext>
          </a:extLst>
        </xdr:cNvPr>
        <xdr:cNvSpPr txBox="1">
          <a:spLocks noChangeArrowheads="1"/>
        </xdr:cNvSpPr>
      </xdr:nvSpPr>
      <xdr:spPr bwMode="auto">
        <a:xfrm>
          <a:off x="3994150" y="165798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161925</xdr:rowOff>
    </xdr:from>
    <xdr:to>
      <xdr:col>9</xdr:col>
      <xdr:colOff>102160</xdr:colOff>
      <xdr:row>97</xdr:row>
      <xdr:rowOff>49213</xdr:rowOff>
    </xdr:to>
    <xdr:sp macro="" textlink="">
      <xdr:nvSpPr>
        <xdr:cNvPr id="378047" name="Text Box 191" hidden="1">
          <a:extLst>
            <a:ext uri="{FF2B5EF4-FFF2-40B4-BE49-F238E27FC236}">
              <a16:creationId xmlns:a16="http://schemas.microsoft.com/office/drawing/2014/main" id="{C5B4428A-07E2-06D2-C0A1-2F2929E02B10}"/>
            </a:ext>
          </a:extLst>
        </xdr:cNvPr>
        <xdr:cNvSpPr txBox="1">
          <a:spLocks noChangeArrowheads="1"/>
        </xdr:cNvSpPr>
      </xdr:nvSpPr>
      <xdr:spPr bwMode="auto">
        <a:xfrm>
          <a:off x="3994150" y="1668780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97631</xdr:rowOff>
    </xdr:from>
    <xdr:to>
      <xdr:col>9</xdr:col>
      <xdr:colOff>102160</xdr:colOff>
      <xdr:row>97</xdr:row>
      <xdr:rowOff>30163</xdr:rowOff>
    </xdr:to>
    <xdr:sp macro="" textlink="">
      <xdr:nvSpPr>
        <xdr:cNvPr id="378046" name="Text Box 190" hidden="1">
          <a:extLst>
            <a:ext uri="{FF2B5EF4-FFF2-40B4-BE49-F238E27FC236}">
              <a16:creationId xmlns:a16="http://schemas.microsoft.com/office/drawing/2014/main" id="{041CA4C6-697F-5322-2F9F-2DACEF24F1C3}"/>
            </a:ext>
          </a:extLst>
        </xdr:cNvPr>
        <xdr:cNvSpPr txBox="1">
          <a:spLocks noChangeArrowheads="1"/>
        </xdr:cNvSpPr>
      </xdr:nvSpPr>
      <xdr:spPr bwMode="auto">
        <a:xfrm>
          <a:off x="3994150" y="16802100"/>
          <a:ext cx="43624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103187</xdr:rowOff>
    </xdr:from>
    <xdr:to>
      <xdr:col>9</xdr:col>
      <xdr:colOff>102160</xdr:colOff>
      <xdr:row>97</xdr:row>
      <xdr:rowOff>87313</xdr:rowOff>
    </xdr:to>
    <xdr:sp macro="" textlink="">
      <xdr:nvSpPr>
        <xdr:cNvPr id="378045" name="Text Box 189" hidden="1">
          <a:extLst>
            <a:ext uri="{FF2B5EF4-FFF2-40B4-BE49-F238E27FC236}">
              <a16:creationId xmlns:a16="http://schemas.microsoft.com/office/drawing/2014/main" id="{83ED9324-10F8-F235-899D-EB114A86C201}"/>
            </a:ext>
          </a:extLst>
        </xdr:cNvPr>
        <xdr:cNvSpPr txBox="1">
          <a:spLocks noChangeArrowheads="1"/>
        </xdr:cNvSpPr>
      </xdr:nvSpPr>
      <xdr:spPr bwMode="auto">
        <a:xfrm>
          <a:off x="3994150" y="16992600"/>
          <a:ext cx="43624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2382</xdr:rowOff>
    </xdr:from>
    <xdr:to>
      <xdr:col>9</xdr:col>
      <xdr:colOff>102160</xdr:colOff>
      <xdr:row>118</xdr:row>
      <xdr:rowOff>59531</xdr:rowOff>
    </xdr:to>
    <xdr:sp macro="" textlink="">
      <xdr:nvSpPr>
        <xdr:cNvPr id="378044" name="Text Box 188" hidden="1">
          <a:extLst>
            <a:ext uri="{FF2B5EF4-FFF2-40B4-BE49-F238E27FC236}">
              <a16:creationId xmlns:a16="http://schemas.microsoft.com/office/drawing/2014/main" id="{3CE8D433-D824-B5CD-94DE-5A5C8595B4BF}"/>
            </a:ext>
          </a:extLst>
        </xdr:cNvPr>
        <xdr:cNvSpPr txBox="1">
          <a:spLocks noChangeArrowheads="1"/>
        </xdr:cNvSpPr>
      </xdr:nvSpPr>
      <xdr:spPr bwMode="auto">
        <a:xfrm>
          <a:off x="3994150" y="210058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2381</xdr:rowOff>
    </xdr:from>
    <xdr:to>
      <xdr:col>9</xdr:col>
      <xdr:colOff>102160</xdr:colOff>
      <xdr:row>119</xdr:row>
      <xdr:rowOff>40482</xdr:rowOff>
    </xdr:to>
    <xdr:sp macro="" textlink="">
      <xdr:nvSpPr>
        <xdr:cNvPr id="378043" name="Text Box 187" hidden="1">
          <a:extLst>
            <a:ext uri="{FF2B5EF4-FFF2-40B4-BE49-F238E27FC236}">
              <a16:creationId xmlns:a16="http://schemas.microsoft.com/office/drawing/2014/main" id="{3ACEE204-9B56-60D0-8720-13029885798B}"/>
            </a:ext>
          </a:extLst>
        </xdr:cNvPr>
        <xdr:cNvSpPr txBox="1">
          <a:spLocks noChangeArrowheads="1"/>
        </xdr:cNvSpPr>
      </xdr:nvSpPr>
      <xdr:spPr bwMode="auto">
        <a:xfrm>
          <a:off x="3994150" y="211899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40481</xdr:rowOff>
    </xdr:from>
    <xdr:to>
      <xdr:col>9</xdr:col>
      <xdr:colOff>102160</xdr:colOff>
      <xdr:row>120</xdr:row>
      <xdr:rowOff>40481</xdr:rowOff>
    </xdr:to>
    <xdr:sp macro="" textlink="">
      <xdr:nvSpPr>
        <xdr:cNvPr id="378042" name="Text Box 186" hidden="1">
          <a:extLst>
            <a:ext uri="{FF2B5EF4-FFF2-40B4-BE49-F238E27FC236}">
              <a16:creationId xmlns:a16="http://schemas.microsoft.com/office/drawing/2014/main" id="{67CE5357-9896-A0AE-67C0-80B7EECFB178}"/>
            </a:ext>
          </a:extLst>
        </xdr:cNvPr>
        <xdr:cNvSpPr txBox="1">
          <a:spLocks noChangeArrowheads="1"/>
        </xdr:cNvSpPr>
      </xdr:nvSpPr>
      <xdr:spPr bwMode="auto">
        <a:xfrm>
          <a:off x="3994150" y="21412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2381</xdr:rowOff>
    </xdr:from>
    <xdr:to>
      <xdr:col>9</xdr:col>
      <xdr:colOff>102160</xdr:colOff>
      <xdr:row>120</xdr:row>
      <xdr:rowOff>40481</xdr:rowOff>
    </xdr:to>
    <xdr:sp macro="" textlink="">
      <xdr:nvSpPr>
        <xdr:cNvPr id="378041" name="Text Box 185" hidden="1">
          <a:extLst>
            <a:ext uri="{FF2B5EF4-FFF2-40B4-BE49-F238E27FC236}">
              <a16:creationId xmlns:a16="http://schemas.microsoft.com/office/drawing/2014/main" id="{B383BB0A-82A2-6B38-2175-CE28246B9E30}"/>
            </a:ext>
          </a:extLst>
        </xdr:cNvPr>
        <xdr:cNvSpPr txBox="1">
          <a:spLocks noChangeArrowheads="1"/>
        </xdr:cNvSpPr>
      </xdr:nvSpPr>
      <xdr:spPr bwMode="auto">
        <a:xfrm>
          <a:off x="3994150" y="213741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123</xdr:row>
      <xdr:rowOff>161925</xdr:rowOff>
    </xdr:from>
    <xdr:to>
      <xdr:col>23</xdr:col>
      <xdr:colOff>687855</xdr:colOff>
      <xdr:row>143</xdr:row>
      <xdr:rowOff>142875</xdr:rowOff>
    </xdr:to>
    <xdr:sp macro="" textlink="">
      <xdr:nvSpPr>
        <xdr:cNvPr id="378040" name="Text Box 184" hidden="1">
          <a:extLst>
            <a:ext uri="{FF2B5EF4-FFF2-40B4-BE49-F238E27FC236}">
              <a16:creationId xmlns:a16="http://schemas.microsoft.com/office/drawing/2014/main" id="{34566104-7DF7-3525-E223-75996AD052F5}"/>
            </a:ext>
          </a:extLst>
        </xdr:cNvPr>
        <xdr:cNvSpPr txBox="1">
          <a:spLocks noChangeArrowheads="1"/>
        </xdr:cNvSpPr>
      </xdr:nvSpPr>
      <xdr:spPr bwMode="auto">
        <a:xfrm>
          <a:off x="17208500" y="258254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15</xdr:row>
      <xdr:rowOff>95250</xdr:rowOff>
    </xdr:from>
    <xdr:to>
      <xdr:col>25</xdr:col>
      <xdr:colOff>102161</xdr:colOff>
      <xdr:row>35</xdr:row>
      <xdr:rowOff>76200</xdr:rowOff>
    </xdr:to>
    <xdr:sp macro="" textlink="">
      <xdr:nvSpPr>
        <xdr:cNvPr id="378039" name="Text Box 183" hidden="1">
          <a:extLst>
            <a:ext uri="{FF2B5EF4-FFF2-40B4-BE49-F238E27FC236}">
              <a16:creationId xmlns:a16="http://schemas.microsoft.com/office/drawing/2014/main" id="{470F04A0-C4D1-EBE6-158F-087A37EA4C88}"/>
            </a:ext>
          </a:extLst>
        </xdr:cNvPr>
        <xdr:cNvSpPr txBox="1">
          <a:spLocks noChangeArrowheads="1"/>
        </xdr:cNvSpPr>
      </xdr:nvSpPr>
      <xdr:spPr bwMode="auto">
        <a:xfrm>
          <a:off x="18027650" y="374015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24</xdr:row>
      <xdr:rowOff>95250</xdr:rowOff>
    </xdr:from>
    <xdr:to>
      <xdr:col>25</xdr:col>
      <xdr:colOff>102161</xdr:colOff>
      <xdr:row>44</xdr:row>
      <xdr:rowOff>76200</xdr:rowOff>
    </xdr:to>
    <xdr:sp macro="" textlink="">
      <xdr:nvSpPr>
        <xdr:cNvPr id="378038" name="Text Box 182" hidden="1">
          <a:extLst>
            <a:ext uri="{FF2B5EF4-FFF2-40B4-BE49-F238E27FC236}">
              <a16:creationId xmlns:a16="http://schemas.microsoft.com/office/drawing/2014/main" id="{AD127AD0-8707-8752-2D8F-F67F7313A1C5}"/>
            </a:ext>
          </a:extLst>
        </xdr:cNvPr>
        <xdr:cNvSpPr txBox="1">
          <a:spLocks noChangeArrowheads="1"/>
        </xdr:cNvSpPr>
      </xdr:nvSpPr>
      <xdr:spPr bwMode="auto">
        <a:xfrm>
          <a:off x="18027650" y="574675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128</xdr:row>
      <xdr:rowOff>2381</xdr:rowOff>
    </xdr:from>
    <xdr:to>
      <xdr:col>25</xdr:col>
      <xdr:colOff>102161</xdr:colOff>
      <xdr:row>147</xdr:row>
      <xdr:rowOff>161925</xdr:rowOff>
    </xdr:to>
    <xdr:sp macro="" textlink="">
      <xdr:nvSpPr>
        <xdr:cNvPr id="378037" name="Text Box 181" hidden="1">
          <a:extLst>
            <a:ext uri="{FF2B5EF4-FFF2-40B4-BE49-F238E27FC236}">
              <a16:creationId xmlns:a16="http://schemas.microsoft.com/office/drawing/2014/main" id="{16FFFDFA-82C4-10A7-50BE-94D7F9CBB55E}"/>
            </a:ext>
          </a:extLst>
        </xdr:cNvPr>
        <xdr:cNvSpPr txBox="1">
          <a:spLocks noChangeArrowheads="1"/>
        </xdr:cNvSpPr>
      </xdr:nvSpPr>
      <xdr:spPr bwMode="auto">
        <a:xfrm>
          <a:off x="18027650" y="265811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35</xdr:row>
      <xdr:rowOff>95250</xdr:rowOff>
    </xdr:from>
    <xdr:to>
      <xdr:col>15</xdr:col>
      <xdr:colOff>273798</xdr:colOff>
      <xdr:row>55</xdr:row>
      <xdr:rowOff>26988</xdr:rowOff>
    </xdr:to>
    <xdr:sp macro="" textlink="">
      <xdr:nvSpPr>
        <xdr:cNvPr id="378036" name="Text Box 180" hidden="1">
          <a:extLst>
            <a:ext uri="{FF2B5EF4-FFF2-40B4-BE49-F238E27FC236}">
              <a16:creationId xmlns:a16="http://schemas.microsoft.com/office/drawing/2014/main" id="{D433D795-936C-57E7-8A0F-83F2BEDCD850}"/>
            </a:ext>
          </a:extLst>
        </xdr:cNvPr>
        <xdr:cNvSpPr txBox="1">
          <a:spLocks noChangeArrowheads="1"/>
        </xdr:cNvSpPr>
      </xdr:nvSpPr>
      <xdr:spPr bwMode="auto">
        <a:xfrm>
          <a:off x="9683750" y="7766050"/>
          <a:ext cx="4533900" cy="417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15</xdr:row>
      <xdr:rowOff>95250</xdr:rowOff>
    </xdr:from>
    <xdr:to>
      <xdr:col>28</xdr:col>
      <xdr:colOff>140260</xdr:colOff>
      <xdr:row>35</xdr:row>
      <xdr:rowOff>171450</xdr:rowOff>
    </xdr:to>
    <xdr:sp macro="" textlink="">
      <xdr:nvSpPr>
        <xdr:cNvPr id="378035" name="Text Box 179" hidden="1">
          <a:extLst>
            <a:ext uri="{FF2B5EF4-FFF2-40B4-BE49-F238E27FC236}">
              <a16:creationId xmlns:a16="http://schemas.microsoft.com/office/drawing/2014/main" id="{B66D0AE6-94E7-2EBA-8F1D-F156F91519C9}"/>
            </a:ext>
          </a:extLst>
        </xdr:cNvPr>
        <xdr:cNvSpPr txBox="1">
          <a:spLocks noChangeArrowheads="1"/>
        </xdr:cNvSpPr>
      </xdr:nvSpPr>
      <xdr:spPr bwMode="auto">
        <a:xfrm>
          <a:off x="19723100" y="374015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24</xdr:row>
      <xdr:rowOff>95250</xdr:rowOff>
    </xdr:from>
    <xdr:to>
      <xdr:col>28</xdr:col>
      <xdr:colOff>140260</xdr:colOff>
      <xdr:row>44</xdr:row>
      <xdr:rowOff>152400</xdr:rowOff>
    </xdr:to>
    <xdr:sp macro="" textlink="">
      <xdr:nvSpPr>
        <xdr:cNvPr id="378034" name="Text Box 178" hidden="1">
          <a:extLst>
            <a:ext uri="{FF2B5EF4-FFF2-40B4-BE49-F238E27FC236}">
              <a16:creationId xmlns:a16="http://schemas.microsoft.com/office/drawing/2014/main" id="{F9FCC6C7-97AD-AAD9-9700-85C10B08DF40}"/>
            </a:ext>
          </a:extLst>
        </xdr:cNvPr>
        <xdr:cNvSpPr txBox="1">
          <a:spLocks noChangeArrowheads="1"/>
        </xdr:cNvSpPr>
      </xdr:nvSpPr>
      <xdr:spPr bwMode="auto">
        <a:xfrm>
          <a:off x="19723100" y="57467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128</xdr:row>
      <xdr:rowOff>2381</xdr:rowOff>
    </xdr:from>
    <xdr:to>
      <xdr:col>28</xdr:col>
      <xdr:colOff>140260</xdr:colOff>
      <xdr:row>148</xdr:row>
      <xdr:rowOff>59531</xdr:rowOff>
    </xdr:to>
    <xdr:sp macro="" textlink="">
      <xdr:nvSpPr>
        <xdr:cNvPr id="378033" name="Text Box 177" hidden="1">
          <a:extLst>
            <a:ext uri="{FF2B5EF4-FFF2-40B4-BE49-F238E27FC236}">
              <a16:creationId xmlns:a16="http://schemas.microsoft.com/office/drawing/2014/main" id="{534F09A4-8D19-2F43-E8D6-04776568A9FC}"/>
            </a:ext>
          </a:extLst>
        </xdr:cNvPr>
        <xdr:cNvSpPr txBox="1">
          <a:spLocks noChangeArrowheads="1"/>
        </xdr:cNvSpPr>
      </xdr:nvSpPr>
      <xdr:spPr bwMode="auto">
        <a:xfrm>
          <a:off x="19723100" y="265811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15</xdr:row>
      <xdr:rowOff>95250</xdr:rowOff>
    </xdr:from>
    <xdr:to>
      <xdr:col>29</xdr:col>
      <xdr:colOff>140260</xdr:colOff>
      <xdr:row>35</xdr:row>
      <xdr:rowOff>133350</xdr:rowOff>
    </xdr:to>
    <xdr:sp macro="" textlink="">
      <xdr:nvSpPr>
        <xdr:cNvPr id="378032" name="Text Box 176" hidden="1">
          <a:extLst>
            <a:ext uri="{FF2B5EF4-FFF2-40B4-BE49-F238E27FC236}">
              <a16:creationId xmlns:a16="http://schemas.microsoft.com/office/drawing/2014/main" id="{1EA52B6C-A4F9-B8C0-ACC2-4B69FED83F6C}"/>
            </a:ext>
          </a:extLst>
        </xdr:cNvPr>
        <xdr:cNvSpPr txBox="1">
          <a:spLocks noChangeArrowheads="1"/>
        </xdr:cNvSpPr>
      </xdr:nvSpPr>
      <xdr:spPr bwMode="auto">
        <a:xfrm>
          <a:off x="20485100" y="374015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24</xdr:row>
      <xdr:rowOff>95250</xdr:rowOff>
    </xdr:from>
    <xdr:to>
      <xdr:col>29</xdr:col>
      <xdr:colOff>140260</xdr:colOff>
      <xdr:row>44</xdr:row>
      <xdr:rowOff>95250</xdr:rowOff>
    </xdr:to>
    <xdr:sp macro="" textlink="">
      <xdr:nvSpPr>
        <xdr:cNvPr id="378031" name="Text Box 175" hidden="1">
          <a:extLst>
            <a:ext uri="{FF2B5EF4-FFF2-40B4-BE49-F238E27FC236}">
              <a16:creationId xmlns:a16="http://schemas.microsoft.com/office/drawing/2014/main" id="{69027F53-0DBD-4FFB-254B-6A7631751805}"/>
            </a:ext>
          </a:extLst>
        </xdr:cNvPr>
        <xdr:cNvSpPr txBox="1">
          <a:spLocks noChangeArrowheads="1"/>
        </xdr:cNvSpPr>
      </xdr:nvSpPr>
      <xdr:spPr bwMode="auto">
        <a:xfrm>
          <a:off x="20485100" y="57467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128</xdr:row>
      <xdr:rowOff>40481</xdr:rowOff>
    </xdr:from>
    <xdr:to>
      <xdr:col>29</xdr:col>
      <xdr:colOff>140260</xdr:colOff>
      <xdr:row>148</xdr:row>
      <xdr:rowOff>59531</xdr:rowOff>
    </xdr:to>
    <xdr:sp macro="" textlink="">
      <xdr:nvSpPr>
        <xdr:cNvPr id="378030" name="Text Box 174" hidden="1">
          <a:extLst>
            <a:ext uri="{FF2B5EF4-FFF2-40B4-BE49-F238E27FC236}">
              <a16:creationId xmlns:a16="http://schemas.microsoft.com/office/drawing/2014/main" id="{2B8858D7-C9CF-1BA4-FCFE-10EAC110E54B}"/>
            </a:ext>
          </a:extLst>
        </xdr:cNvPr>
        <xdr:cNvSpPr txBox="1">
          <a:spLocks noChangeArrowheads="1"/>
        </xdr:cNvSpPr>
      </xdr:nvSpPr>
      <xdr:spPr bwMode="auto">
        <a:xfrm>
          <a:off x="20485100" y="266192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39</xdr:row>
      <xdr:rowOff>76200</xdr:rowOff>
    </xdr:from>
    <xdr:to>
      <xdr:col>15</xdr:col>
      <xdr:colOff>273798</xdr:colOff>
      <xdr:row>58</xdr:row>
      <xdr:rowOff>40482</xdr:rowOff>
    </xdr:to>
    <xdr:sp macro="" textlink="">
      <xdr:nvSpPr>
        <xdr:cNvPr id="378029" name="Text Box 173" hidden="1">
          <a:extLst>
            <a:ext uri="{FF2B5EF4-FFF2-40B4-BE49-F238E27FC236}">
              <a16:creationId xmlns:a16="http://schemas.microsoft.com/office/drawing/2014/main" id="{AFDF978A-A511-3729-2176-86A59ECE4F67}"/>
            </a:ext>
          </a:extLst>
        </xdr:cNvPr>
        <xdr:cNvSpPr txBox="1">
          <a:spLocks noChangeArrowheads="1"/>
        </xdr:cNvSpPr>
      </xdr:nvSpPr>
      <xdr:spPr bwMode="auto">
        <a:xfrm>
          <a:off x="9721850" y="8483600"/>
          <a:ext cx="44958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39</xdr:row>
      <xdr:rowOff>76200</xdr:rowOff>
    </xdr:from>
    <xdr:to>
      <xdr:col>17</xdr:col>
      <xdr:colOff>162486</xdr:colOff>
      <xdr:row>58</xdr:row>
      <xdr:rowOff>40482</xdr:rowOff>
    </xdr:to>
    <xdr:sp macro="" textlink="">
      <xdr:nvSpPr>
        <xdr:cNvPr id="378028" name="Text Box 172" hidden="1">
          <a:extLst>
            <a:ext uri="{FF2B5EF4-FFF2-40B4-BE49-F238E27FC236}">
              <a16:creationId xmlns:a16="http://schemas.microsoft.com/office/drawing/2014/main" id="{266C6B11-B697-AFC0-5DF7-7664C852785D}"/>
            </a:ext>
          </a:extLst>
        </xdr:cNvPr>
        <xdr:cNvSpPr txBox="1">
          <a:spLocks noChangeArrowheads="1"/>
        </xdr:cNvSpPr>
      </xdr:nvSpPr>
      <xdr:spPr bwMode="auto">
        <a:xfrm>
          <a:off x="10820400" y="8483600"/>
          <a:ext cx="48260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21</xdr:row>
      <xdr:rowOff>0</xdr:rowOff>
    </xdr:from>
    <xdr:to>
      <xdr:col>34</xdr:col>
      <xdr:colOff>140261</xdr:colOff>
      <xdr:row>41</xdr:row>
      <xdr:rowOff>0</xdr:rowOff>
    </xdr:to>
    <xdr:sp macro="" textlink="">
      <xdr:nvSpPr>
        <xdr:cNvPr id="378027" name="Text Box 171" hidden="1">
          <a:extLst>
            <a:ext uri="{FF2B5EF4-FFF2-40B4-BE49-F238E27FC236}">
              <a16:creationId xmlns:a16="http://schemas.microsoft.com/office/drawing/2014/main" id="{5E70F801-5546-368E-FC51-2D9DC68446B1}"/>
            </a:ext>
          </a:extLst>
        </xdr:cNvPr>
        <xdr:cNvSpPr txBox="1">
          <a:spLocks noChangeArrowheads="1"/>
        </xdr:cNvSpPr>
      </xdr:nvSpPr>
      <xdr:spPr bwMode="auto">
        <a:xfrm>
          <a:off x="24295100" y="509905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56</xdr:row>
      <xdr:rowOff>178593</xdr:rowOff>
    </xdr:from>
    <xdr:to>
      <xdr:col>18</xdr:col>
      <xdr:colOff>64061</xdr:colOff>
      <xdr:row>75</xdr:row>
      <xdr:rowOff>142875</xdr:rowOff>
    </xdr:to>
    <xdr:sp macro="" textlink="">
      <xdr:nvSpPr>
        <xdr:cNvPr id="378026" name="Text Box 170" hidden="1">
          <a:extLst>
            <a:ext uri="{FF2B5EF4-FFF2-40B4-BE49-F238E27FC236}">
              <a16:creationId xmlns:a16="http://schemas.microsoft.com/office/drawing/2014/main" id="{234E0B14-16D8-343B-F9B6-DD894071525A}"/>
            </a:ext>
          </a:extLst>
        </xdr:cNvPr>
        <xdr:cNvSpPr txBox="1">
          <a:spLocks noChangeArrowheads="1"/>
        </xdr:cNvSpPr>
      </xdr:nvSpPr>
      <xdr:spPr bwMode="auto">
        <a:xfrm>
          <a:off x="11652250" y="12471400"/>
          <a:ext cx="46609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60</xdr:row>
      <xdr:rowOff>19050</xdr:rowOff>
    </xdr:from>
    <xdr:to>
      <xdr:col>18</xdr:col>
      <xdr:colOff>102161</xdr:colOff>
      <xdr:row>80</xdr:row>
      <xdr:rowOff>116682</xdr:rowOff>
    </xdr:to>
    <xdr:sp macro="" textlink="">
      <xdr:nvSpPr>
        <xdr:cNvPr id="378025" name="Text Box 169" hidden="1">
          <a:extLst>
            <a:ext uri="{FF2B5EF4-FFF2-40B4-BE49-F238E27FC236}">
              <a16:creationId xmlns:a16="http://schemas.microsoft.com/office/drawing/2014/main" id="{A973D97A-D8E4-1F44-9169-D232EC085ECF}"/>
            </a:ext>
          </a:extLst>
        </xdr:cNvPr>
        <xdr:cNvSpPr txBox="1">
          <a:spLocks noChangeArrowheads="1"/>
        </xdr:cNvSpPr>
      </xdr:nvSpPr>
      <xdr:spPr bwMode="auto">
        <a:xfrm>
          <a:off x="11690350" y="132778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39</xdr:row>
      <xdr:rowOff>76200</xdr:rowOff>
    </xdr:from>
    <xdr:to>
      <xdr:col>18</xdr:col>
      <xdr:colOff>102161</xdr:colOff>
      <xdr:row>58</xdr:row>
      <xdr:rowOff>40482</xdr:rowOff>
    </xdr:to>
    <xdr:sp macro="" textlink="">
      <xdr:nvSpPr>
        <xdr:cNvPr id="378024" name="Text Box 168" hidden="1">
          <a:extLst>
            <a:ext uri="{FF2B5EF4-FFF2-40B4-BE49-F238E27FC236}">
              <a16:creationId xmlns:a16="http://schemas.microsoft.com/office/drawing/2014/main" id="{47DDDF3C-EB1E-483F-0E5A-342C39D06143}"/>
            </a:ext>
          </a:extLst>
        </xdr:cNvPr>
        <xdr:cNvSpPr txBox="1">
          <a:spLocks noChangeArrowheads="1"/>
        </xdr:cNvSpPr>
      </xdr:nvSpPr>
      <xdr:spPr bwMode="auto">
        <a:xfrm>
          <a:off x="11690350" y="8483600"/>
          <a:ext cx="46609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15</xdr:row>
      <xdr:rowOff>95250</xdr:rowOff>
    </xdr:from>
    <xdr:to>
      <xdr:col>30</xdr:col>
      <xdr:colOff>162485</xdr:colOff>
      <xdr:row>35</xdr:row>
      <xdr:rowOff>152400</xdr:rowOff>
    </xdr:to>
    <xdr:sp macro="" textlink="">
      <xdr:nvSpPr>
        <xdr:cNvPr id="378022" name="Text Box 166" hidden="1">
          <a:extLst>
            <a:ext uri="{FF2B5EF4-FFF2-40B4-BE49-F238E27FC236}">
              <a16:creationId xmlns:a16="http://schemas.microsoft.com/office/drawing/2014/main" id="{3692B037-0EF0-21AE-F269-80B5AAEC27D8}"/>
            </a:ext>
          </a:extLst>
        </xdr:cNvPr>
        <xdr:cNvSpPr txBox="1">
          <a:spLocks noChangeArrowheads="1"/>
        </xdr:cNvSpPr>
      </xdr:nvSpPr>
      <xdr:spPr bwMode="auto">
        <a:xfrm>
          <a:off x="21247100" y="374015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24</xdr:row>
      <xdr:rowOff>95250</xdr:rowOff>
    </xdr:from>
    <xdr:to>
      <xdr:col>30</xdr:col>
      <xdr:colOff>162485</xdr:colOff>
      <xdr:row>44</xdr:row>
      <xdr:rowOff>152400</xdr:rowOff>
    </xdr:to>
    <xdr:sp macro="" textlink="">
      <xdr:nvSpPr>
        <xdr:cNvPr id="378021" name="Text Box 165" hidden="1">
          <a:extLst>
            <a:ext uri="{FF2B5EF4-FFF2-40B4-BE49-F238E27FC236}">
              <a16:creationId xmlns:a16="http://schemas.microsoft.com/office/drawing/2014/main" id="{FDA77EDB-4F14-72B5-98BA-54240E014AB8}"/>
            </a:ext>
          </a:extLst>
        </xdr:cNvPr>
        <xdr:cNvSpPr txBox="1">
          <a:spLocks noChangeArrowheads="1"/>
        </xdr:cNvSpPr>
      </xdr:nvSpPr>
      <xdr:spPr bwMode="auto">
        <a:xfrm>
          <a:off x="21247100" y="57467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130</xdr:row>
      <xdr:rowOff>97631</xdr:rowOff>
    </xdr:from>
    <xdr:to>
      <xdr:col>30</xdr:col>
      <xdr:colOff>162485</xdr:colOff>
      <xdr:row>150</xdr:row>
      <xdr:rowOff>135731</xdr:rowOff>
    </xdr:to>
    <xdr:sp macro="" textlink="">
      <xdr:nvSpPr>
        <xdr:cNvPr id="378020" name="Text Box 164" hidden="1">
          <a:extLst>
            <a:ext uri="{FF2B5EF4-FFF2-40B4-BE49-F238E27FC236}">
              <a16:creationId xmlns:a16="http://schemas.microsoft.com/office/drawing/2014/main" id="{F70FCE2E-5E45-8472-1F91-72A8AD3A76C9}"/>
            </a:ext>
          </a:extLst>
        </xdr:cNvPr>
        <xdr:cNvSpPr txBox="1">
          <a:spLocks noChangeArrowheads="1"/>
        </xdr:cNvSpPr>
      </xdr:nvSpPr>
      <xdr:spPr bwMode="auto">
        <a:xfrm>
          <a:off x="21247100" y="270446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15</xdr:row>
      <xdr:rowOff>114300</xdr:rowOff>
    </xdr:from>
    <xdr:to>
      <xdr:col>31</xdr:col>
      <xdr:colOff>162485</xdr:colOff>
      <xdr:row>35</xdr:row>
      <xdr:rowOff>152400</xdr:rowOff>
    </xdr:to>
    <xdr:sp macro="" textlink="">
      <xdr:nvSpPr>
        <xdr:cNvPr id="378019" name="Text Box 163" hidden="1">
          <a:extLst>
            <a:ext uri="{FF2B5EF4-FFF2-40B4-BE49-F238E27FC236}">
              <a16:creationId xmlns:a16="http://schemas.microsoft.com/office/drawing/2014/main" id="{D0C2B277-C207-C884-C92D-466C01EE62AB}"/>
            </a:ext>
          </a:extLst>
        </xdr:cNvPr>
        <xdr:cNvSpPr txBox="1">
          <a:spLocks noChangeArrowheads="1"/>
        </xdr:cNvSpPr>
      </xdr:nvSpPr>
      <xdr:spPr bwMode="auto">
        <a:xfrm>
          <a:off x="22009100" y="375920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24</xdr:row>
      <xdr:rowOff>114300</xdr:rowOff>
    </xdr:from>
    <xdr:to>
      <xdr:col>31</xdr:col>
      <xdr:colOff>162485</xdr:colOff>
      <xdr:row>44</xdr:row>
      <xdr:rowOff>152400</xdr:rowOff>
    </xdr:to>
    <xdr:sp macro="" textlink="">
      <xdr:nvSpPr>
        <xdr:cNvPr id="378018" name="Text Box 162" hidden="1">
          <a:extLst>
            <a:ext uri="{FF2B5EF4-FFF2-40B4-BE49-F238E27FC236}">
              <a16:creationId xmlns:a16="http://schemas.microsoft.com/office/drawing/2014/main" id="{94A02E6B-837E-E358-6AE8-C1BDF59F947C}"/>
            </a:ext>
          </a:extLst>
        </xdr:cNvPr>
        <xdr:cNvSpPr txBox="1">
          <a:spLocks noChangeArrowheads="1"/>
        </xdr:cNvSpPr>
      </xdr:nvSpPr>
      <xdr:spPr bwMode="auto">
        <a:xfrm>
          <a:off x="22009100" y="57658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130</xdr:row>
      <xdr:rowOff>97631</xdr:rowOff>
    </xdr:from>
    <xdr:to>
      <xdr:col>31</xdr:col>
      <xdr:colOff>162485</xdr:colOff>
      <xdr:row>150</xdr:row>
      <xdr:rowOff>135731</xdr:rowOff>
    </xdr:to>
    <xdr:sp macro="" textlink="">
      <xdr:nvSpPr>
        <xdr:cNvPr id="378017" name="Text Box 161" hidden="1">
          <a:extLst>
            <a:ext uri="{FF2B5EF4-FFF2-40B4-BE49-F238E27FC236}">
              <a16:creationId xmlns:a16="http://schemas.microsoft.com/office/drawing/2014/main" id="{357AE951-79E7-5185-E566-764727FB70B2}"/>
            </a:ext>
          </a:extLst>
        </xdr:cNvPr>
        <xdr:cNvSpPr txBox="1">
          <a:spLocks noChangeArrowheads="1"/>
        </xdr:cNvSpPr>
      </xdr:nvSpPr>
      <xdr:spPr bwMode="auto">
        <a:xfrm>
          <a:off x="22009100" y="270446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15</xdr:row>
      <xdr:rowOff>95250</xdr:rowOff>
    </xdr:from>
    <xdr:to>
      <xdr:col>31</xdr:col>
      <xdr:colOff>306854</xdr:colOff>
      <xdr:row>35</xdr:row>
      <xdr:rowOff>95250</xdr:rowOff>
    </xdr:to>
    <xdr:sp macro="" textlink="">
      <xdr:nvSpPr>
        <xdr:cNvPr id="378016" name="Text Box 160" hidden="1">
          <a:extLst>
            <a:ext uri="{FF2B5EF4-FFF2-40B4-BE49-F238E27FC236}">
              <a16:creationId xmlns:a16="http://schemas.microsoft.com/office/drawing/2014/main" id="{028C9D47-77F3-9B7C-08DD-3958FFF832BD}"/>
            </a:ext>
          </a:extLst>
        </xdr:cNvPr>
        <xdr:cNvSpPr txBox="1">
          <a:spLocks noChangeArrowheads="1"/>
        </xdr:cNvSpPr>
      </xdr:nvSpPr>
      <xdr:spPr bwMode="auto">
        <a:xfrm>
          <a:off x="22809200" y="374015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24</xdr:row>
      <xdr:rowOff>95250</xdr:rowOff>
    </xdr:from>
    <xdr:to>
      <xdr:col>31</xdr:col>
      <xdr:colOff>306854</xdr:colOff>
      <xdr:row>44</xdr:row>
      <xdr:rowOff>114300</xdr:rowOff>
    </xdr:to>
    <xdr:sp macro="" textlink="">
      <xdr:nvSpPr>
        <xdr:cNvPr id="378015" name="Text Box 159" hidden="1">
          <a:extLst>
            <a:ext uri="{FF2B5EF4-FFF2-40B4-BE49-F238E27FC236}">
              <a16:creationId xmlns:a16="http://schemas.microsoft.com/office/drawing/2014/main" id="{B69B87B6-AA3D-4273-6984-6D02D0F4F24C}"/>
            </a:ext>
          </a:extLst>
        </xdr:cNvPr>
        <xdr:cNvSpPr txBox="1">
          <a:spLocks noChangeArrowheads="1"/>
        </xdr:cNvSpPr>
      </xdr:nvSpPr>
      <xdr:spPr bwMode="auto">
        <a:xfrm>
          <a:off x="22809200" y="574675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9</xdr:row>
      <xdr:rowOff>76200</xdr:rowOff>
    </xdr:from>
    <xdr:to>
      <xdr:col>41</xdr:col>
      <xdr:colOff>306854</xdr:colOff>
      <xdr:row>29</xdr:row>
      <xdr:rowOff>95250</xdr:rowOff>
    </xdr:to>
    <xdr:sp macro="" textlink="">
      <xdr:nvSpPr>
        <xdr:cNvPr id="378014" name="Text Box 158" hidden="1">
          <a:extLst>
            <a:ext uri="{FF2B5EF4-FFF2-40B4-BE49-F238E27FC236}">
              <a16:creationId xmlns:a16="http://schemas.microsoft.com/office/drawing/2014/main" id="{355DA8AB-1F38-C094-EAFC-115DAF4F594B}"/>
            </a:ext>
          </a:extLst>
        </xdr:cNvPr>
        <xdr:cNvSpPr txBox="1">
          <a:spLocks noChangeArrowheads="1"/>
        </xdr:cNvSpPr>
      </xdr:nvSpPr>
      <xdr:spPr bwMode="auto">
        <a:xfrm>
          <a:off x="30911800" y="261620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130</xdr:row>
      <xdr:rowOff>69056</xdr:rowOff>
    </xdr:from>
    <xdr:to>
      <xdr:col>28</xdr:col>
      <xdr:colOff>162485</xdr:colOff>
      <xdr:row>134</xdr:row>
      <xdr:rowOff>142875</xdr:rowOff>
    </xdr:to>
    <xdr:sp macro="" textlink="">
      <xdr:nvSpPr>
        <xdr:cNvPr id="378055" name="Text Box 199" hidden="1">
          <a:extLst>
            <a:ext uri="{FF2B5EF4-FFF2-40B4-BE49-F238E27FC236}">
              <a16:creationId xmlns:a16="http://schemas.microsoft.com/office/drawing/2014/main" id="{EC51281B-12F7-A159-290B-290C98FDADBA}"/>
            </a:ext>
          </a:extLst>
        </xdr:cNvPr>
        <xdr:cNvSpPr txBox="1">
          <a:spLocks noChangeArrowheads="1"/>
        </xdr:cNvSpPr>
      </xdr:nvSpPr>
      <xdr:spPr bwMode="auto">
        <a:xfrm>
          <a:off x="22771100" y="27012900"/>
          <a:ext cx="13335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6</xdr:row>
      <xdr:rowOff>95250</xdr:rowOff>
    </xdr:from>
    <xdr:to>
      <xdr:col>20</xdr:col>
      <xdr:colOff>687854</xdr:colOff>
      <xdr:row>26</xdr:row>
      <xdr:rowOff>152400</xdr:rowOff>
    </xdr:to>
    <xdr:sp macro="" textlink="">
      <xdr:nvSpPr>
        <xdr:cNvPr id="421970" name="Text Box 82" hidden="1">
          <a:extLst>
            <a:ext uri="{FF2B5EF4-FFF2-40B4-BE49-F238E27FC236}">
              <a16:creationId xmlns:a16="http://schemas.microsoft.com/office/drawing/2014/main" id="{3C0A3938-EDFE-2C69-3DCC-D9BDE562757C}"/>
            </a:ext>
          </a:extLst>
        </xdr:cNvPr>
        <xdr:cNvSpPr txBox="1">
          <a:spLocks noChangeArrowheads="1"/>
        </xdr:cNvSpPr>
      </xdr:nvSpPr>
      <xdr:spPr bwMode="auto">
        <a:xfrm>
          <a:off x="148463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0</xdr:rowOff>
    </xdr:from>
    <xdr:to>
      <xdr:col>9</xdr:col>
      <xdr:colOff>102160</xdr:colOff>
      <xdr:row>76</xdr:row>
      <xdr:rowOff>133350</xdr:rowOff>
    </xdr:to>
    <xdr:sp macro="" textlink="">
      <xdr:nvSpPr>
        <xdr:cNvPr id="421969" name="Text Box 81" hidden="1">
          <a:extLst>
            <a:ext uri="{FF2B5EF4-FFF2-40B4-BE49-F238E27FC236}">
              <a16:creationId xmlns:a16="http://schemas.microsoft.com/office/drawing/2014/main" id="{B96886E3-2056-AD69-C443-FE3540AC8E24}"/>
            </a:ext>
          </a:extLst>
        </xdr:cNvPr>
        <xdr:cNvSpPr txBox="1">
          <a:spLocks noChangeArrowheads="1"/>
        </xdr:cNvSpPr>
      </xdr:nvSpPr>
      <xdr:spPr bwMode="auto">
        <a:xfrm>
          <a:off x="39941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0</xdr:rowOff>
    </xdr:from>
    <xdr:to>
      <xdr:col>9</xdr:col>
      <xdr:colOff>121210</xdr:colOff>
      <xdr:row>77</xdr:row>
      <xdr:rowOff>0</xdr:rowOff>
    </xdr:to>
    <xdr:sp macro="" textlink="">
      <xdr:nvSpPr>
        <xdr:cNvPr id="421968" name="Text Box 80" hidden="1">
          <a:extLst>
            <a:ext uri="{FF2B5EF4-FFF2-40B4-BE49-F238E27FC236}">
              <a16:creationId xmlns:a16="http://schemas.microsoft.com/office/drawing/2014/main" id="{3548D7C5-791D-45AF-1D76-B09C556CA8A4}"/>
            </a:ext>
          </a:extLst>
        </xdr:cNvPr>
        <xdr:cNvSpPr txBox="1">
          <a:spLocks noChangeArrowheads="1"/>
        </xdr:cNvSpPr>
      </xdr:nvSpPr>
      <xdr:spPr bwMode="auto">
        <a:xfrm>
          <a:off x="40132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0</xdr:rowOff>
    </xdr:from>
    <xdr:to>
      <xdr:col>9</xdr:col>
      <xdr:colOff>102160</xdr:colOff>
      <xdr:row>77</xdr:row>
      <xdr:rowOff>0</xdr:rowOff>
    </xdr:to>
    <xdr:sp macro="" textlink="">
      <xdr:nvSpPr>
        <xdr:cNvPr id="421967" name="Text Box 79" hidden="1">
          <a:extLst>
            <a:ext uri="{FF2B5EF4-FFF2-40B4-BE49-F238E27FC236}">
              <a16:creationId xmlns:a16="http://schemas.microsoft.com/office/drawing/2014/main" id="{3F3DFAC1-3B29-B94E-5057-9DE95E56F87B}"/>
            </a:ext>
          </a:extLst>
        </xdr:cNvPr>
        <xdr:cNvSpPr txBox="1">
          <a:spLocks noChangeArrowheads="1"/>
        </xdr:cNvSpPr>
      </xdr:nvSpPr>
      <xdr:spPr bwMode="auto">
        <a:xfrm>
          <a:off x="39941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0</xdr:rowOff>
    </xdr:from>
    <xdr:to>
      <xdr:col>9</xdr:col>
      <xdr:colOff>102160</xdr:colOff>
      <xdr:row>77</xdr:row>
      <xdr:rowOff>0</xdr:rowOff>
    </xdr:to>
    <xdr:sp macro="" textlink="">
      <xdr:nvSpPr>
        <xdr:cNvPr id="421966" name="Text Box 78" hidden="1">
          <a:extLst>
            <a:ext uri="{FF2B5EF4-FFF2-40B4-BE49-F238E27FC236}">
              <a16:creationId xmlns:a16="http://schemas.microsoft.com/office/drawing/2014/main" id="{BFBF6956-8E4E-F71D-9CA9-4C6C54CACEE6}"/>
            </a:ext>
          </a:extLst>
        </xdr:cNvPr>
        <xdr:cNvSpPr txBox="1">
          <a:spLocks noChangeArrowheads="1"/>
        </xdr:cNvSpPr>
      </xdr:nvSpPr>
      <xdr:spPr bwMode="auto">
        <a:xfrm>
          <a:off x="39941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76200</xdr:rowOff>
    </xdr:from>
    <xdr:to>
      <xdr:col>9</xdr:col>
      <xdr:colOff>102160</xdr:colOff>
      <xdr:row>81</xdr:row>
      <xdr:rowOff>76200</xdr:rowOff>
    </xdr:to>
    <xdr:sp macro="" textlink="">
      <xdr:nvSpPr>
        <xdr:cNvPr id="421965" name="Text Box 77" hidden="1">
          <a:extLst>
            <a:ext uri="{FF2B5EF4-FFF2-40B4-BE49-F238E27FC236}">
              <a16:creationId xmlns:a16="http://schemas.microsoft.com/office/drawing/2014/main" id="{F67215C1-802A-ACC6-7664-F996AFA345E7}"/>
            </a:ext>
          </a:extLst>
        </xdr:cNvPr>
        <xdr:cNvSpPr txBox="1">
          <a:spLocks noChangeArrowheads="1"/>
        </xdr:cNvSpPr>
      </xdr:nvSpPr>
      <xdr:spPr bwMode="auto">
        <a:xfrm>
          <a:off x="39941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95250</xdr:rowOff>
    </xdr:from>
    <xdr:to>
      <xdr:col>9</xdr:col>
      <xdr:colOff>102160</xdr:colOff>
      <xdr:row>97</xdr:row>
      <xdr:rowOff>152400</xdr:rowOff>
    </xdr:to>
    <xdr:sp macro="" textlink="">
      <xdr:nvSpPr>
        <xdr:cNvPr id="421964" name="Text Box 76" hidden="1">
          <a:extLst>
            <a:ext uri="{FF2B5EF4-FFF2-40B4-BE49-F238E27FC236}">
              <a16:creationId xmlns:a16="http://schemas.microsoft.com/office/drawing/2014/main" id="{0DC49281-8780-BF65-29AA-A3DF8219ECA6}"/>
            </a:ext>
          </a:extLst>
        </xdr:cNvPr>
        <xdr:cNvSpPr txBox="1">
          <a:spLocks noChangeArrowheads="1"/>
        </xdr:cNvSpPr>
      </xdr:nvSpPr>
      <xdr:spPr bwMode="auto">
        <a:xfrm>
          <a:off x="39941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19050</xdr:rowOff>
    </xdr:from>
    <xdr:to>
      <xdr:col>9</xdr:col>
      <xdr:colOff>102160</xdr:colOff>
      <xdr:row>98</xdr:row>
      <xdr:rowOff>0</xdr:rowOff>
    </xdr:to>
    <xdr:sp macro="" textlink="">
      <xdr:nvSpPr>
        <xdr:cNvPr id="421963" name="Text Box 75" hidden="1">
          <a:extLst>
            <a:ext uri="{FF2B5EF4-FFF2-40B4-BE49-F238E27FC236}">
              <a16:creationId xmlns:a16="http://schemas.microsoft.com/office/drawing/2014/main" id="{68F06F23-E115-D3FE-A432-38CA46704F5A}"/>
            </a:ext>
          </a:extLst>
        </xdr:cNvPr>
        <xdr:cNvSpPr txBox="1">
          <a:spLocks noChangeArrowheads="1"/>
        </xdr:cNvSpPr>
      </xdr:nvSpPr>
      <xdr:spPr bwMode="auto">
        <a:xfrm>
          <a:off x="39941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133350</xdr:rowOff>
    </xdr:from>
    <xdr:to>
      <xdr:col>9</xdr:col>
      <xdr:colOff>102160</xdr:colOff>
      <xdr:row>99</xdr:row>
      <xdr:rowOff>1681</xdr:rowOff>
    </xdr:to>
    <xdr:sp macro="" textlink="">
      <xdr:nvSpPr>
        <xdr:cNvPr id="421962" name="Text Box 74" hidden="1">
          <a:extLst>
            <a:ext uri="{FF2B5EF4-FFF2-40B4-BE49-F238E27FC236}">
              <a16:creationId xmlns:a16="http://schemas.microsoft.com/office/drawing/2014/main" id="{880936BC-3ACF-5B0F-821B-3BC84853CF15}"/>
            </a:ext>
          </a:extLst>
        </xdr:cNvPr>
        <xdr:cNvSpPr txBox="1">
          <a:spLocks noChangeArrowheads="1"/>
        </xdr:cNvSpPr>
      </xdr:nvSpPr>
      <xdr:spPr bwMode="auto">
        <a:xfrm>
          <a:off x="39941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323850</xdr:rowOff>
    </xdr:from>
    <xdr:to>
      <xdr:col>9</xdr:col>
      <xdr:colOff>102160</xdr:colOff>
      <xdr:row>98</xdr:row>
      <xdr:rowOff>76200</xdr:rowOff>
    </xdr:to>
    <xdr:sp macro="" textlink="">
      <xdr:nvSpPr>
        <xdr:cNvPr id="421961" name="Text Box 73" hidden="1">
          <a:extLst>
            <a:ext uri="{FF2B5EF4-FFF2-40B4-BE49-F238E27FC236}">
              <a16:creationId xmlns:a16="http://schemas.microsoft.com/office/drawing/2014/main" id="{04EEBA64-F0D6-2644-34D4-77E6F5BF43D0}"/>
            </a:ext>
          </a:extLst>
        </xdr:cNvPr>
        <xdr:cNvSpPr txBox="1">
          <a:spLocks noChangeArrowheads="1"/>
        </xdr:cNvSpPr>
      </xdr:nvSpPr>
      <xdr:spPr bwMode="auto">
        <a:xfrm>
          <a:off x="39941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38100</xdr:rowOff>
    </xdr:from>
    <xdr:to>
      <xdr:col>9</xdr:col>
      <xdr:colOff>102160</xdr:colOff>
      <xdr:row>119</xdr:row>
      <xdr:rowOff>95250</xdr:rowOff>
    </xdr:to>
    <xdr:sp macro="" textlink="">
      <xdr:nvSpPr>
        <xdr:cNvPr id="421960" name="Text Box 72" hidden="1">
          <a:extLst>
            <a:ext uri="{FF2B5EF4-FFF2-40B4-BE49-F238E27FC236}">
              <a16:creationId xmlns:a16="http://schemas.microsoft.com/office/drawing/2014/main" id="{9AA464E2-4634-AC07-E593-118456E6C365}"/>
            </a:ext>
          </a:extLst>
        </xdr:cNvPr>
        <xdr:cNvSpPr txBox="1">
          <a:spLocks noChangeArrowheads="1"/>
        </xdr:cNvSpPr>
      </xdr:nvSpPr>
      <xdr:spPr bwMode="auto">
        <a:xfrm>
          <a:off x="39941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38100</xdr:rowOff>
    </xdr:from>
    <xdr:to>
      <xdr:col>9</xdr:col>
      <xdr:colOff>102160</xdr:colOff>
      <xdr:row>120</xdr:row>
      <xdr:rowOff>76200</xdr:rowOff>
    </xdr:to>
    <xdr:sp macro="" textlink="">
      <xdr:nvSpPr>
        <xdr:cNvPr id="421959" name="Text Box 71" hidden="1">
          <a:extLst>
            <a:ext uri="{FF2B5EF4-FFF2-40B4-BE49-F238E27FC236}">
              <a16:creationId xmlns:a16="http://schemas.microsoft.com/office/drawing/2014/main" id="{C72B27B9-DFEC-1630-35B6-CDDE6BB2FC20}"/>
            </a:ext>
          </a:extLst>
        </xdr:cNvPr>
        <xdr:cNvSpPr txBox="1">
          <a:spLocks noChangeArrowheads="1"/>
        </xdr:cNvSpPr>
      </xdr:nvSpPr>
      <xdr:spPr bwMode="auto">
        <a:xfrm>
          <a:off x="39941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76200</xdr:rowOff>
    </xdr:from>
    <xdr:to>
      <xdr:col>9</xdr:col>
      <xdr:colOff>102160</xdr:colOff>
      <xdr:row>121</xdr:row>
      <xdr:rowOff>76200</xdr:rowOff>
    </xdr:to>
    <xdr:sp macro="" textlink="">
      <xdr:nvSpPr>
        <xdr:cNvPr id="421958" name="Text Box 70" hidden="1">
          <a:extLst>
            <a:ext uri="{FF2B5EF4-FFF2-40B4-BE49-F238E27FC236}">
              <a16:creationId xmlns:a16="http://schemas.microsoft.com/office/drawing/2014/main" id="{0A0A932A-D67F-A123-A38F-F4B6B818756E}"/>
            </a:ext>
          </a:extLst>
        </xdr:cNvPr>
        <xdr:cNvSpPr txBox="1">
          <a:spLocks noChangeArrowheads="1"/>
        </xdr:cNvSpPr>
      </xdr:nvSpPr>
      <xdr:spPr bwMode="auto">
        <a:xfrm>
          <a:off x="39941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38100</xdr:rowOff>
    </xdr:from>
    <xdr:to>
      <xdr:col>9</xdr:col>
      <xdr:colOff>102160</xdr:colOff>
      <xdr:row>121</xdr:row>
      <xdr:rowOff>76200</xdr:rowOff>
    </xdr:to>
    <xdr:sp macro="" textlink="">
      <xdr:nvSpPr>
        <xdr:cNvPr id="421957" name="Text Box 69" hidden="1">
          <a:extLst>
            <a:ext uri="{FF2B5EF4-FFF2-40B4-BE49-F238E27FC236}">
              <a16:creationId xmlns:a16="http://schemas.microsoft.com/office/drawing/2014/main" id="{6C3156E2-6290-706F-1F9F-DBB97F9155C7}"/>
            </a:ext>
          </a:extLst>
        </xdr:cNvPr>
        <xdr:cNvSpPr txBox="1">
          <a:spLocks noChangeArrowheads="1"/>
        </xdr:cNvSpPr>
      </xdr:nvSpPr>
      <xdr:spPr bwMode="auto">
        <a:xfrm>
          <a:off x="39941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125</xdr:row>
      <xdr:rowOff>19050</xdr:rowOff>
    </xdr:from>
    <xdr:to>
      <xdr:col>23</xdr:col>
      <xdr:colOff>687855</xdr:colOff>
      <xdr:row>145</xdr:row>
      <xdr:rowOff>0</xdr:rowOff>
    </xdr:to>
    <xdr:sp macro="" textlink="">
      <xdr:nvSpPr>
        <xdr:cNvPr id="421956" name="Text Box 68" hidden="1">
          <a:extLst>
            <a:ext uri="{FF2B5EF4-FFF2-40B4-BE49-F238E27FC236}">
              <a16:creationId xmlns:a16="http://schemas.microsoft.com/office/drawing/2014/main" id="{1B7539CC-FE32-E826-9BE2-9CEA4F101F34}"/>
            </a:ext>
          </a:extLst>
        </xdr:cNvPr>
        <xdr:cNvSpPr txBox="1">
          <a:spLocks noChangeArrowheads="1"/>
        </xdr:cNvSpPr>
      </xdr:nvSpPr>
      <xdr:spPr bwMode="auto">
        <a:xfrm>
          <a:off x="172085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14</xdr:row>
      <xdr:rowOff>95250</xdr:rowOff>
    </xdr:from>
    <xdr:to>
      <xdr:col>25</xdr:col>
      <xdr:colOff>102161</xdr:colOff>
      <xdr:row>34</xdr:row>
      <xdr:rowOff>76200</xdr:rowOff>
    </xdr:to>
    <xdr:sp macro="" textlink="">
      <xdr:nvSpPr>
        <xdr:cNvPr id="421955" name="Text Box 67" hidden="1">
          <a:extLst>
            <a:ext uri="{FF2B5EF4-FFF2-40B4-BE49-F238E27FC236}">
              <a16:creationId xmlns:a16="http://schemas.microsoft.com/office/drawing/2014/main" id="{5736C1C1-FF66-759B-D2BE-B814CEE3A297}"/>
            </a:ext>
          </a:extLst>
        </xdr:cNvPr>
        <xdr:cNvSpPr txBox="1">
          <a:spLocks noChangeArrowheads="1"/>
        </xdr:cNvSpPr>
      </xdr:nvSpPr>
      <xdr:spPr bwMode="auto">
        <a:xfrm>
          <a:off x="180276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23</xdr:row>
      <xdr:rowOff>95250</xdr:rowOff>
    </xdr:from>
    <xdr:to>
      <xdr:col>25</xdr:col>
      <xdr:colOff>102161</xdr:colOff>
      <xdr:row>43</xdr:row>
      <xdr:rowOff>76200</xdr:rowOff>
    </xdr:to>
    <xdr:sp macro="" textlink="">
      <xdr:nvSpPr>
        <xdr:cNvPr id="421954" name="Text Box 66" hidden="1">
          <a:extLst>
            <a:ext uri="{FF2B5EF4-FFF2-40B4-BE49-F238E27FC236}">
              <a16:creationId xmlns:a16="http://schemas.microsoft.com/office/drawing/2014/main" id="{768E372C-F015-0AFC-BA09-4B6F54FC67E1}"/>
            </a:ext>
          </a:extLst>
        </xdr:cNvPr>
        <xdr:cNvSpPr txBox="1">
          <a:spLocks noChangeArrowheads="1"/>
        </xdr:cNvSpPr>
      </xdr:nvSpPr>
      <xdr:spPr bwMode="auto">
        <a:xfrm>
          <a:off x="180276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129</xdr:row>
      <xdr:rowOff>38100</xdr:rowOff>
    </xdr:from>
    <xdr:to>
      <xdr:col>25</xdr:col>
      <xdr:colOff>102161</xdr:colOff>
      <xdr:row>149</xdr:row>
      <xdr:rowOff>19050</xdr:rowOff>
    </xdr:to>
    <xdr:sp macro="" textlink="">
      <xdr:nvSpPr>
        <xdr:cNvPr id="421953" name="Text Box 65" hidden="1">
          <a:extLst>
            <a:ext uri="{FF2B5EF4-FFF2-40B4-BE49-F238E27FC236}">
              <a16:creationId xmlns:a16="http://schemas.microsoft.com/office/drawing/2014/main" id="{A63CB3DF-BABA-C5E2-2C20-D413E2420C24}"/>
            </a:ext>
          </a:extLst>
        </xdr:cNvPr>
        <xdr:cNvSpPr txBox="1">
          <a:spLocks noChangeArrowheads="1"/>
        </xdr:cNvSpPr>
      </xdr:nvSpPr>
      <xdr:spPr bwMode="auto">
        <a:xfrm>
          <a:off x="180276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34</xdr:row>
      <xdr:rowOff>95250</xdr:rowOff>
    </xdr:from>
    <xdr:to>
      <xdr:col>15</xdr:col>
      <xdr:colOff>273798</xdr:colOff>
      <xdr:row>54</xdr:row>
      <xdr:rowOff>76200</xdr:rowOff>
    </xdr:to>
    <xdr:sp macro="" textlink="">
      <xdr:nvSpPr>
        <xdr:cNvPr id="421952" name="Text Box 64" hidden="1">
          <a:extLst>
            <a:ext uri="{FF2B5EF4-FFF2-40B4-BE49-F238E27FC236}">
              <a16:creationId xmlns:a16="http://schemas.microsoft.com/office/drawing/2014/main" id="{030360E2-5F5F-21AD-DC15-90A6A0506DAC}"/>
            </a:ext>
          </a:extLst>
        </xdr:cNvPr>
        <xdr:cNvSpPr txBox="1">
          <a:spLocks noChangeArrowheads="1"/>
        </xdr:cNvSpPr>
      </xdr:nvSpPr>
      <xdr:spPr bwMode="auto">
        <a:xfrm>
          <a:off x="96837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14</xdr:row>
      <xdr:rowOff>95250</xdr:rowOff>
    </xdr:from>
    <xdr:to>
      <xdr:col>28</xdr:col>
      <xdr:colOff>140260</xdr:colOff>
      <xdr:row>34</xdr:row>
      <xdr:rowOff>171450</xdr:rowOff>
    </xdr:to>
    <xdr:sp macro="" textlink="">
      <xdr:nvSpPr>
        <xdr:cNvPr id="421951" name="Text Box 63" hidden="1">
          <a:extLst>
            <a:ext uri="{FF2B5EF4-FFF2-40B4-BE49-F238E27FC236}">
              <a16:creationId xmlns:a16="http://schemas.microsoft.com/office/drawing/2014/main" id="{93C8D589-2B32-E6A0-1AE8-D97300AFA744}"/>
            </a:ext>
          </a:extLst>
        </xdr:cNvPr>
        <xdr:cNvSpPr txBox="1">
          <a:spLocks noChangeArrowheads="1"/>
        </xdr:cNvSpPr>
      </xdr:nvSpPr>
      <xdr:spPr bwMode="auto">
        <a:xfrm>
          <a:off x="197231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23</xdr:row>
      <xdr:rowOff>95250</xdr:rowOff>
    </xdr:from>
    <xdr:to>
      <xdr:col>28</xdr:col>
      <xdr:colOff>140260</xdr:colOff>
      <xdr:row>43</xdr:row>
      <xdr:rowOff>152400</xdr:rowOff>
    </xdr:to>
    <xdr:sp macro="" textlink="">
      <xdr:nvSpPr>
        <xdr:cNvPr id="421950" name="Text Box 62" hidden="1">
          <a:extLst>
            <a:ext uri="{FF2B5EF4-FFF2-40B4-BE49-F238E27FC236}">
              <a16:creationId xmlns:a16="http://schemas.microsoft.com/office/drawing/2014/main" id="{1D519A0D-4BB8-D34E-4D53-D17677D3091D}"/>
            </a:ext>
          </a:extLst>
        </xdr:cNvPr>
        <xdr:cNvSpPr txBox="1">
          <a:spLocks noChangeArrowheads="1"/>
        </xdr:cNvSpPr>
      </xdr:nvSpPr>
      <xdr:spPr bwMode="auto">
        <a:xfrm>
          <a:off x="197231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129</xdr:row>
      <xdr:rowOff>38100</xdr:rowOff>
    </xdr:from>
    <xdr:to>
      <xdr:col>28</xdr:col>
      <xdr:colOff>140260</xdr:colOff>
      <xdr:row>149</xdr:row>
      <xdr:rowOff>95250</xdr:rowOff>
    </xdr:to>
    <xdr:sp macro="" textlink="">
      <xdr:nvSpPr>
        <xdr:cNvPr id="421949" name="Text Box 61" hidden="1">
          <a:extLst>
            <a:ext uri="{FF2B5EF4-FFF2-40B4-BE49-F238E27FC236}">
              <a16:creationId xmlns:a16="http://schemas.microsoft.com/office/drawing/2014/main" id="{4D59EB73-601F-703A-D7F9-4A8831BED031}"/>
            </a:ext>
          </a:extLst>
        </xdr:cNvPr>
        <xdr:cNvSpPr txBox="1">
          <a:spLocks noChangeArrowheads="1"/>
        </xdr:cNvSpPr>
      </xdr:nvSpPr>
      <xdr:spPr bwMode="auto">
        <a:xfrm>
          <a:off x="197231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14</xdr:row>
      <xdr:rowOff>95250</xdr:rowOff>
    </xdr:from>
    <xdr:to>
      <xdr:col>29</xdr:col>
      <xdr:colOff>140260</xdr:colOff>
      <xdr:row>34</xdr:row>
      <xdr:rowOff>133350</xdr:rowOff>
    </xdr:to>
    <xdr:sp macro="" textlink="">
      <xdr:nvSpPr>
        <xdr:cNvPr id="421948" name="Text Box 60" hidden="1">
          <a:extLst>
            <a:ext uri="{FF2B5EF4-FFF2-40B4-BE49-F238E27FC236}">
              <a16:creationId xmlns:a16="http://schemas.microsoft.com/office/drawing/2014/main" id="{D16E2D50-5144-2277-9A79-48736223FC00}"/>
            </a:ext>
          </a:extLst>
        </xdr:cNvPr>
        <xdr:cNvSpPr txBox="1">
          <a:spLocks noChangeArrowheads="1"/>
        </xdr:cNvSpPr>
      </xdr:nvSpPr>
      <xdr:spPr bwMode="auto">
        <a:xfrm>
          <a:off x="204851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23</xdr:row>
      <xdr:rowOff>95250</xdr:rowOff>
    </xdr:from>
    <xdr:to>
      <xdr:col>29</xdr:col>
      <xdr:colOff>140260</xdr:colOff>
      <xdr:row>43</xdr:row>
      <xdr:rowOff>95250</xdr:rowOff>
    </xdr:to>
    <xdr:sp macro="" textlink="">
      <xdr:nvSpPr>
        <xdr:cNvPr id="421947" name="Text Box 59" hidden="1">
          <a:extLst>
            <a:ext uri="{FF2B5EF4-FFF2-40B4-BE49-F238E27FC236}">
              <a16:creationId xmlns:a16="http://schemas.microsoft.com/office/drawing/2014/main" id="{C5C8E290-7A99-E15D-3D84-208447FE0F5A}"/>
            </a:ext>
          </a:extLst>
        </xdr:cNvPr>
        <xdr:cNvSpPr txBox="1">
          <a:spLocks noChangeArrowheads="1"/>
        </xdr:cNvSpPr>
      </xdr:nvSpPr>
      <xdr:spPr bwMode="auto">
        <a:xfrm>
          <a:off x="204851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129</xdr:row>
      <xdr:rowOff>76200</xdr:rowOff>
    </xdr:from>
    <xdr:to>
      <xdr:col>29</xdr:col>
      <xdr:colOff>140260</xdr:colOff>
      <xdr:row>149</xdr:row>
      <xdr:rowOff>95250</xdr:rowOff>
    </xdr:to>
    <xdr:sp macro="" textlink="">
      <xdr:nvSpPr>
        <xdr:cNvPr id="421946" name="Text Box 58" hidden="1">
          <a:extLst>
            <a:ext uri="{FF2B5EF4-FFF2-40B4-BE49-F238E27FC236}">
              <a16:creationId xmlns:a16="http://schemas.microsoft.com/office/drawing/2014/main" id="{78015B96-45C5-974D-B43B-B4EB94824C6A}"/>
            </a:ext>
          </a:extLst>
        </xdr:cNvPr>
        <xdr:cNvSpPr txBox="1">
          <a:spLocks noChangeArrowheads="1"/>
        </xdr:cNvSpPr>
      </xdr:nvSpPr>
      <xdr:spPr bwMode="auto">
        <a:xfrm>
          <a:off x="204851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38</xdr:row>
      <xdr:rowOff>76200</xdr:rowOff>
    </xdr:from>
    <xdr:to>
      <xdr:col>15</xdr:col>
      <xdr:colOff>273798</xdr:colOff>
      <xdr:row>58</xdr:row>
      <xdr:rowOff>76200</xdr:rowOff>
    </xdr:to>
    <xdr:sp macro="" textlink="">
      <xdr:nvSpPr>
        <xdr:cNvPr id="421945" name="Text Box 57" hidden="1">
          <a:extLst>
            <a:ext uri="{FF2B5EF4-FFF2-40B4-BE49-F238E27FC236}">
              <a16:creationId xmlns:a16="http://schemas.microsoft.com/office/drawing/2014/main" id="{A0FA7B0D-41C5-0CD1-24F1-5C022C397061}"/>
            </a:ext>
          </a:extLst>
        </xdr:cNvPr>
        <xdr:cNvSpPr txBox="1">
          <a:spLocks noChangeArrowheads="1"/>
        </xdr:cNvSpPr>
      </xdr:nvSpPr>
      <xdr:spPr bwMode="auto">
        <a:xfrm>
          <a:off x="97218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38</xdr:row>
      <xdr:rowOff>76200</xdr:rowOff>
    </xdr:from>
    <xdr:to>
      <xdr:col>17</xdr:col>
      <xdr:colOff>162486</xdr:colOff>
      <xdr:row>58</xdr:row>
      <xdr:rowOff>76200</xdr:rowOff>
    </xdr:to>
    <xdr:sp macro="" textlink="">
      <xdr:nvSpPr>
        <xdr:cNvPr id="421944" name="Text Box 56" hidden="1">
          <a:extLst>
            <a:ext uri="{FF2B5EF4-FFF2-40B4-BE49-F238E27FC236}">
              <a16:creationId xmlns:a16="http://schemas.microsoft.com/office/drawing/2014/main" id="{E630B2F5-472E-E495-B60D-44966395AECA}"/>
            </a:ext>
          </a:extLst>
        </xdr:cNvPr>
        <xdr:cNvSpPr txBox="1">
          <a:spLocks noChangeArrowheads="1"/>
        </xdr:cNvSpPr>
      </xdr:nvSpPr>
      <xdr:spPr bwMode="auto">
        <a:xfrm>
          <a:off x="108204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20</xdr:row>
      <xdr:rowOff>0</xdr:rowOff>
    </xdr:from>
    <xdr:to>
      <xdr:col>34</xdr:col>
      <xdr:colOff>140261</xdr:colOff>
      <xdr:row>40</xdr:row>
      <xdr:rowOff>0</xdr:rowOff>
    </xdr:to>
    <xdr:sp macro="" textlink="">
      <xdr:nvSpPr>
        <xdr:cNvPr id="421943" name="Text Box 55" hidden="1">
          <a:extLst>
            <a:ext uri="{FF2B5EF4-FFF2-40B4-BE49-F238E27FC236}">
              <a16:creationId xmlns:a16="http://schemas.microsoft.com/office/drawing/2014/main" id="{78BF1716-578C-AD51-58ED-543DD4A3512A}"/>
            </a:ext>
          </a:extLst>
        </xdr:cNvPr>
        <xdr:cNvSpPr txBox="1">
          <a:spLocks noChangeArrowheads="1"/>
        </xdr:cNvSpPr>
      </xdr:nvSpPr>
      <xdr:spPr bwMode="auto">
        <a:xfrm>
          <a:off x="242951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56</xdr:row>
      <xdr:rowOff>0</xdr:rowOff>
    </xdr:from>
    <xdr:to>
      <xdr:col>18</xdr:col>
      <xdr:colOff>64061</xdr:colOff>
      <xdr:row>76</xdr:row>
      <xdr:rowOff>133350</xdr:rowOff>
    </xdr:to>
    <xdr:sp macro="" textlink="">
      <xdr:nvSpPr>
        <xdr:cNvPr id="421942" name="Text Box 54" hidden="1">
          <a:extLst>
            <a:ext uri="{FF2B5EF4-FFF2-40B4-BE49-F238E27FC236}">
              <a16:creationId xmlns:a16="http://schemas.microsoft.com/office/drawing/2014/main" id="{C140F834-159C-9B5E-A911-9F85B12CAF90}"/>
            </a:ext>
          </a:extLst>
        </xdr:cNvPr>
        <xdr:cNvSpPr txBox="1">
          <a:spLocks noChangeArrowheads="1"/>
        </xdr:cNvSpPr>
      </xdr:nvSpPr>
      <xdr:spPr bwMode="auto">
        <a:xfrm>
          <a:off x="116522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61</xdr:row>
      <xdr:rowOff>19050</xdr:rowOff>
    </xdr:from>
    <xdr:to>
      <xdr:col>18</xdr:col>
      <xdr:colOff>102161</xdr:colOff>
      <xdr:row>81</xdr:row>
      <xdr:rowOff>152400</xdr:rowOff>
    </xdr:to>
    <xdr:sp macro="" textlink="">
      <xdr:nvSpPr>
        <xdr:cNvPr id="421941" name="Text Box 53" hidden="1">
          <a:extLst>
            <a:ext uri="{FF2B5EF4-FFF2-40B4-BE49-F238E27FC236}">
              <a16:creationId xmlns:a16="http://schemas.microsoft.com/office/drawing/2014/main" id="{8CE79B55-84F6-08FD-7F4D-4D6C70E77CF6}"/>
            </a:ext>
          </a:extLst>
        </xdr:cNvPr>
        <xdr:cNvSpPr txBox="1">
          <a:spLocks noChangeArrowheads="1"/>
        </xdr:cNvSpPr>
      </xdr:nvSpPr>
      <xdr:spPr bwMode="auto">
        <a:xfrm>
          <a:off x="116903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38</xdr:row>
      <xdr:rowOff>76200</xdr:rowOff>
    </xdr:from>
    <xdr:to>
      <xdr:col>18</xdr:col>
      <xdr:colOff>102161</xdr:colOff>
      <xdr:row>58</xdr:row>
      <xdr:rowOff>76200</xdr:rowOff>
    </xdr:to>
    <xdr:sp macro="" textlink="">
      <xdr:nvSpPr>
        <xdr:cNvPr id="421940" name="Text Box 52" hidden="1">
          <a:extLst>
            <a:ext uri="{FF2B5EF4-FFF2-40B4-BE49-F238E27FC236}">
              <a16:creationId xmlns:a16="http://schemas.microsoft.com/office/drawing/2014/main" id="{4D520850-23CE-BFB1-EF4D-D2122A6017E0}"/>
            </a:ext>
          </a:extLst>
        </xdr:cNvPr>
        <xdr:cNvSpPr txBox="1">
          <a:spLocks noChangeArrowheads="1"/>
        </xdr:cNvSpPr>
      </xdr:nvSpPr>
      <xdr:spPr bwMode="auto">
        <a:xfrm>
          <a:off x="116903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14</xdr:row>
      <xdr:rowOff>95250</xdr:rowOff>
    </xdr:from>
    <xdr:to>
      <xdr:col>30</xdr:col>
      <xdr:colOff>162485</xdr:colOff>
      <xdr:row>34</xdr:row>
      <xdr:rowOff>152400</xdr:rowOff>
    </xdr:to>
    <xdr:sp macro="" textlink="">
      <xdr:nvSpPr>
        <xdr:cNvPr id="421939" name="Text Box 51" hidden="1">
          <a:extLst>
            <a:ext uri="{FF2B5EF4-FFF2-40B4-BE49-F238E27FC236}">
              <a16:creationId xmlns:a16="http://schemas.microsoft.com/office/drawing/2014/main" id="{69B991E4-FAA1-B2B3-613E-8D244E9AD21C}"/>
            </a:ext>
          </a:extLst>
        </xdr:cNvPr>
        <xdr:cNvSpPr txBox="1">
          <a:spLocks noChangeArrowheads="1"/>
        </xdr:cNvSpPr>
      </xdr:nvSpPr>
      <xdr:spPr bwMode="auto">
        <a:xfrm>
          <a:off x="212471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23</xdr:row>
      <xdr:rowOff>95250</xdr:rowOff>
    </xdr:from>
    <xdr:to>
      <xdr:col>30</xdr:col>
      <xdr:colOff>162485</xdr:colOff>
      <xdr:row>43</xdr:row>
      <xdr:rowOff>152400</xdr:rowOff>
    </xdr:to>
    <xdr:sp macro="" textlink="">
      <xdr:nvSpPr>
        <xdr:cNvPr id="421938" name="Text Box 50" hidden="1">
          <a:extLst>
            <a:ext uri="{FF2B5EF4-FFF2-40B4-BE49-F238E27FC236}">
              <a16:creationId xmlns:a16="http://schemas.microsoft.com/office/drawing/2014/main" id="{2E0CA945-18C9-E22E-597D-F1A10EC03063}"/>
            </a:ext>
          </a:extLst>
        </xdr:cNvPr>
        <xdr:cNvSpPr txBox="1">
          <a:spLocks noChangeArrowheads="1"/>
        </xdr:cNvSpPr>
      </xdr:nvSpPr>
      <xdr:spPr bwMode="auto">
        <a:xfrm>
          <a:off x="212471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131</xdr:row>
      <xdr:rowOff>133350</xdr:rowOff>
    </xdr:from>
    <xdr:to>
      <xdr:col>30</xdr:col>
      <xdr:colOff>162485</xdr:colOff>
      <xdr:row>151</xdr:row>
      <xdr:rowOff>171450</xdr:rowOff>
    </xdr:to>
    <xdr:sp macro="" textlink="">
      <xdr:nvSpPr>
        <xdr:cNvPr id="421937" name="Text Box 49" hidden="1">
          <a:extLst>
            <a:ext uri="{FF2B5EF4-FFF2-40B4-BE49-F238E27FC236}">
              <a16:creationId xmlns:a16="http://schemas.microsoft.com/office/drawing/2014/main" id="{1DE52460-FACC-D127-1AA8-C83BD7F9436D}"/>
            </a:ext>
          </a:extLst>
        </xdr:cNvPr>
        <xdr:cNvSpPr txBox="1">
          <a:spLocks noChangeArrowheads="1"/>
        </xdr:cNvSpPr>
      </xdr:nvSpPr>
      <xdr:spPr bwMode="auto">
        <a:xfrm>
          <a:off x="212471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14</xdr:row>
      <xdr:rowOff>114300</xdr:rowOff>
    </xdr:from>
    <xdr:to>
      <xdr:col>31</xdr:col>
      <xdr:colOff>162485</xdr:colOff>
      <xdr:row>34</xdr:row>
      <xdr:rowOff>152400</xdr:rowOff>
    </xdr:to>
    <xdr:sp macro="" textlink="">
      <xdr:nvSpPr>
        <xdr:cNvPr id="421936" name="Text Box 48" hidden="1">
          <a:extLst>
            <a:ext uri="{FF2B5EF4-FFF2-40B4-BE49-F238E27FC236}">
              <a16:creationId xmlns:a16="http://schemas.microsoft.com/office/drawing/2014/main" id="{ABA2D246-80BA-FDF8-7A9B-12FE6543A556}"/>
            </a:ext>
          </a:extLst>
        </xdr:cNvPr>
        <xdr:cNvSpPr txBox="1">
          <a:spLocks noChangeArrowheads="1"/>
        </xdr:cNvSpPr>
      </xdr:nvSpPr>
      <xdr:spPr bwMode="auto">
        <a:xfrm>
          <a:off x="220091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23</xdr:row>
      <xdr:rowOff>114300</xdr:rowOff>
    </xdr:from>
    <xdr:to>
      <xdr:col>31</xdr:col>
      <xdr:colOff>162485</xdr:colOff>
      <xdr:row>43</xdr:row>
      <xdr:rowOff>152400</xdr:rowOff>
    </xdr:to>
    <xdr:sp macro="" textlink="">
      <xdr:nvSpPr>
        <xdr:cNvPr id="421935" name="Text Box 47" hidden="1">
          <a:extLst>
            <a:ext uri="{FF2B5EF4-FFF2-40B4-BE49-F238E27FC236}">
              <a16:creationId xmlns:a16="http://schemas.microsoft.com/office/drawing/2014/main" id="{ED780F53-28E0-4942-68E2-34D3CE9CBBC1}"/>
            </a:ext>
          </a:extLst>
        </xdr:cNvPr>
        <xdr:cNvSpPr txBox="1">
          <a:spLocks noChangeArrowheads="1"/>
        </xdr:cNvSpPr>
      </xdr:nvSpPr>
      <xdr:spPr bwMode="auto">
        <a:xfrm>
          <a:off x="220091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131</xdr:row>
      <xdr:rowOff>133350</xdr:rowOff>
    </xdr:from>
    <xdr:to>
      <xdr:col>31</xdr:col>
      <xdr:colOff>162485</xdr:colOff>
      <xdr:row>151</xdr:row>
      <xdr:rowOff>171450</xdr:rowOff>
    </xdr:to>
    <xdr:sp macro="" textlink="">
      <xdr:nvSpPr>
        <xdr:cNvPr id="421934" name="Text Box 46" hidden="1">
          <a:extLst>
            <a:ext uri="{FF2B5EF4-FFF2-40B4-BE49-F238E27FC236}">
              <a16:creationId xmlns:a16="http://schemas.microsoft.com/office/drawing/2014/main" id="{92217D3E-099D-638B-E760-81F4C3A4943A}"/>
            </a:ext>
          </a:extLst>
        </xdr:cNvPr>
        <xdr:cNvSpPr txBox="1">
          <a:spLocks noChangeArrowheads="1"/>
        </xdr:cNvSpPr>
      </xdr:nvSpPr>
      <xdr:spPr bwMode="auto">
        <a:xfrm>
          <a:off x="220091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14</xdr:row>
      <xdr:rowOff>95250</xdr:rowOff>
    </xdr:from>
    <xdr:to>
      <xdr:col>31</xdr:col>
      <xdr:colOff>306854</xdr:colOff>
      <xdr:row>34</xdr:row>
      <xdr:rowOff>95250</xdr:rowOff>
    </xdr:to>
    <xdr:sp macro="" textlink="">
      <xdr:nvSpPr>
        <xdr:cNvPr id="421933" name="Text Box 45" hidden="1">
          <a:extLst>
            <a:ext uri="{FF2B5EF4-FFF2-40B4-BE49-F238E27FC236}">
              <a16:creationId xmlns:a16="http://schemas.microsoft.com/office/drawing/2014/main" id="{73E5326E-4ADA-2189-032F-4B5DFA73C921}"/>
            </a:ext>
          </a:extLst>
        </xdr:cNvPr>
        <xdr:cNvSpPr txBox="1">
          <a:spLocks noChangeArrowheads="1"/>
        </xdr:cNvSpPr>
      </xdr:nvSpPr>
      <xdr:spPr bwMode="auto">
        <a:xfrm>
          <a:off x="228092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23</xdr:row>
      <xdr:rowOff>95250</xdr:rowOff>
    </xdr:from>
    <xdr:to>
      <xdr:col>31</xdr:col>
      <xdr:colOff>306854</xdr:colOff>
      <xdr:row>43</xdr:row>
      <xdr:rowOff>114300</xdr:rowOff>
    </xdr:to>
    <xdr:sp macro="" textlink="">
      <xdr:nvSpPr>
        <xdr:cNvPr id="421932" name="Text Box 44" hidden="1">
          <a:extLst>
            <a:ext uri="{FF2B5EF4-FFF2-40B4-BE49-F238E27FC236}">
              <a16:creationId xmlns:a16="http://schemas.microsoft.com/office/drawing/2014/main" id="{2347D168-10CD-8982-319E-9A8EA8E2EB9B}"/>
            </a:ext>
          </a:extLst>
        </xdr:cNvPr>
        <xdr:cNvSpPr txBox="1">
          <a:spLocks noChangeArrowheads="1"/>
        </xdr:cNvSpPr>
      </xdr:nvSpPr>
      <xdr:spPr bwMode="auto">
        <a:xfrm>
          <a:off x="228092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8</xdr:row>
      <xdr:rowOff>76200</xdr:rowOff>
    </xdr:from>
    <xdr:to>
      <xdr:col>41</xdr:col>
      <xdr:colOff>306854</xdr:colOff>
      <xdr:row>28</xdr:row>
      <xdr:rowOff>95250</xdr:rowOff>
    </xdr:to>
    <xdr:sp macro="" textlink="">
      <xdr:nvSpPr>
        <xdr:cNvPr id="421931" name="Text Box 43" hidden="1">
          <a:extLst>
            <a:ext uri="{FF2B5EF4-FFF2-40B4-BE49-F238E27FC236}">
              <a16:creationId xmlns:a16="http://schemas.microsoft.com/office/drawing/2014/main" id="{91C04EB5-E8E5-FC5E-6B68-F53E04FDB249}"/>
            </a:ext>
          </a:extLst>
        </xdr:cNvPr>
        <xdr:cNvSpPr txBox="1">
          <a:spLocks noChangeArrowheads="1"/>
        </xdr:cNvSpPr>
      </xdr:nvSpPr>
      <xdr:spPr bwMode="auto">
        <a:xfrm>
          <a:off x="309118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131</xdr:row>
      <xdr:rowOff>95250</xdr:rowOff>
    </xdr:from>
    <xdr:to>
      <xdr:col>32</xdr:col>
      <xdr:colOff>162485</xdr:colOff>
      <xdr:row>151</xdr:row>
      <xdr:rowOff>0</xdr:rowOff>
    </xdr:to>
    <xdr:sp macro="" textlink="">
      <xdr:nvSpPr>
        <xdr:cNvPr id="421930" name="Text Box 42" hidden="1">
          <a:extLst>
            <a:ext uri="{FF2B5EF4-FFF2-40B4-BE49-F238E27FC236}">
              <a16:creationId xmlns:a16="http://schemas.microsoft.com/office/drawing/2014/main" id="{42FF8732-9F0D-65E7-8EA5-7F336649FE8B}"/>
            </a:ext>
          </a:extLst>
        </xdr:cNvPr>
        <xdr:cNvSpPr txBox="1">
          <a:spLocks noChangeArrowheads="1"/>
        </xdr:cNvSpPr>
      </xdr:nvSpPr>
      <xdr:spPr bwMode="auto">
        <a:xfrm>
          <a:off x="227711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D45D617-E335-4456-A98C-A8FF01FCDA7A}"/>
            </a:ext>
          </a:extLst>
        </xdr:cNvPr>
        <xdr:cNvSpPr/>
      </xdr:nvSpPr>
      <xdr:spPr>
        <a:xfrm>
          <a:off x="56030"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10F7B737-60A8-4194-9446-3858AF4FCBA0}"/>
            </a:ext>
          </a:extLst>
        </xdr:cNvPr>
        <xdr:cNvSpPr/>
      </xdr:nvSpPr>
      <xdr:spPr>
        <a:xfrm>
          <a:off x="52854" y="358588"/>
          <a:ext cx="1086971" cy="46454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6</xdr:row>
      <xdr:rowOff>95250</xdr:rowOff>
    </xdr:from>
    <xdr:to>
      <xdr:col>21</xdr:col>
      <xdr:colOff>438150</xdr:colOff>
      <xdr:row>26</xdr:row>
      <xdr:rowOff>152400</xdr:rowOff>
    </xdr:to>
    <xdr:sp macro="" textlink="">
      <xdr:nvSpPr>
        <xdr:cNvPr id="422011" name="Text Box 123" hidden="1">
          <a:extLst>
            <a:ext uri="{FF2B5EF4-FFF2-40B4-BE49-F238E27FC236}">
              <a16:creationId xmlns:a16="http://schemas.microsoft.com/office/drawing/2014/main" id="{7E2B7EE6-0461-632D-E3E4-A65FE27F22DF}"/>
            </a:ext>
          </a:extLst>
        </xdr:cNvPr>
        <xdr:cNvSpPr txBox="1">
          <a:spLocks noChangeArrowheads="1"/>
        </xdr:cNvSpPr>
      </xdr:nvSpPr>
      <xdr:spPr bwMode="auto">
        <a:xfrm>
          <a:off x="153416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0</xdr:rowOff>
    </xdr:from>
    <xdr:to>
      <xdr:col>9</xdr:col>
      <xdr:colOff>609600</xdr:colOff>
      <xdr:row>76</xdr:row>
      <xdr:rowOff>133350</xdr:rowOff>
    </xdr:to>
    <xdr:sp macro="" textlink="">
      <xdr:nvSpPr>
        <xdr:cNvPr id="422010" name="Text Box 122" hidden="1">
          <a:extLst>
            <a:ext uri="{FF2B5EF4-FFF2-40B4-BE49-F238E27FC236}">
              <a16:creationId xmlns:a16="http://schemas.microsoft.com/office/drawing/2014/main" id="{004007C1-4991-B331-E549-580BA7233D9D}"/>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57</xdr:row>
      <xdr:rowOff>0</xdr:rowOff>
    </xdr:from>
    <xdr:to>
      <xdr:col>9</xdr:col>
      <xdr:colOff>628650</xdr:colOff>
      <xdr:row>77</xdr:row>
      <xdr:rowOff>0</xdr:rowOff>
    </xdr:to>
    <xdr:sp macro="" textlink="">
      <xdr:nvSpPr>
        <xdr:cNvPr id="422009" name="Text Box 121" hidden="1">
          <a:extLst>
            <a:ext uri="{FF2B5EF4-FFF2-40B4-BE49-F238E27FC236}">
              <a16:creationId xmlns:a16="http://schemas.microsoft.com/office/drawing/2014/main" id="{BCB979C9-D00A-CDF7-BF87-246C108B5C43}"/>
            </a:ext>
          </a:extLst>
        </xdr:cNvPr>
        <xdr:cNvSpPr txBox="1">
          <a:spLocks noChangeArrowheads="1"/>
        </xdr:cNvSpPr>
      </xdr:nvSpPr>
      <xdr:spPr bwMode="auto">
        <a:xfrm>
          <a:off x="45085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008" name="Text Box 120" hidden="1">
          <a:extLst>
            <a:ext uri="{FF2B5EF4-FFF2-40B4-BE49-F238E27FC236}">
              <a16:creationId xmlns:a16="http://schemas.microsoft.com/office/drawing/2014/main" id="{AA928895-9938-C3AA-F493-0679E45A3CB5}"/>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007" name="Text Box 119" hidden="1">
          <a:extLst>
            <a:ext uri="{FF2B5EF4-FFF2-40B4-BE49-F238E27FC236}">
              <a16:creationId xmlns:a16="http://schemas.microsoft.com/office/drawing/2014/main" id="{EA6FC91E-FFDC-3781-2B88-A36AE13F3C0E}"/>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76200</xdr:rowOff>
    </xdr:from>
    <xdr:to>
      <xdr:col>9</xdr:col>
      <xdr:colOff>609600</xdr:colOff>
      <xdr:row>81</xdr:row>
      <xdr:rowOff>76200</xdr:rowOff>
    </xdr:to>
    <xdr:sp macro="" textlink="">
      <xdr:nvSpPr>
        <xdr:cNvPr id="422006" name="Text Box 118" hidden="1">
          <a:extLst>
            <a:ext uri="{FF2B5EF4-FFF2-40B4-BE49-F238E27FC236}">
              <a16:creationId xmlns:a16="http://schemas.microsoft.com/office/drawing/2014/main" id="{FEAA28AB-A174-6333-9674-EA4DA0BA23DB}"/>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95250</xdr:rowOff>
    </xdr:from>
    <xdr:to>
      <xdr:col>9</xdr:col>
      <xdr:colOff>609600</xdr:colOff>
      <xdr:row>97</xdr:row>
      <xdr:rowOff>152400</xdr:rowOff>
    </xdr:to>
    <xdr:sp macro="" textlink="">
      <xdr:nvSpPr>
        <xdr:cNvPr id="422005" name="Text Box 117" hidden="1">
          <a:extLst>
            <a:ext uri="{FF2B5EF4-FFF2-40B4-BE49-F238E27FC236}">
              <a16:creationId xmlns:a16="http://schemas.microsoft.com/office/drawing/2014/main" id="{D27033CD-F7F3-6022-7409-76542679B4E0}"/>
            </a:ext>
          </a:extLst>
        </xdr:cNvPr>
        <xdr:cNvSpPr txBox="1">
          <a:spLocks noChangeArrowheads="1"/>
        </xdr:cNvSpPr>
      </xdr:nvSpPr>
      <xdr:spPr bwMode="auto">
        <a:xfrm>
          <a:off x="44894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19050</xdr:rowOff>
    </xdr:from>
    <xdr:to>
      <xdr:col>9</xdr:col>
      <xdr:colOff>609600</xdr:colOff>
      <xdr:row>98</xdr:row>
      <xdr:rowOff>0</xdr:rowOff>
    </xdr:to>
    <xdr:sp macro="" textlink="">
      <xdr:nvSpPr>
        <xdr:cNvPr id="422004" name="Text Box 116" hidden="1">
          <a:extLst>
            <a:ext uri="{FF2B5EF4-FFF2-40B4-BE49-F238E27FC236}">
              <a16:creationId xmlns:a16="http://schemas.microsoft.com/office/drawing/2014/main" id="{3CFBC6CF-C14A-6C56-AB0A-24C538262765}"/>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133350</xdr:rowOff>
    </xdr:from>
    <xdr:to>
      <xdr:col>9</xdr:col>
      <xdr:colOff>609600</xdr:colOff>
      <xdr:row>99</xdr:row>
      <xdr:rowOff>1681</xdr:rowOff>
    </xdr:to>
    <xdr:sp macro="" textlink="">
      <xdr:nvSpPr>
        <xdr:cNvPr id="422003" name="Text Box 115" hidden="1">
          <a:extLst>
            <a:ext uri="{FF2B5EF4-FFF2-40B4-BE49-F238E27FC236}">
              <a16:creationId xmlns:a16="http://schemas.microsoft.com/office/drawing/2014/main" id="{45A63817-3680-0F07-F7B5-7FB67FBB873F}"/>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323850</xdr:rowOff>
    </xdr:from>
    <xdr:to>
      <xdr:col>9</xdr:col>
      <xdr:colOff>609600</xdr:colOff>
      <xdr:row>98</xdr:row>
      <xdr:rowOff>76200</xdr:rowOff>
    </xdr:to>
    <xdr:sp macro="" textlink="">
      <xdr:nvSpPr>
        <xdr:cNvPr id="422002" name="Text Box 114" hidden="1">
          <a:extLst>
            <a:ext uri="{FF2B5EF4-FFF2-40B4-BE49-F238E27FC236}">
              <a16:creationId xmlns:a16="http://schemas.microsoft.com/office/drawing/2014/main" id="{7A81FB4A-D12E-CAC8-421B-273998067092}"/>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38100</xdr:rowOff>
    </xdr:from>
    <xdr:to>
      <xdr:col>9</xdr:col>
      <xdr:colOff>609600</xdr:colOff>
      <xdr:row>119</xdr:row>
      <xdr:rowOff>95250</xdr:rowOff>
    </xdr:to>
    <xdr:sp macro="" textlink="">
      <xdr:nvSpPr>
        <xdr:cNvPr id="422001" name="Text Box 113" hidden="1">
          <a:extLst>
            <a:ext uri="{FF2B5EF4-FFF2-40B4-BE49-F238E27FC236}">
              <a16:creationId xmlns:a16="http://schemas.microsoft.com/office/drawing/2014/main" id="{1F79D403-5336-F8D5-694E-8A4F260274F4}"/>
            </a:ext>
          </a:extLst>
        </xdr:cNvPr>
        <xdr:cNvSpPr txBox="1">
          <a:spLocks noChangeArrowheads="1"/>
        </xdr:cNvSpPr>
      </xdr:nvSpPr>
      <xdr:spPr bwMode="auto">
        <a:xfrm>
          <a:off x="44894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38100</xdr:rowOff>
    </xdr:from>
    <xdr:to>
      <xdr:col>9</xdr:col>
      <xdr:colOff>609600</xdr:colOff>
      <xdr:row>120</xdr:row>
      <xdr:rowOff>76200</xdr:rowOff>
    </xdr:to>
    <xdr:sp macro="" textlink="">
      <xdr:nvSpPr>
        <xdr:cNvPr id="422000" name="Text Box 112" hidden="1">
          <a:extLst>
            <a:ext uri="{FF2B5EF4-FFF2-40B4-BE49-F238E27FC236}">
              <a16:creationId xmlns:a16="http://schemas.microsoft.com/office/drawing/2014/main" id="{FC6A028E-18D1-4956-2F44-734EB8E1E455}"/>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76200</xdr:rowOff>
    </xdr:from>
    <xdr:to>
      <xdr:col>9</xdr:col>
      <xdr:colOff>609600</xdr:colOff>
      <xdr:row>121</xdr:row>
      <xdr:rowOff>76200</xdr:rowOff>
    </xdr:to>
    <xdr:sp macro="" textlink="">
      <xdr:nvSpPr>
        <xdr:cNvPr id="421999" name="Text Box 111" hidden="1">
          <a:extLst>
            <a:ext uri="{FF2B5EF4-FFF2-40B4-BE49-F238E27FC236}">
              <a16:creationId xmlns:a16="http://schemas.microsoft.com/office/drawing/2014/main" id="{6F417CD4-1151-C82D-E5CF-A05531741759}"/>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38100</xdr:rowOff>
    </xdr:from>
    <xdr:to>
      <xdr:col>9</xdr:col>
      <xdr:colOff>609600</xdr:colOff>
      <xdr:row>121</xdr:row>
      <xdr:rowOff>76200</xdr:rowOff>
    </xdr:to>
    <xdr:sp macro="" textlink="">
      <xdr:nvSpPr>
        <xdr:cNvPr id="421998" name="Text Box 110" hidden="1">
          <a:extLst>
            <a:ext uri="{FF2B5EF4-FFF2-40B4-BE49-F238E27FC236}">
              <a16:creationId xmlns:a16="http://schemas.microsoft.com/office/drawing/2014/main" id="{EF8AEECE-D119-8B34-F5A8-BEEDDDABCA19}"/>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125</xdr:row>
      <xdr:rowOff>19050</xdr:rowOff>
    </xdr:from>
    <xdr:to>
      <xdr:col>24</xdr:col>
      <xdr:colOff>438150</xdr:colOff>
      <xdr:row>145</xdr:row>
      <xdr:rowOff>0</xdr:rowOff>
    </xdr:to>
    <xdr:sp macro="" textlink="">
      <xdr:nvSpPr>
        <xdr:cNvPr id="421997" name="Text Box 109" hidden="1">
          <a:extLst>
            <a:ext uri="{FF2B5EF4-FFF2-40B4-BE49-F238E27FC236}">
              <a16:creationId xmlns:a16="http://schemas.microsoft.com/office/drawing/2014/main" id="{B2DCD1E0-961F-5932-EA0A-738688FBF9FA}"/>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14</xdr:row>
      <xdr:rowOff>95250</xdr:rowOff>
    </xdr:from>
    <xdr:to>
      <xdr:col>25</xdr:col>
      <xdr:colOff>609600</xdr:colOff>
      <xdr:row>34</xdr:row>
      <xdr:rowOff>76200</xdr:rowOff>
    </xdr:to>
    <xdr:sp macro="" textlink="">
      <xdr:nvSpPr>
        <xdr:cNvPr id="421996" name="Text Box 108" hidden="1">
          <a:extLst>
            <a:ext uri="{FF2B5EF4-FFF2-40B4-BE49-F238E27FC236}">
              <a16:creationId xmlns:a16="http://schemas.microsoft.com/office/drawing/2014/main" id="{97D2720C-3E0D-91AD-1A95-F417F6865660}"/>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95250</xdr:rowOff>
    </xdr:from>
    <xdr:to>
      <xdr:col>25</xdr:col>
      <xdr:colOff>609600</xdr:colOff>
      <xdr:row>43</xdr:row>
      <xdr:rowOff>76200</xdr:rowOff>
    </xdr:to>
    <xdr:sp macro="" textlink="">
      <xdr:nvSpPr>
        <xdr:cNvPr id="421995" name="Text Box 107" hidden="1">
          <a:extLst>
            <a:ext uri="{FF2B5EF4-FFF2-40B4-BE49-F238E27FC236}">
              <a16:creationId xmlns:a16="http://schemas.microsoft.com/office/drawing/2014/main" id="{392823E9-7C6D-3AA9-FB72-A3F42518AC71}"/>
            </a:ext>
          </a:extLst>
        </xdr:cNvPr>
        <xdr:cNvSpPr txBox="1">
          <a:spLocks noChangeArrowheads="1"/>
        </xdr:cNvSpPr>
      </xdr:nvSpPr>
      <xdr:spPr bwMode="auto">
        <a:xfrm>
          <a:off x="185229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129</xdr:row>
      <xdr:rowOff>38100</xdr:rowOff>
    </xdr:from>
    <xdr:to>
      <xdr:col>25</xdr:col>
      <xdr:colOff>609600</xdr:colOff>
      <xdr:row>149</xdr:row>
      <xdr:rowOff>19050</xdr:rowOff>
    </xdr:to>
    <xdr:sp macro="" textlink="">
      <xdr:nvSpPr>
        <xdr:cNvPr id="421994" name="Text Box 106" hidden="1">
          <a:extLst>
            <a:ext uri="{FF2B5EF4-FFF2-40B4-BE49-F238E27FC236}">
              <a16:creationId xmlns:a16="http://schemas.microsoft.com/office/drawing/2014/main" id="{6F0C22AE-42C3-2492-D96A-FED891F6079E}"/>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34</xdr:row>
      <xdr:rowOff>95250</xdr:rowOff>
    </xdr:from>
    <xdr:to>
      <xdr:col>16</xdr:col>
      <xdr:colOff>0</xdr:colOff>
      <xdr:row>54</xdr:row>
      <xdr:rowOff>76200</xdr:rowOff>
    </xdr:to>
    <xdr:sp macro="" textlink="">
      <xdr:nvSpPr>
        <xdr:cNvPr id="421993" name="Text Box 105" hidden="1">
          <a:extLst>
            <a:ext uri="{FF2B5EF4-FFF2-40B4-BE49-F238E27FC236}">
              <a16:creationId xmlns:a16="http://schemas.microsoft.com/office/drawing/2014/main" id="{553520C4-75BB-7E45-7AB8-FC6EEA8AFC7F}"/>
            </a:ext>
          </a:extLst>
        </xdr:cNvPr>
        <xdr:cNvSpPr txBox="1">
          <a:spLocks noChangeArrowheads="1"/>
        </xdr:cNvSpPr>
      </xdr:nvSpPr>
      <xdr:spPr bwMode="auto">
        <a:xfrm>
          <a:off x="101790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xdr:row>
      <xdr:rowOff>95250</xdr:rowOff>
    </xdr:from>
    <xdr:to>
      <xdr:col>28</xdr:col>
      <xdr:colOff>647700</xdr:colOff>
      <xdr:row>34</xdr:row>
      <xdr:rowOff>171450</xdr:rowOff>
    </xdr:to>
    <xdr:sp macro="" textlink="">
      <xdr:nvSpPr>
        <xdr:cNvPr id="421992" name="Text Box 104" hidden="1">
          <a:extLst>
            <a:ext uri="{FF2B5EF4-FFF2-40B4-BE49-F238E27FC236}">
              <a16:creationId xmlns:a16="http://schemas.microsoft.com/office/drawing/2014/main" id="{294262F2-4028-D980-3081-C9DCCF0C8BDF}"/>
            </a:ext>
          </a:extLst>
        </xdr:cNvPr>
        <xdr:cNvSpPr txBox="1">
          <a:spLocks noChangeArrowheads="1"/>
        </xdr:cNvSpPr>
      </xdr:nvSpPr>
      <xdr:spPr bwMode="auto">
        <a:xfrm>
          <a:off x="202184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95250</xdr:rowOff>
    </xdr:from>
    <xdr:to>
      <xdr:col>28</xdr:col>
      <xdr:colOff>647700</xdr:colOff>
      <xdr:row>43</xdr:row>
      <xdr:rowOff>152400</xdr:rowOff>
    </xdr:to>
    <xdr:sp macro="" textlink="">
      <xdr:nvSpPr>
        <xdr:cNvPr id="421991" name="Text Box 103" hidden="1">
          <a:extLst>
            <a:ext uri="{FF2B5EF4-FFF2-40B4-BE49-F238E27FC236}">
              <a16:creationId xmlns:a16="http://schemas.microsoft.com/office/drawing/2014/main" id="{0F160250-4CC7-6F83-086E-6A3F0ED5A7A2}"/>
            </a:ext>
          </a:extLst>
        </xdr:cNvPr>
        <xdr:cNvSpPr txBox="1">
          <a:spLocks noChangeArrowheads="1"/>
        </xdr:cNvSpPr>
      </xdr:nvSpPr>
      <xdr:spPr bwMode="auto">
        <a:xfrm>
          <a:off x="202184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129</xdr:row>
      <xdr:rowOff>38100</xdr:rowOff>
    </xdr:from>
    <xdr:to>
      <xdr:col>28</xdr:col>
      <xdr:colOff>647700</xdr:colOff>
      <xdr:row>149</xdr:row>
      <xdr:rowOff>95250</xdr:rowOff>
    </xdr:to>
    <xdr:sp macro="" textlink="">
      <xdr:nvSpPr>
        <xdr:cNvPr id="421990" name="Text Box 102" hidden="1">
          <a:extLst>
            <a:ext uri="{FF2B5EF4-FFF2-40B4-BE49-F238E27FC236}">
              <a16:creationId xmlns:a16="http://schemas.microsoft.com/office/drawing/2014/main" id="{0952B00B-A1E1-1E4F-EAA3-B24362A0B8EB}"/>
            </a:ext>
          </a:extLst>
        </xdr:cNvPr>
        <xdr:cNvSpPr txBox="1">
          <a:spLocks noChangeArrowheads="1"/>
        </xdr:cNvSpPr>
      </xdr:nvSpPr>
      <xdr:spPr bwMode="auto">
        <a:xfrm>
          <a:off x="202184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xdr:row>
      <xdr:rowOff>95250</xdr:rowOff>
    </xdr:from>
    <xdr:to>
      <xdr:col>29</xdr:col>
      <xdr:colOff>647700</xdr:colOff>
      <xdr:row>34</xdr:row>
      <xdr:rowOff>133350</xdr:rowOff>
    </xdr:to>
    <xdr:sp macro="" textlink="">
      <xdr:nvSpPr>
        <xdr:cNvPr id="421989" name="Text Box 101" hidden="1">
          <a:extLst>
            <a:ext uri="{FF2B5EF4-FFF2-40B4-BE49-F238E27FC236}">
              <a16:creationId xmlns:a16="http://schemas.microsoft.com/office/drawing/2014/main" id="{B707F059-3B12-C03C-A06D-4502E761CC07}"/>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95250</xdr:rowOff>
    </xdr:from>
    <xdr:to>
      <xdr:col>29</xdr:col>
      <xdr:colOff>647700</xdr:colOff>
      <xdr:row>43</xdr:row>
      <xdr:rowOff>95250</xdr:rowOff>
    </xdr:to>
    <xdr:sp macro="" textlink="">
      <xdr:nvSpPr>
        <xdr:cNvPr id="421988" name="Text Box 100" hidden="1">
          <a:extLst>
            <a:ext uri="{FF2B5EF4-FFF2-40B4-BE49-F238E27FC236}">
              <a16:creationId xmlns:a16="http://schemas.microsoft.com/office/drawing/2014/main" id="{1743C232-7A7F-CC9C-AA02-1718C1C28C3E}"/>
            </a:ext>
          </a:extLst>
        </xdr:cNvPr>
        <xdr:cNvSpPr txBox="1">
          <a:spLocks noChangeArrowheads="1"/>
        </xdr:cNvSpPr>
      </xdr:nvSpPr>
      <xdr:spPr bwMode="auto">
        <a:xfrm>
          <a:off x="209804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129</xdr:row>
      <xdr:rowOff>76200</xdr:rowOff>
    </xdr:from>
    <xdr:to>
      <xdr:col>29</xdr:col>
      <xdr:colOff>647700</xdr:colOff>
      <xdr:row>149</xdr:row>
      <xdr:rowOff>95250</xdr:rowOff>
    </xdr:to>
    <xdr:sp macro="" textlink="">
      <xdr:nvSpPr>
        <xdr:cNvPr id="421987" name="Text Box 99" hidden="1">
          <a:extLst>
            <a:ext uri="{FF2B5EF4-FFF2-40B4-BE49-F238E27FC236}">
              <a16:creationId xmlns:a16="http://schemas.microsoft.com/office/drawing/2014/main" id="{D9C4F73A-3DE2-00D6-D57E-12C948A5047A}"/>
            </a:ext>
          </a:extLst>
        </xdr:cNvPr>
        <xdr:cNvSpPr txBox="1">
          <a:spLocks noChangeArrowheads="1"/>
        </xdr:cNvSpPr>
      </xdr:nvSpPr>
      <xdr:spPr bwMode="auto">
        <a:xfrm>
          <a:off x="209804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58</xdr:row>
      <xdr:rowOff>76200</xdr:rowOff>
    </xdr:to>
    <xdr:sp macro="" textlink="">
      <xdr:nvSpPr>
        <xdr:cNvPr id="421986" name="Text Box 98" hidden="1">
          <a:extLst>
            <a:ext uri="{FF2B5EF4-FFF2-40B4-BE49-F238E27FC236}">
              <a16:creationId xmlns:a16="http://schemas.microsoft.com/office/drawing/2014/main" id="{5F31CEB3-2BCF-FA01-7F7A-0903DD344CD6}"/>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666750</xdr:colOff>
      <xdr:row>58</xdr:row>
      <xdr:rowOff>76200</xdr:rowOff>
    </xdr:to>
    <xdr:sp macro="" textlink="">
      <xdr:nvSpPr>
        <xdr:cNvPr id="421985" name="Text Box 97" hidden="1">
          <a:extLst>
            <a:ext uri="{FF2B5EF4-FFF2-40B4-BE49-F238E27FC236}">
              <a16:creationId xmlns:a16="http://schemas.microsoft.com/office/drawing/2014/main" id="{0853FB26-C2EB-9A42-C03F-6F8845B8657C}"/>
            </a:ext>
          </a:extLst>
        </xdr:cNvPr>
        <xdr:cNvSpPr txBox="1">
          <a:spLocks noChangeArrowheads="1"/>
        </xdr:cNvSpPr>
      </xdr:nvSpPr>
      <xdr:spPr bwMode="auto">
        <a:xfrm>
          <a:off x="113157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20</xdr:row>
      <xdr:rowOff>0</xdr:rowOff>
    </xdr:from>
    <xdr:to>
      <xdr:col>34</xdr:col>
      <xdr:colOff>647700</xdr:colOff>
      <xdr:row>40</xdr:row>
      <xdr:rowOff>0</xdr:rowOff>
    </xdr:to>
    <xdr:sp macro="" textlink="">
      <xdr:nvSpPr>
        <xdr:cNvPr id="421984" name="Text Box 96" hidden="1">
          <a:extLst>
            <a:ext uri="{FF2B5EF4-FFF2-40B4-BE49-F238E27FC236}">
              <a16:creationId xmlns:a16="http://schemas.microsoft.com/office/drawing/2014/main" id="{113A0FFE-769A-40E3-8ADF-5DD920C43FB4}"/>
            </a:ext>
          </a:extLst>
        </xdr:cNvPr>
        <xdr:cNvSpPr txBox="1">
          <a:spLocks noChangeArrowheads="1"/>
        </xdr:cNvSpPr>
      </xdr:nvSpPr>
      <xdr:spPr bwMode="auto">
        <a:xfrm>
          <a:off x="247904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56</xdr:row>
      <xdr:rowOff>0</xdr:rowOff>
    </xdr:from>
    <xdr:to>
      <xdr:col>18</xdr:col>
      <xdr:colOff>571500</xdr:colOff>
      <xdr:row>76</xdr:row>
      <xdr:rowOff>133350</xdr:rowOff>
    </xdr:to>
    <xdr:sp macro="" textlink="">
      <xdr:nvSpPr>
        <xdr:cNvPr id="421983" name="Text Box 95" hidden="1">
          <a:extLst>
            <a:ext uri="{FF2B5EF4-FFF2-40B4-BE49-F238E27FC236}">
              <a16:creationId xmlns:a16="http://schemas.microsoft.com/office/drawing/2014/main" id="{859AB873-21F5-80AE-D7C3-E996B357C79F}"/>
            </a:ext>
          </a:extLst>
        </xdr:cNvPr>
        <xdr:cNvSpPr txBox="1">
          <a:spLocks noChangeArrowheads="1"/>
        </xdr:cNvSpPr>
      </xdr:nvSpPr>
      <xdr:spPr bwMode="auto">
        <a:xfrm>
          <a:off x="121475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61</xdr:row>
      <xdr:rowOff>19050</xdr:rowOff>
    </xdr:from>
    <xdr:to>
      <xdr:col>18</xdr:col>
      <xdr:colOff>609600</xdr:colOff>
      <xdr:row>81</xdr:row>
      <xdr:rowOff>152400</xdr:rowOff>
    </xdr:to>
    <xdr:sp macro="" textlink="">
      <xdr:nvSpPr>
        <xdr:cNvPr id="421982" name="Text Box 94" hidden="1">
          <a:extLst>
            <a:ext uri="{FF2B5EF4-FFF2-40B4-BE49-F238E27FC236}">
              <a16:creationId xmlns:a16="http://schemas.microsoft.com/office/drawing/2014/main" id="{2AE98A12-F071-1D5F-95A4-8A1A59DF2ADC}"/>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58</xdr:row>
      <xdr:rowOff>76200</xdr:rowOff>
    </xdr:to>
    <xdr:sp macro="" textlink="">
      <xdr:nvSpPr>
        <xdr:cNvPr id="421981" name="Text Box 93" hidden="1">
          <a:extLst>
            <a:ext uri="{FF2B5EF4-FFF2-40B4-BE49-F238E27FC236}">
              <a16:creationId xmlns:a16="http://schemas.microsoft.com/office/drawing/2014/main" id="{EC3E4222-9FD4-A32E-95F6-D0370F12238D}"/>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xdr:row>
      <xdr:rowOff>95250</xdr:rowOff>
    </xdr:from>
    <xdr:to>
      <xdr:col>30</xdr:col>
      <xdr:colOff>666750</xdr:colOff>
      <xdr:row>34</xdr:row>
      <xdr:rowOff>152400</xdr:rowOff>
    </xdr:to>
    <xdr:sp macro="" textlink="">
      <xdr:nvSpPr>
        <xdr:cNvPr id="421980" name="Text Box 92" hidden="1">
          <a:extLst>
            <a:ext uri="{FF2B5EF4-FFF2-40B4-BE49-F238E27FC236}">
              <a16:creationId xmlns:a16="http://schemas.microsoft.com/office/drawing/2014/main" id="{49947C38-9876-3CCC-B999-63EE6E21EA6A}"/>
            </a:ext>
          </a:extLst>
        </xdr:cNvPr>
        <xdr:cNvSpPr txBox="1">
          <a:spLocks noChangeArrowheads="1"/>
        </xdr:cNvSpPr>
      </xdr:nvSpPr>
      <xdr:spPr bwMode="auto">
        <a:xfrm>
          <a:off x="217424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95250</xdr:rowOff>
    </xdr:from>
    <xdr:to>
      <xdr:col>30</xdr:col>
      <xdr:colOff>666750</xdr:colOff>
      <xdr:row>43</xdr:row>
      <xdr:rowOff>152400</xdr:rowOff>
    </xdr:to>
    <xdr:sp macro="" textlink="">
      <xdr:nvSpPr>
        <xdr:cNvPr id="421979" name="Text Box 91" hidden="1">
          <a:extLst>
            <a:ext uri="{FF2B5EF4-FFF2-40B4-BE49-F238E27FC236}">
              <a16:creationId xmlns:a16="http://schemas.microsoft.com/office/drawing/2014/main" id="{70AE9649-CD5B-0754-AABE-73B27B9F8224}"/>
            </a:ext>
          </a:extLst>
        </xdr:cNvPr>
        <xdr:cNvSpPr txBox="1">
          <a:spLocks noChangeArrowheads="1"/>
        </xdr:cNvSpPr>
      </xdr:nvSpPr>
      <xdr:spPr bwMode="auto">
        <a:xfrm>
          <a:off x="217424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131</xdr:row>
      <xdr:rowOff>133350</xdr:rowOff>
    </xdr:from>
    <xdr:to>
      <xdr:col>30</xdr:col>
      <xdr:colOff>666750</xdr:colOff>
      <xdr:row>151</xdr:row>
      <xdr:rowOff>171450</xdr:rowOff>
    </xdr:to>
    <xdr:sp macro="" textlink="">
      <xdr:nvSpPr>
        <xdr:cNvPr id="421978" name="Text Box 90" hidden="1">
          <a:extLst>
            <a:ext uri="{FF2B5EF4-FFF2-40B4-BE49-F238E27FC236}">
              <a16:creationId xmlns:a16="http://schemas.microsoft.com/office/drawing/2014/main" id="{8580CD7D-E54C-BD0A-E1A4-0B34A3038D6A}"/>
            </a:ext>
          </a:extLst>
        </xdr:cNvPr>
        <xdr:cNvSpPr txBox="1">
          <a:spLocks noChangeArrowheads="1"/>
        </xdr:cNvSpPr>
      </xdr:nvSpPr>
      <xdr:spPr bwMode="auto">
        <a:xfrm>
          <a:off x="217424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xdr:row>
      <xdr:rowOff>114300</xdr:rowOff>
    </xdr:from>
    <xdr:to>
      <xdr:col>31</xdr:col>
      <xdr:colOff>666750</xdr:colOff>
      <xdr:row>34</xdr:row>
      <xdr:rowOff>152400</xdr:rowOff>
    </xdr:to>
    <xdr:sp macro="" textlink="">
      <xdr:nvSpPr>
        <xdr:cNvPr id="421977" name="Text Box 89" hidden="1">
          <a:extLst>
            <a:ext uri="{FF2B5EF4-FFF2-40B4-BE49-F238E27FC236}">
              <a16:creationId xmlns:a16="http://schemas.microsoft.com/office/drawing/2014/main" id="{2FBF5CFA-F423-3792-7CF3-8E325AC92DC2}"/>
            </a:ext>
          </a:extLst>
        </xdr:cNvPr>
        <xdr:cNvSpPr txBox="1">
          <a:spLocks noChangeArrowheads="1"/>
        </xdr:cNvSpPr>
      </xdr:nvSpPr>
      <xdr:spPr bwMode="auto">
        <a:xfrm>
          <a:off x="225044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114300</xdr:rowOff>
    </xdr:from>
    <xdr:to>
      <xdr:col>31</xdr:col>
      <xdr:colOff>666750</xdr:colOff>
      <xdr:row>43</xdr:row>
      <xdr:rowOff>152400</xdr:rowOff>
    </xdr:to>
    <xdr:sp macro="" textlink="">
      <xdr:nvSpPr>
        <xdr:cNvPr id="421976" name="Text Box 88" hidden="1">
          <a:extLst>
            <a:ext uri="{FF2B5EF4-FFF2-40B4-BE49-F238E27FC236}">
              <a16:creationId xmlns:a16="http://schemas.microsoft.com/office/drawing/2014/main" id="{9CCF88A0-293A-F04A-1C45-E0517402963C}"/>
            </a:ext>
          </a:extLst>
        </xdr:cNvPr>
        <xdr:cNvSpPr txBox="1">
          <a:spLocks noChangeArrowheads="1"/>
        </xdr:cNvSpPr>
      </xdr:nvSpPr>
      <xdr:spPr bwMode="auto">
        <a:xfrm>
          <a:off x="225044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131</xdr:row>
      <xdr:rowOff>133350</xdr:rowOff>
    </xdr:from>
    <xdr:to>
      <xdr:col>31</xdr:col>
      <xdr:colOff>666750</xdr:colOff>
      <xdr:row>151</xdr:row>
      <xdr:rowOff>171450</xdr:rowOff>
    </xdr:to>
    <xdr:sp macro="" textlink="">
      <xdr:nvSpPr>
        <xdr:cNvPr id="421975" name="Text Box 87" hidden="1">
          <a:extLst>
            <a:ext uri="{FF2B5EF4-FFF2-40B4-BE49-F238E27FC236}">
              <a16:creationId xmlns:a16="http://schemas.microsoft.com/office/drawing/2014/main" id="{839C68DF-246C-DAE7-F115-4A3F7F161AB2}"/>
            </a:ext>
          </a:extLst>
        </xdr:cNvPr>
        <xdr:cNvSpPr txBox="1">
          <a:spLocks noChangeArrowheads="1"/>
        </xdr:cNvSpPr>
      </xdr:nvSpPr>
      <xdr:spPr bwMode="auto">
        <a:xfrm>
          <a:off x="225044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14</xdr:row>
      <xdr:rowOff>95250</xdr:rowOff>
    </xdr:from>
    <xdr:to>
      <xdr:col>32</xdr:col>
      <xdr:colOff>57150</xdr:colOff>
      <xdr:row>34</xdr:row>
      <xdr:rowOff>95250</xdr:rowOff>
    </xdr:to>
    <xdr:sp macro="" textlink="">
      <xdr:nvSpPr>
        <xdr:cNvPr id="421974" name="Text Box 86" hidden="1">
          <a:extLst>
            <a:ext uri="{FF2B5EF4-FFF2-40B4-BE49-F238E27FC236}">
              <a16:creationId xmlns:a16="http://schemas.microsoft.com/office/drawing/2014/main" id="{47C834C3-F46A-D8C1-F965-6C462EE9C518}"/>
            </a:ext>
          </a:extLst>
        </xdr:cNvPr>
        <xdr:cNvSpPr txBox="1">
          <a:spLocks noChangeArrowheads="1"/>
        </xdr:cNvSpPr>
      </xdr:nvSpPr>
      <xdr:spPr bwMode="auto">
        <a:xfrm>
          <a:off x="233045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23</xdr:row>
      <xdr:rowOff>95250</xdr:rowOff>
    </xdr:from>
    <xdr:to>
      <xdr:col>32</xdr:col>
      <xdr:colOff>57150</xdr:colOff>
      <xdr:row>43</xdr:row>
      <xdr:rowOff>114300</xdr:rowOff>
    </xdr:to>
    <xdr:sp macro="" textlink="">
      <xdr:nvSpPr>
        <xdr:cNvPr id="421973" name="Text Box 85" hidden="1">
          <a:extLst>
            <a:ext uri="{FF2B5EF4-FFF2-40B4-BE49-F238E27FC236}">
              <a16:creationId xmlns:a16="http://schemas.microsoft.com/office/drawing/2014/main" id="{F9CD1A89-E6C7-4E0A-76D5-97FB347AB785}"/>
            </a:ext>
          </a:extLst>
        </xdr:cNvPr>
        <xdr:cNvSpPr txBox="1">
          <a:spLocks noChangeArrowheads="1"/>
        </xdr:cNvSpPr>
      </xdr:nvSpPr>
      <xdr:spPr bwMode="auto">
        <a:xfrm>
          <a:off x="233045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8</xdr:row>
      <xdr:rowOff>76200</xdr:rowOff>
    </xdr:from>
    <xdr:to>
      <xdr:col>42</xdr:col>
      <xdr:colOff>57150</xdr:colOff>
      <xdr:row>28</xdr:row>
      <xdr:rowOff>95250</xdr:rowOff>
    </xdr:to>
    <xdr:sp macro="" textlink="">
      <xdr:nvSpPr>
        <xdr:cNvPr id="421972" name="Text Box 84" hidden="1">
          <a:extLst>
            <a:ext uri="{FF2B5EF4-FFF2-40B4-BE49-F238E27FC236}">
              <a16:creationId xmlns:a16="http://schemas.microsoft.com/office/drawing/2014/main" id="{F5A6BDA8-8775-A1D8-0A93-3E4EB6D518D2}"/>
            </a:ext>
          </a:extLst>
        </xdr:cNvPr>
        <xdr:cNvSpPr txBox="1">
          <a:spLocks noChangeArrowheads="1"/>
        </xdr:cNvSpPr>
      </xdr:nvSpPr>
      <xdr:spPr bwMode="auto">
        <a:xfrm>
          <a:off x="314071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131</xdr:row>
      <xdr:rowOff>95250</xdr:rowOff>
    </xdr:from>
    <xdr:to>
      <xdr:col>32</xdr:col>
      <xdr:colOff>666750</xdr:colOff>
      <xdr:row>151</xdr:row>
      <xdr:rowOff>0</xdr:rowOff>
    </xdr:to>
    <xdr:sp macro="" textlink="">
      <xdr:nvSpPr>
        <xdr:cNvPr id="421971" name="Text Box 83" hidden="1">
          <a:extLst>
            <a:ext uri="{FF2B5EF4-FFF2-40B4-BE49-F238E27FC236}">
              <a16:creationId xmlns:a16="http://schemas.microsoft.com/office/drawing/2014/main" id="{E588C019-FC24-591F-6BCB-DB0D5947DA07}"/>
            </a:ext>
          </a:extLst>
        </xdr:cNvPr>
        <xdr:cNvSpPr txBox="1">
          <a:spLocks noChangeArrowheads="1"/>
        </xdr:cNvSpPr>
      </xdr:nvSpPr>
      <xdr:spPr bwMode="auto">
        <a:xfrm>
          <a:off x="232664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152400</xdr:rowOff>
    </xdr:to>
    <xdr:sp macro="" textlink="">
      <xdr:nvSpPr>
        <xdr:cNvPr id="422052" name="Text Box 164" hidden="1">
          <a:extLst>
            <a:ext uri="{FF2B5EF4-FFF2-40B4-BE49-F238E27FC236}">
              <a16:creationId xmlns:a16="http://schemas.microsoft.com/office/drawing/2014/main" id="{1516513D-E24B-6281-A6FE-4C5EE19FD22C}"/>
            </a:ext>
          </a:extLst>
        </xdr:cNvPr>
        <xdr:cNvSpPr txBox="1">
          <a:spLocks noChangeArrowheads="1"/>
        </xdr:cNvSpPr>
      </xdr:nvSpPr>
      <xdr:spPr bwMode="auto">
        <a:xfrm>
          <a:off x="153416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0</xdr:rowOff>
    </xdr:from>
    <xdr:to>
      <xdr:col>9</xdr:col>
      <xdr:colOff>609600</xdr:colOff>
      <xdr:row>76</xdr:row>
      <xdr:rowOff>133350</xdr:rowOff>
    </xdr:to>
    <xdr:sp macro="" textlink="">
      <xdr:nvSpPr>
        <xdr:cNvPr id="422051" name="Text Box 163" hidden="1">
          <a:extLst>
            <a:ext uri="{FF2B5EF4-FFF2-40B4-BE49-F238E27FC236}">
              <a16:creationId xmlns:a16="http://schemas.microsoft.com/office/drawing/2014/main" id="{9C20B9BF-68EF-7C45-69D0-9675CE0B5599}"/>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57</xdr:row>
      <xdr:rowOff>0</xdr:rowOff>
    </xdr:from>
    <xdr:to>
      <xdr:col>9</xdr:col>
      <xdr:colOff>628650</xdr:colOff>
      <xdr:row>77</xdr:row>
      <xdr:rowOff>0</xdr:rowOff>
    </xdr:to>
    <xdr:sp macro="" textlink="">
      <xdr:nvSpPr>
        <xdr:cNvPr id="422050" name="Text Box 162" hidden="1">
          <a:extLst>
            <a:ext uri="{FF2B5EF4-FFF2-40B4-BE49-F238E27FC236}">
              <a16:creationId xmlns:a16="http://schemas.microsoft.com/office/drawing/2014/main" id="{319A223B-499C-1A2B-D643-73F1D49D2541}"/>
            </a:ext>
          </a:extLst>
        </xdr:cNvPr>
        <xdr:cNvSpPr txBox="1">
          <a:spLocks noChangeArrowheads="1"/>
        </xdr:cNvSpPr>
      </xdr:nvSpPr>
      <xdr:spPr bwMode="auto">
        <a:xfrm>
          <a:off x="45085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049" name="Text Box 161" hidden="1">
          <a:extLst>
            <a:ext uri="{FF2B5EF4-FFF2-40B4-BE49-F238E27FC236}">
              <a16:creationId xmlns:a16="http://schemas.microsoft.com/office/drawing/2014/main" id="{A1F7B988-4E68-1B11-B49B-39F93D8D0E20}"/>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048" name="Text Box 160" hidden="1">
          <a:extLst>
            <a:ext uri="{FF2B5EF4-FFF2-40B4-BE49-F238E27FC236}">
              <a16:creationId xmlns:a16="http://schemas.microsoft.com/office/drawing/2014/main" id="{9F73FE48-B962-74A9-5913-1924CEA4C4F9}"/>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76200</xdr:rowOff>
    </xdr:from>
    <xdr:to>
      <xdr:col>9</xdr:col>
      <xdr:colOff>609600</xdr:colOff>
      <xdr:row>81</xdr:row>
      <xdr:rowOff>76200</xdr:rowOff>
    </xdr:to>
    <xdr:sp macro="" textlink="">
      <xdr:nvSpPr>
        <xdr:cNvPr id="422047" name="Text Box 159" hidden="1">
          <a:extLst>
            <a:ext uri="{FF2B5EF4-FFF2-40B4-BE49-F238E27FC236}">
              <a16:creationId xmlns:a16="http://schemas.microsoft.com/office/drawing/2014/main" id="{BBC7528C-4284-ECCE-6593-2DBA5AC04272}"/>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95250</xdr:rowOff>
    </xdr:from>
    <xdr:to>
      <xdr:col>9</xdr:col>
      <xdr:colOff>609600</xdr:colOff>
      <xdr:row>97</xdr:row>
      <xdr:rowOff>152400</xdr:rowOff>
    </xdr:to>
    <xdr:sp macro="" textlink="">
      <xdr:nvSpPr>
        <xdr:cNvPr id="422046" name="Text Box 158" hidden="1">
          <a:extLst>
            <a:ext uri="{FF2B5EF4-FFF2-40B4-BE49-F238E27FC236}">
              <a16:creationId xmlns:a16="http://schemas.microsoft.com/office/drawing/2014/main" id="{EE1AE553-D75A-B8AC-6CEA-3C5927F7519A}"/>
            </a:ext>
          </a:extLst>
        </xdr:cNvPr>
        <xdr:cNvSpPr txBox="1">
          <a:spLocks noChangeArrowheads="1"/>
        </xdr:cNvSpPr>
      </xdr:nvSpPr>
      <xdr:spPr bwMode="auto">
        <a:xfrm>
          <a:off x="44894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19050</xdr:rowOff>
    </xdr:from>
    <xdr:to>
      <xdr:col>9</xdr:col>
      <xdr:colOff>609600</xdr:colOff>
      <xdr:row>98</xdr:row>
      <xdr:rowOff>0</xdr:rowOff>
    </xdr:to>
    <xdr:sp macro="" textlink="">
      <xdr:nvSpPr>
        <xdr:cNvPr id="422045" name="Text Box 157" hidden="1">
          <a:extLst>
            <a:ext uri="{FF2B5EF4-FFF2-40B4-BE49-F238E27FC236}">
              <a16:creationId xmlns:a16="http://schemas.microsoft.com/office/drawing/2014/main" id="{7B28768E-8750-5975-75E6-62ADF33AA6D9}"/>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133350</xdr:rowOff>
    </xdr:from>
    <xdr:to>
      <xdr:col>9</xdr:col>
      <xdr:colOff>609600</xdr:colOff>
      <xdr:row>99</xdr:row>
      <xdr:rowOff>1681</xdr:rowOff>
    </xdr:to>
    <xdr:sp macro="" textlink="">
      <xdr:nvSpPr>
        <xdr:cNvPr id="422044" name="Text Box 156" hidden="1">
          <a:extLst>
            <a:ext uri="{FF2B5EF4-FFF2-40B4-BE49-F238E27FC236}">
              <a16:creationId xmlns:a16="http://schemas.microsoft.com/office/drawing/2014/main" id="{ED3A9E9D-9F8E-9A13-0C6B-23516F68562D}"/>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323850</xdr:rowOff>
    </xdr:from>
    <xdr:to>
      <xdr:col>9</xdr:col>
      <xdr:colOff>609600</xdr:colOff>
      <xdr:row>98</xdr:row>
      <xdr:rowOff>76200</xdr:rowOff>
    </xdr:to>
    <xdr:sp macro="" textlink="">
      <xdr:nvSpPr>
        <xdr:cNvPr id="422043" name="Text Box 155" hidden="1">
          <a:extLst>
            <a:ext uri="{FF2B5EF4-FFF2-40B4-BE49-F238E27FC236}">
              <a16:creationId xmlns:a16="http://schemas.microsoft.com/office/drawing/2014/main" id="{09F28DFE-ED30-AAC8-3358-F5C9FBDF9E98}"/>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38100</xdr:rowOff>
    </xdr:from>
    <xdr:to>
      <xdr:col>9</xdr:col>
      <xdr:colOff>609600</xdr:colOff>
      <xdr:row>119</xdr:row>
      <xdr:rowOff>95250</xdr:rowOff>
    </xdr:to>
    <xdr:sp macro="" textlink="">
      <xdr:nvSpPr>
        <xdr:cNvPr id="422042" name="Text Box 154" hidden="1">
          <a:extLst>
            <a:ext uri="{FF2B5EF4-FFF2-40B4-BE49-F238E27FC236}">
              <a16:creationId xmlns:a16="http://schemas.microsoft.com/office/drawing/2014/main" id="{195172EA-0FBE-D47E-2BFA-43B5B6831A8F}"/>
            </a:ext>
          </a:extLst>
        </xdr:cNvPr>
        <xdr:cNvSpPr txBox="1">
          <a:spLocks noChangeArrowheads="1"/>
        </xdr:cNvSpPr>
      </xdr:nvSpPr>
      <xdr:spPr bwMode="auto">
        <a:xfrm>
          <a:off x="44894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38100</xdr:rowOff>
    </xdr:from>
    <xdr:to>
      <xdr:col>9</xdr:col>
      <xdr:colOff>609600</xdr:colOff>
      <xdr:row>120</xdr:row>
      <xdr:rowOff>76200</xdr:rowOff>
    </xdr:to>
    <xdr:sp macro="" textlink="">
      <xdr:nvSpPr>
        <xdr:cNvPr id="422041" name="Text Box 153" hidden="1">
          <a:extLst>
            <a:ext uri="{FF2B5EF4-FFF2-40B4-BE49-F238E27FC236}">
              <a16:creationId xmlns:a16="http://schemas.microsoft.com/office/drawing/2014/main" id="{D2802E7E-4FCB-D994-F1AF-CCB3F4918907}"/>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76200</xdr:rowOff>
    </xdr:from>
    <xdr:to>
      <xdr:col>9</xdr:col>
      <xdr:colOff>609600</xdr:colOff>
      <xdr:row>121</xdr:row>
      <xdr:rowOff>76200</xdr:rowOff>
    </xdr:to>
    <xdr:sp macro="" textlink="">
      <xdr:nvSpPr>
        <xdr:cNvPr id="422040" name="Text Box 152" hidden="1">
          <a:extLst>
            <a:ext uri="{FF2B5EF4-FFF2-40B4-BE49-F238E27FC236}">
              <a16:creationId xmlns:a16="http://schemas.microsoft.com/office/drawing/2014/main" id="{D37CDEF6-87A3-11EE-8801-6D7BD8598215}"/>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38100</xdr:rowOff>
    </xdr:from>
    <xdr:to>
      <xdr:col>9</xdr:col>
      <xdr:colOff>609600</xdr:colOff>
      <xdr:row>121</xdr:row>
      <xdr:rowOff>76200</xdr:rowOff>
    </xdr:to>
    <xdr:sp macro="" textlink="">
      <xdr:nvSpPr>
        <xdr:cNvPr id="422039" name="Text Box 151" hidden="1">
          <a:extLst>
            <a:ext uri="{FF2B5EF4-FFF2-40B4-BE49-F238E27FC236}">
              <a16:creationId xmlns:a16="http://schemas.microsoft.com/office/drawing/2014/main" id="{83B691D1-878C-DAFF-F2C5-21A60F14C205}"/>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125</xdr:row>
      <xdr:rowOff>19050</xdr:rowOff>
    </xdr:from>
    <xdr:to>
      <xdr:col>24</xdr:col>
      <xdr:colOff>438150</xdr:colOff>
      <xdr:row>145</xdr:row>
      <xdr:rowOff>0</xdr:rowOff>
    </xdr:to>
    <xdr:sp macro="" textlink="">
      <xdr:nvSpPr>
        <xdr:cNvPr id="422038" name="Text Box 150" hidden="1">
          <a:extLst>
            <a:ext uri="{FF2B5EF4-FFF2-40B4-BE49-F238E27FC236}">
              <a16:creationId xmlns:a16="http://schemas.microsoft.com/office/drawing/2014/main" id="{578B9578-4044-000E-89F8-908B05293513}"/>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14</xdr:row>
      <xdr:rowOff>95250</xdr:rowOff>
    </xdr:from>
    <xdr:to>
      <xdr:col>25</xdr:col>
      <xdr:colOff>609600</xdr:colOff>
      <xdr:row>34</xdr:row>
      <xdr:rowOff>76200</xdr:rowOff>
    </xdr:to>
    <xdr:sp macro="" textlink="">
      <xdr:nvSpPr>
        <xdr:cNvPr id="422037" name="Text Box 149" hidden="1">
          <a:extLst>
            <a:ext uri="{FF2B5EF4-FFF2-40B4-BE49-F238E27FC236}">
              <a16:creationId xmlns:a16="http://schemas.microsoft.com/office/drawing/2014/main" id="{403B3351-EEDD-B910-76D0-4848BF38A6A8}"/>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95250</xdr:rowOff>
    </xdr:from>
    <xdr:to>
      <xdr:col>25</xdr:col>
      <xdr:colOff>609600</xdr:colOff>
      <xdr:row>43</xdr:row>
      <xdr:rowOff>76200</xdr:rowOff>
    </xdr:to>
    <xdr:sp macro="" textlink="">
      <xdr:nvSpPr>
        <xdr:cNvPr id="422036" name="Text Box 148" hidden="1">
          <a:extLst>
            <a:ext uri="{FF2B5EF4-FFF2-40B4-BE49-F238E27FC236}">
              <a16:creationId xmlns:a16="http://schemas.microsoft.com/office/drawing/2014/main" id="{9A47E2E6-CA85-FE2A-4826-B97F4F90EA17}"/>
            </a:ext>
          </a:extLst>
        </xdr:cNvPr>
        <xdr:cNvSpPr txBox="1">
          <a:spLocks noChangeArrowheads="1"/>
        </xdr:cNvSpPr>
      </xdr:nvSpPr>
      <xdr:spPr bwMode="auto">
        <a:xfrm>
          <a:off x="185229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129</xdr:row>
      <xdr:rowOff>38100</xdr:rowOff>
    </xdr:from>
    <xdr:to>
      <xdr:col>25</xdr:col>
      <xdr:colOff>609600</xdr:colOff>
      <xdr:row>149</xdr:row>
      <xdr:rowOff>19050</xdr:rowOff>
    </xdr:to>
    <xdr:sp macro="" textlink="">
      <xdr:nvSpPr>
        <xdr:cNvPr id="422035" name="Text Box 147" hidden="1">
          <a:extLst>
            <a:ext uri="{FF2B5EF4-FFF2-40B4-BE49-F238E27FC236}">
              <a16:creationId xmlns:a16="http://schemas.microsoft.com/office/drawing/2014/main" id="{082989C6-F6A3-D40B-C108-BFF926B46E6B}"/>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34</xdr:row>
      <xdr:rowOff>95250</xdr:rowOff>
    </xdr:from>
    <xdr:to>
      <xdr:col>16</xdr:col>
      <xdr:colOff>0</xdr:colOff>
      <xdr:row>54</xdr:row>
      <xdr:rowOff>76200</xdr:rowOff>
    </xdr:to>
    <xdr:sp macro="" textlink="">
      <xdr:nvSpPr>
        <xdr:cNvPr id="422034" name="Text Box 146" hidden="1">
          <a:extLst>
            <a:ext uri="{FF2B5EF4-FFF2-40B4-BE49-F238E27FC236}">
              <a16:creationId xmlns:a16="http://schemas.microsoft.com/office/drawing/2014/main" id="{4352A1C8-3690-E761-385B-8E8A8AF94FFA}"/>
            </a:ext>
          </a:extLst>
        </xdr:cNvPr>
        <xdr:cNvSpPr txBox="1">
          <a:spLocks noChangeArrowheads="1"/>
        </xdr:cNvSpPr>
      </xdr:nvSpPr>
      <xdr:spPr bwMode="auto">
        <a:xfrm>
          <a:off x="101790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xdr:row>
      <xdr:rowOff>95250</xdr:rowOff>
    </xdr:from>
    <xdr:to>
      <xdr:col>28</xdr:col>
      <xdr:colOff>647700</xdr:colOff>
      <xdr:row>34</xdr:row>
      <xdr:rowOff>171450</xdr:rowOff>
    </xdr:to>
    <xdr:sp macro="" textlink="">
      <xdr:nvSpPr>
        <xdr:cNvPr id="422033" name="Text Box 145" hidden="1">
          <a:extLst>
            <a:ext uri="{FF2B5EF4-FFF2-40B4-BE49-F238E27FC236}">
              <a16:creationId xmlns:a16="http://schemas.microsoft.com/office/drawing/2014/main" id="{080EBACF-A027-5287-8E55-926660CDEE2F}"/>
            </a:ext>
          </a:extLst>
        </xdr:cNvPr>
        <xdr:cNvSpPr txBox="1">
          <a:spLocks noChangeArrowheads="1"/>
        </xdr:cNvSpPr>
      </xdr:nvSpPr>
      <xdr:spPr bwMode="auto">
        <a:xfrm>
          <a:off x="202184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95250</xdr:rowOff>
    </xdr:from>
    <xdr:to>
      <xdr:col>28</xdr:col>
      <xdr:colOff>647700</xdr:colOff>
      <xdr:row>43</xdr:row>
      <xdr:rowOff>152400</xdr:rowOff>
    </xdr:to>
    <xdr:sp macro="" textlink="">
      <xdr:nvSpPr>
        <xdr:cNvPr id="422032" name="Text Box 144" hidden="1">
          <a:extLst>
            <a:ext uri="{FF2B5EF4-FFF2-40B4-BE49-F238E27FC236}">
              <a16:creationId xmlns:a16="http://schemas.microsoft.com/office/drawing/2014/main" id="{D4A36E0B-D16D-C26D-715F-34111604E2D5}"/>
            </a:ext>
          </a:extLst>
        </xdr:cNvPr>
        <xdr:cNvSpPr txBox="1">
          <a:spLocks noChangeArrowheads="1"/>
        </xdr:cNvSpPr>
      </xdr:nvSpPr>
      <xdr:spPr bwMode="auto">
        <a:xfrm>
          <a:off x="202184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129</xdr:row>
      <xdr:rowOff>38100</xdr:rowOff>
    </xdr:from>
    <xdr:to>
      <xdr:col>28</xdr:col>
      <xdr:colOff>647700</xdr:colOff>
      <xdr:row>149</xdr:row>
      <xdr:rowOff>95250</xdr:rowOff>
    </xdr:to>
    <xdr:sp macro="" textlink="">
      <xdr:nvSpPr>
        <xdr:cNvPr id="422031" name="Text Box 143" hidden="1">
          <a:extLst>
            <a:ext uri="{FF2B5EF4-FFF2-40B4-BE49-F238E27FC236}">
              <a16:creationId xmlns:a16="http://schemas.microsoft.com/office/drawing/2014/main" id="{F4611685-47FE-12F5-1C89-295849974841}"/>
            </a:ext>
          </a:extLst>
        </xdr:cNvPr>
        <xdr:cNvSpPr txBox="1">
          <a:spLocks noChangeArrowheads="1"/>
        </xdr:cNvSpPr>
      </xdr:nvSpPr>
      <xdr:spPr bwMode="auto">
        <a:xfrm>
          <a:off x="202184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xdr:row>
      <xdr:rowOff>95250</xdr:rowOff>
    </xdr:from>
    <xdr:to>
      <xdr:col>29</xdr:col>
      <xdr:colOff>647700</xdr:colOff>
      <xdr:row>34</xdr:row>
      <xdr:rowOff>133350</xdr:rowOff>
    </xdr:to>
    <xdr:sp macro="" textlink="">
      <xdr:nvSpPr>
        <xdr:cNvPr id="422030" name="Text Box 142" hidden="1">
          <a:extLst>
            <a:ext uri="{FF2B5EF4-FFF2-40B4-BE49-F238E27FC236}">
              <a16:creationId xmlns:a16="http://schemas.microsoft.com/office/drawing/2014/main" id="{BE36CA23-6326-41AF-0396-314363BDE1C9}"/>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95250</xdr:rowOff>
    </xdr:from>
    <xdr:to>
      <xdr:col>29</xdr:col>
      <xdr:colOff>647700</xdr:colOff>
      <xdr:row>43</xdr:row>
      <xdr:rowOff>95250</xdr:rowOff>
    </xdr:to>
    <xdr:sp macro="" textlink="">
      <xdr:nvSpPr>
        <xdr:cNvPr id="422029" name="Text Box 141" hidden="1">
          <a:extLst>
            <a:ext uri="{FF2B5EF4-FFF2-40B4-BE49-F238E27FC236}">
              <a16:creationId xmlns:a16="http://schemas.microsoft.com/office/drawing/2014/main" id="{A3EC5905-639F-4F9F-BEEB-56B7E4727E2E}"/>
            </a:ext>
          </a:extLst>
        </xdr:cNvPr>
        <xdr:cNvSpPr txBox="1">
          <a:spLocks noChangeArrowheads="1"/>
        </xdr:cNvSpPr>
      </xdr:nvSpPr>
      <xdr:spPr bwMode="auto">
        <a:xfrm>
          <a:off x="209804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129</xdr:row>
      <xdr:rowOff>76200</xdr:rowOff>
    </xdr:from>
    <xdr:to>
      <xdr:col>29</xdr:col>
      <xdr:colOff>647700</xdr:colOff>
      <xdr:row>149</xdr:row>
      <xdr:rowOff>95250</xdr:rowOff>
    </xdr:to>
    <xdr:sp macro="" textlink="">
      <xdr:nvSpPr>
        <xdr:cNvPr id="422028" name="Text Box 140" hidden="1">
          <a:extLst>
            <a:ext uri="{FF2B5EF4-FFF2-40B4-BE49-F238E27FC236}">
              <a16:creationId xmlns:a16="http://schemas.microsoft.com/office/drawing/2014/main" id="{007F63CA-9E32-4D8C-7A1E-C9F62798B894}"/>
            </a:ext>
          </a:extLst>
        </xdr:cNvPr>
        <xdr:cNvSpPr txBox="1">
          <a:spLocks noChangeArrowheads="1"/>
        </xdr:cNvSpPr>
      </xdr:nvSpPr>
      <xdr:spPr bwMode="auto">
        <a:xfrm>
          <a:off x="209804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58</xdr:row>
      <xdr:rowOff>76200</xdr:rowOff>
    </xdr:to>
    <xdr:sp macro="" textlink="">
      <xdr:nvSpPr>
        <xdr:cNvPr id="422027" name="Text Box 139" hidden="1">
          <a:extLst>
            <a:ext uri="{FF2B5EF4-FFF2-40B4-BE49-F238E27FC236}">
              <a16:creationId xmlns:a16="http://schemas.microsoft.com/office/drawing/2014/main" id="{5C18AA14-5DC2-6254-A129-8725984A84D5}"/>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666750</xdr:colOff>
      <xdr:row>58</xdr:row>
      <xdr:rowOff>76200</xdr:rowOff>
    </xdr:to>
    <xdr:sp macro="" textlink="">
      <xdr:nvSpPr>
        <xdr:cNvPr id="422026" name="Text Box 138" hidden="1">
          <a:extLst>
            <a:ext uri="{FF2B5EF4-FFF2-40B4-BE49-F238E27FC236}">
              <a16:creationId xmlns:a16="http://schemas.microsoft.com/office/drawing/2014/main" id="{B77CF6BB-F87B-0CF1-9620-8A9325198769}"/>
            </a:ext>
          </a:extLst>
        </xdr:cNvPr>
        <xdr:cNvSpPr txBox="1">
          <a:spLocks noChangeArrowheads="1"/>
        </xdr:cNvSpPr>
      </xdr:nvSpPr>
      <xdr:spPr bwMode="auto">
        <a:xfrm>
          <a:off x="113157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20</xdr:row>
      <xdr:rowOff>0</xdr:rowOff>
    </xdr:from>
    <xdr:to>
      <xdr:col>34</xdr:col>
      <xdr:colOff>647700</xdr:colOff>
      <xdr:row>40</xdr:row>
      <xdr:rowOff>0</xdr:rowOff>
    </xdr:to>
    <xdr:sp macro="" textlink="">
      <xdr:nvSpPr>
        <xdr:cNvPr id="422025" name="Text Box 137" hidden="1">
          <a:extLst>
            <a:ext uri="{FF2B5EF4-FFF2-40B4-BE49-F238E27FC236}">
              <a16:creationId xmlns:a16="http://schemas.microsoft.com/office/drawing/2014/main" id="{F345B6C3-B572-48C0-1A90-EFEDC6B465AE}"/>
            </a:ext>
          </a:extLst>
        </xdr:cNvPr>
        <xdr:cNvSpPr txBox="1">
          <a:spLocks noChangeArrowheads="1"/>
        </xdr:cNvSpPr>
      </xdr:nvSpPr>
      <xdr:spPr bwMode="auto">
        <a:xfrm>
          <a:off x="247904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56</xdr:row>
      <xdr:rowOff>0</xdr:rowOff>
    </xdr:from>
    <xdr:to>
      <xdr:col>18</xdr:col>
      <xdr:colOff>571500</xdr:colOff>
      <xdr:row>76</xdr:row>
      <xdr:rowOff>133350</xdr:rowOff>
    </xdr:to>
    <xdr:sp macro="" textlink="">
      <xdr:nvSpPr>
        <xdr:cNvPr id="422024" name="Text Box 136" hidden="1">
          <a:extLst>
            <a:ext uri="{FF2B5EF4-FFF2-40B4-BE49-F238E27FC236}">
              <a16:creationId xmlns:a16="http://schemas.microsoft.com/office/drawing/2014/main" id="{928E01D1-8F19-520C-6502-F7B072E59AED}"/>
            </a:ext>
          </a:extLst>
        </xdr:cNvPr>
        <xdr:cNvSpPr txBox="1">
          <a:spLocks noChangeArrowheads="1"/>
        </xdr:cNvSpPr>
      </xdr:nvSpPr>
      <xdr:spPr bwMode="auto">
        <a:xfrm>
          <a:off x="121475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61</xdr:row>
      <xdr:rowOff>19050</xdr:rowOff>
    </xdr:from>
    <xdr:to>
      <xdr:col>18</xdr:col>
      <xdr:colOff>609600</xdr:colOff>
      <xdr:row>81</xdr:row>
      <xdr:rowOff>152400</xdr:rowOff>
    </xdr:to>
    <xdr:sp macro="" textlink="">
      <xdr:nvSpPr>
        <xdr:cNvPr id="422023" name="Text Box 135" hidden="1">
          <a:extLst>
            <a:ext uri="{FF2B5EF4-FFF2-40B4-BE49-F238E27FC236}">
              <a16:creationId xmlns:a16="http://schemas.microsoft.com/office/drawing/2014/main" id="{C0CCC940-CE18-F2EA-919C-DCD3B549E241}"/>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58</xdr:row>
      <xdr:rowOff>76200</xdr:rowOff>
    </xdr:to>
    <xdr:sp macro="" textlink="">
      <xdr:nvSpPr>
        <xdr:cNvPr id="422022" name="Text Box 134" hidden="1">
          <a:extLst>
            <a:ext uri="{FF2B5EF4-FFF2-40B4-BE49-F238E27FC236}">
              <a16:creationId xmlns:a16="http://schemas.microsoft.com/office/drawing/2014/main" id="{6A0771DF-601F-6198-74E6-A3391B744103}"/>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xdr:row>
      <xdr:rowOff>95250</xdr:rowOff>
    </xdr:from>
    <xdr:to>
      <xdr:col>30</xdr:col>
      <xdr:colOff>666750</xdr:colOff>
      <xdr:row>34</xdr:row>
      <xdr:rowOff>152400</xdr:rowOff>
    </xdr:to>
    <xdr:sp macro="" textlink="">
      <xdr:nvSpPr>
        <xdr:cNvPr id="422021" name="Text Box 133" hidden="1">
          <a:extLst>
            <a:ext uri="{FF2B5EF4-FFF2-40B4-BE49-F238E27FC236}">
              <a16:creationId xmlns:a16="http://schemas.microsoft.com/office/drawing/2014/main" id="{FB782540-E505-1E75-AA1E-001B1DD72D3D}"/>
            </a:ext>
          </a:extLst>
        </xdr:cNvPr>
        <xdr:cNvSpPr txBox="1">
          <a:spLocks noChangeArrowheads="1"/>
        </xdr:cNvSpPr>
      </xdr:nvSpPr>
      <xdr:spPr bwMode="auto">
        <a:xfrm>
          <a:off x="217424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95250</xdr:rowOff>
    </xdr:from>
    <xdr:to>
      <xdr:col>30</xdr:col>
      <xdr:colOff>666750</xdr:colOff>
      <xdr:row>43</xdr:row>
      <xdr:rowOff>152400</xdr:rowOff>
    </xdr:to>
    <xdr:sp macro="" textlink="">
      <xdr:nvSpPr>
        <xdr:cNvPr id="422020" name="Text Box 132" hidden="1">
          <a:extLst>
            <a:ext uri="{FF2B5EF4-FFF2-40B4-BE49-F238E27FC236}">
              <a16:creationId xmlns:a16="http://schemas.microsoft.com/office/drawing/2014/main" id="{5B64318A-10DE-2BFD-4834-DE322209DB0A}"/>
            </a:ext>
          </a:extLst>
        </xdr:cNvPr>
        <xdr:cNvSpPr txBox="1">
          <a:spLocks noChangeArrowheads="1"/>
        </xdr:cNvSpPr>
      </xdr:nvSpPr>
      <xdr:spPr bwMode="auto">
        <a:xfrm>
          <a:off x="217424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131</xdr:row>
      <xdr:rowOff>133350</xdr:rowOff>
    </xdr:from>
    <xdr:to>
      <xdr:col>30</xdr:col>
      <xdr:colOff>666750</xdr:colOff>
      <xdr:row>151</xdr:row>
      <xdr:rowOff>171450</xdr:rowOff>
    </xdr:to>
    <xdr:sp macro="" textlink="">
      <xdr:nvSpPr>
        <xdr:cNvPr id="422019" name="Text Box 131" hidden="1">
          <a:extLst>
            <a:ext uri="{FF2B5EF4-FFF2-40B4-BE49-F238E27FC236}">
              <a16:creationId xmlns:a16="http://schemas.microsoft.com/office/drawing/2014/main" id="{8F103A0C-C59A-2FC5-C159-7AE81A6803A8}"/>
            </a:ext>
          </a:extLst>
        </xdr:cNvPr>
        <xdr:cNvSpPr txBox="1">
          <a:spLocks noChangeArrowheads="1"/>
        </xdr:cNvSpPr>
      </xdr:nvSpPr>
      <xdr:spPr bwMode="auto">
        <a:xfrm>
          <a:off x="217424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xdr:row>
      <xdr:rowOff>114300</xdr:rowOff>
    </xdr:from>
    <xdr:to>
      <xdr:col>31</xdr:col>
      <xdr:colOff>666750</xdr:colOff>
      <xdr:row>34</xdr:row>
      <xdr:rowOff>152400</xdr:rowOff>
    </xdr:to>
    <xdr:sp macro="" textlink="">
      <xdr:nvSpPr>
        <xdr:cNvPr id="422018" name="Text Box 130" hidden="1">
          <a:extLst>
            <a:ext uri="{FF2B5EF4-FFF2-40B4-BE49-F238E27FC236}">
              <a16:creationId xmlns:a16="http://schemas.microsoft.com/office/drawing/2014/main" id="{9FE8B956-5BE1-7CBD-6B59-4FA6F1275763}"/>
            </a:ext>
          </a:extLst>
        </xdr:cNvPr>
        <xdr:cNvSpPr txBox="1">
          <a:spLocks noChangeArrowheads="1"/>
        </xdr:cNvSpPr>
      </xdr:nvSpPr>
      <xdr:spPr bwMode="auto">
        <a:xfrm>
          <a:off x="225044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114300</xdr:rowOff>
    </xdr:from>
    <xdr:to>
      <xdr:col>31</xdr:col>
      <xdr:colOff>666750</xdr:colOff>
      <xdr:row>43</xdr:row>
      <xdr:rowOff>152400</xdr:rowOff>
    </xdr:to>
    <xdr:sp macro="" textlink="">
      <xdr:nvSpPr>
        <xdr:cNvPr id="422017" name="Text Box 129" hidden="1">
          <a:extLst>
            <a:ext uri="{FF2B5EF4-FFF2-40B4-BE49-F238E27FC236}">
              <a16:creationId xmlns:a16="http://schemas.microsoft.com/office/drawing/2014/main" id="{BDC0D2FC-A290-D923-9361-8A2F0CD16237}"/>
            </a:ext>
          </a:extLst>
        </xdr:cNvPr>
        <xdr:cNvSpPr txBox="1">
          <a:spLocks noChangeArrowheads="1"/>
        </xdr:cNvSpPr>
      </xdr:nvSpPr>
      <xdr:spPr bwMode="auto">
        <a:xfrm>
          <a:off x="225044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131</xdr:row>
      <xdr:rowOff>133350</xdr:rowOff>
    </xdr:from>
    <xdr:to>
      <xdr:col>31</xdr:col>
      <xdr:colOff>666750</xdr:colOff>
      <xdr:row>151</xdr:row>
      <xdr:rowOff>171450</xdr:rowOff>
    </xdr:to>
    <xdr:sp macro="" textlink="">
      <xdr:nvSpPr>
        <xdr:cNvPr id="422016" name="Text Box 128" hidden="1">
          <a:extLst>
            <a:ext uri="{FF2B5EF4-FFF2-40B4-BE49-F238E27FC236}">
              <a16:creationId xmlns:a16="http://schemas.microsoft.com/office/drawing/2014/main" id="{8742938B-FB5A-A30E-D51B-ACEE43CAD2DF}"/>
            </a:ext>
          </a:extLst>
        </xdr:cNvPr>
        <xdr:cNvSpPr txBox="1">
          <a:spLocks noChangeArrowheads="1"/>
        </xdr:cNvSpPr>
      </xdr:nvSpPr>
      <xdr:spPr bwMode="auto">
        <a:xfrm>
          <a:off x="225044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14</xdr:row>
      <xdr:rowOff>95250</xdr:rowOff>
    </xdr:from>
    <xdr:to>
      <xdr:col>32</xdr:col>
      <xdr:colOff>57150</xdr:colOff>
      <xdr:row>34</xdr:row>
      <xdr:rowOff>95250</xdr:rowOff>
    </xdr:to>
    <xdr:sp macro="" textlink="">
      <xdr:nvSpPr>
        <xdr:cNvPr id="422015" name="Text Box 127" hidden="1">
          <a:extLst>
            <a:ext uri="{FF2B5EF4-FFF2-40B4-BE49-F238E27FC236}">
              <a16:creationId xmlns:a16="http://schemas.microsoft.com/office/drawing/2014/main" id="{C09D6C8A-A579-16E9-2BF8-1EBAF2968F6C}"/>
            </a:ext>
          </a:extLst>
        </xdr:cNvPr>
        <xdr:cNvSpPr txBox="1">
          <a:spLocks noChangeArrowheads="1"/>
        </xdr:cNvSpPr>
      </xdr:nvSpPr>
      <xdr:spPr bwMode="auto">
        <a:xfrm>
          <a:off x="233045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23</xdr:row>
      <xdr:rowOff>95250</xdr:rowOff>
    </xdr:from>
    <xdr:to>
      <xdr:col>32</xdr:col>
      <xdr:colOff>57150</xdr:colOff>
      <xdr:row>43</xdr:row>
      <xdr:rowOff>114300</xdr:rowOff>
    </xdr:to>
    <xdr:sp macro="" textlink="">
      <xdr:nvSpPr>
        <xdr:cNvPr id="422014" name="Text Box 126" hidden="1">
          <a:extLst>
            <a:ext uri="{FF2B5EF4-FFF2-40B4-BE49-F238E27FC236}">
              <a16:creationId xmlns:a16="http://schemas.microsoft.com/office/drawing/2014/main" id="{BE380E12-9951-0A63-97C5-20484A89C82D}"/>
            </a:ext>
          </a:extLst>
        </xdr:cNvPr>
        <xdr:cNvSpPr txBox="1">
          <a:spLocks noChangeArrowheads="1"/>
        </xdr:cNvSpPr>
      </xdr:nvSpPr>
      <xdr:spPr bwMode="auto">
        <a:xfrm>
          <a:off x="233045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8</xdr:row>
      <xdr:rowOff>76200</xdr:rowOff>
    </xdr:from>
    <xdr:to>
      <xdr:col>42</xdr:col>
      <xdr:colOff>57150</xdr:colOff>
      <xdr:row>28</xdr:row>
      <xdr:rowOff>95250</xdr:rowOff>
    </xdr:to>
    <xdr:sp macro="" textlink="">
      <xdr:nvSpPr>
        <xdr:cNvPr id="422013" name="Text Box 125" hidden="1">
          <a:extLst>
            <a:ext uri="{FF2B5EF4-FFF2-40B4-BE49-F238E27FC236}">
              <a16:creationId xmlns:a16="http://schemas.microsoft.com/office/drawing/2014/main" id="{D101EF29-9081-F01D-0750-D1E1CABB1426}"/>
            </a:ext>
          </a:extLst>
        </xdr:cNvPr>
        <xdr:cNvSpPr txBox="1">
          <a:spLocks noChangeArrowheads="1"/>
        </xdr:cNvSpPr>
      </xdr:nvSpPr>
      <xdr:spPr bwMode="auto">
        <a:xfrm>
          <a:off x="314071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131</xdr:row>
      <xdr:rowOff>95250</xdr:rowOff>
    </xdr:from>
    <xdr:to>
      <xdr:col>32</xdr:col>
      <xdr:colOff>666750</xdr:colOff>
      <xdr:row>151</xdr:row>
      <xdr:rowOff>0</xdr:rowOff>
    </xdr:to>
    <xdr:sp macro="" textlink="">
      <xdr:nvSpPr>
        <xdr:cNvPr id="422012" name="Text Box 124" hidden="1">
          <a:extLst>
            <a:ext uri="{FF2B5EF4-FFF2-40B4-BE49-F238E27FC236}">
              <a16:creationId xmlns:a16="http://schemas.microsoft.com/office/drawing/2014/main" id="{E027A348-7313-C560-F3ED-ECC4450FB318}"/>
            </a:ext>
          </a:extLst>
        </xdr:cNvPr>
        <xdr:cNvSpPr txBox="1">
          <a:spLocks noChangeArrowheads="1"/>
        </xdr:cNvSpPr>
      </xdr:nvSpPr>
      <xdr:spPr bwMode="auto">
        <a:xfrm>
          <a:off x="232664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101600</xdr:rowOff>
    </xdr:from>
    <xdr:to>
      <xdr:col>21</xdr:col>
      <xdr:colOff>438150</xdr:colOff>
      <xdr:row>26</xdr:row>
      <xdr:rowOff>152400</xdr:rowOff>
    </xdr:to>
    <xdr:sp macro="" textlink="">
      <xdr:nvSpPr>
        <xdr:cNvPr id="422138" name="Text Box 250" hidden="1">
          <a:extLst>
            <a:ext uri="{FF2B5EF4-FFF2-40B4-BE49-F238E27FC236}">
              <a16:creationId xmlns:a16="http://schemas.microsoft.com/office/drawing/2014/main" id="{F710A43D-7631-3062-B6DD-749DBD212E35}"/>
            </a:ext>
          </a:extLst>
        </xdr:cNvPr>
        <xdr:cNvSpPr txBox="1">
          <a:spLocks noChangeArrowheads="1"/>
        </xdr:cNvSpPr>
      </xdr:nvSpPr>
      <xdr:spPr bwMode="auto">
        <a:xfrm>
          <a:off x="15341600" y="2089150"/>
          <a:ext cx="36957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0</xdr:rowOff>
    </xdr:from>
    <xdr:to>
      <xdr:col>9</xdr:col>
      <xdr:colOff>609600</xdr:colOff>
      <xdr:row>76</xdr:row>
      <xdr:rowOff>133350</xdr:rowOff>
    </xdr:to>
    <xdr:sp macro="" textlink="">
      <xdr:nvSpPr>
        <xdr:cNvPr id="422137" name="Text Box 249" hidden="1">
          <a:extLst>
            <a:ext uri="{FF2B5EF4-FFF2-40B4-BE49-F238E27FC236}">
              <a16:creationId xmlns:a16="http://schemas.microsoft.com/office/drawing/2014/main" id="{2F2FF311-2FA1-2970-A80F-FF5220171D80}"/>
            </a:ext>
          </a:extLst>
        </xdr:cNvPr>
        <xdr:cNvSpPr txBox="1">
          <a:spLocks noChangeArrowheads="1"/>
        </xdr:cNvSpPr>
      </xdr:nvSpPr>
      <xdr:spPr bwMode="auto">
        <a:xfrm>
          <a:off x="4489450" y="12287250"/>
          <a:ext cx="4362450" cy="434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57</xdr:row>
      <xdr:rowOff>0</xdr:rowOff>
    </xdr:from>
    <xdr:to>
      <xdr:col>9</xdr:col>
      <xdr:colOff>628650</xdr:colOff>
      <xdr:row>77</xdr:row>
      <xdr:rowOff>0</xdr:rowOff>
    </xdr:to>
    <xdr:sp macro="" textlink="">
      <xdr:nvSpPr>
        <xdr:cNvPr id="422136" name="Text Box 248" hidden="1">
          <a:extLst>
            <a:ext uri="{FF2B5EF4-FFF2-40B4-BE49-F238E27FC236}">
              <a16:creationId xmlns:a16="http://schemas.microsoft.com/office/drawing/2014/main" id="{9971C62B-620C-99BE-504E-019326D6F6E4}"/>
            </a:ext>
          </a:extLst>
        </xdr:cNvPr>
        <xdr:cNvSpPr txBox="1">
          <a:spLocks noChangeArrowheads="1"/>
        </xdr:cNvSpPr>
      </xdr:nvSpPr>
      <xdr:spPr bwMode="auto">
        <a:xfrm>
          <a:off x="4514850" y="12674600"/>
          <a:ext cx="435610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135" name="Text Box 247" hidden="1">
          <a:extLst>
            <a:ext uri="{FF2B5EF4-FFF2-40B4-BE49-F238E27FC236}">
              <a16:creationId xmlns:a16="http://schemas.microsoft.com/office/drawing/2014/main" id="{F8DACF3F-1A1E-CE3E-9E00-59D0E2A8C3A1}"/>
            </a:ext>
          </a:extLst>
        </xdr:cNvPr>
        <xdr:cNvSpPr txBox="1">
          <a:spLocks noChangeArrowheads="1"/>
        </xdr:cNvSpPr>
      </xdr:nvSpPr>
      <xdr:spPr bwMode="auto">
        <a:xfrm>
          <a:off x="4489450" y="126746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134" name="Text Box 246" hidden="1">
          <a:extLst>
            <a:ext uri="{FF2B5EF4-FFF2-40B4-BE49-F238E27FC236}">
              <a16:creationId xmlns:a16="http://schemas.microsoft.com/office/drawing/2014/main" id="{BD0A3029-8840-FBE1-B034-801EBD099D55}"/>
            </a:ext>
          </a:extLst>
        </xdr:cNvPr>
        <xdr:cNvSpPr txBox="1">
          <a:spLocks noChangeArrowheads="1"/>
        </xdr:cNvSpPr>
      </xdr:nvSpPr>
      <xdr:spPr bwMode="auto">
        <a:xfrm>
          <a:off x="4489450" y="126746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76200</xdr:rowOff>
    </xdr:from>
    <xdr:to>
      <xdr:col>9</xdr:col>
      <xdr:colOff>609600</xdr:colOff>
      <xdr:row>81</xdr:row>
      <xdr:rowOff>76200</xdr:rowOff>
    </xdr:to>
    <xdr:sp macro="" textlink="">
      <xdr:nvSpPr>
        <xdr:cNvPr id="422133" name="Text Box 245" hidden="1">
          <a:extLst>
            <a:ext uri="{FF2B5EF4-FFF2-40B4-BE49-F238E27FC236}">
              <a16:creationId xmlns:a16="http://schemas.microsoft.com/office/drawing/2014/main" id="{69E63230-F553-E964-E411-0BE8140B0E88}"/>
            </a:ext>
          </a:extLst>
        </xdr:cNvPr>
        <xdr:cNvSpPr txBox="1">
          <a:spLocks noChangeArrowheads="1"/>
        </xdr:cNvSpPr>
      </xdr:nvSpPr>
      <xdr:spPr bwMode="auto">
        <a:xfrm>
          <a:off x="4489450" y="13538200"/>
          <a:ext cx="4362450" cy="415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101600</xdr:rowOff>
    </xdr:from>
    <xdr:to>
      <xdr:col>9</xdr:col>
      <xdr:colOff>609600</xdr:colOff>
      <xdr:row>97</xdr:row>
      <xdr:rowOff>152400</xdr:rowOff>
    </xdr:to>
    <xdr:sp macro="" textlink="">
      <xdr:nvSpPr>
        <xdr:cNvPr id="422132" name="Text Box 244" hidden="1">
          <a:extLst>
            <a:ext uri="{FF2B5EF4-FFF2-40B4-BE49-F238E27FC236}">
              <a16:creationId xmlns:a16="http://schemas.microsoft.com/office/drawing/2014/main" id="{BD65F303-0896-2243-702B-FBCBE289D6B4}"/>
            </a:ext>
          </a:extLst>
        </xdr:cNvPr>
        <xdr:cNvSpPr txBox="1">
          <a:spLocks noChangeArrowheads="1"/>
        </xdr:cNvSpPr>
      </xdr:nvSpPr>
      <xdr:spPr bwMode="auto">
        <a:xfrm>
          <a:off x="4489450" y="16789400"/>
          <a:ext cx="4362450" cy="4108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19050</xdr:rowOff>
    </xdr:from>
    <xdr:to>
      <xdr:col>9</xdr:col>
      <xdr:colOff>609600</xdr:colOff>
      <xdr:row>98</xdr:row>
      <xdr:rowOff>0</xdr:rowOff>
    </xdr:to>
    <xdr:sp macro="" textlink="">
      <xdr:nvSpPr>
        <xdr:cNvPr id="422131" name="Text Box 243" hidden="1">
          <a:extLst>
            <a:ext uri="{FF2B5EF4-FFF2-40B4-BE49-F238E27FC236}">
              <a16:creationId xmlns:a16="http://schemas.microsoft.com/office/drawing/2014/main" id="{1916CE57-0308-97B9-AE41-EBBA173A59D3}"/>
            </a:ext>
          </a:extLst>
        </xdr:cNvPr>
        <xdr:cNvSpPr txBox="1">
          <a:spLocks noChangeArrowheads="1"/>
        </xdr:cNvSpPr>
      </xdr:nvSpPr>
      <xdr:spPr bwMode="auto">
        <a:xfrm>
          <a:off x="4489450" y="16891000"/>
          <a:ext cx="4362450" cy="4095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133350</xdr:rowOff>
    </xdr:from>
    <xdr:to>
      <xdr:col>9</xdr:col>
      <xdr:colOff>609600</xdr:colOff>
      <xdr:row>99</xdr:row>
      <xdr:rowOff>0</xdr:rowOff>
    </xdr:to>
    <xdr:sp macro="" textlink="">
      <xdr:nvSpPr>
        <xdr:cNvPr id="422130" name="Text Box 242" hidden="1">
          <a:extLst>
            <a:ext uri="{FF2B5EF4-FFF2-40B4-BE49-F238E27FC236}">
              <a16:creationId xmlns:a16="http://schemas.microsoft.com/office/drawing/2014/main" id="{DBD10161-74CD-C1DF-A1CD-C363C61C3479}"/>
            </a:ext>
          </a:extLst>
        </xdr:cNvPr>
        <xdr:cNvSpPr txBox="1">
          <a:spLocks noChangeArrowheads="1"/>
        </xdr:cNvSpPr>
      </xdr:nvSpPr>
      <xdr:spPr bwMode="auto">
        <a:xfrm>
          <a:off x="4489450" y="17005300"/>
          <a:ext cx="4362450" cy="416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323850</xdr:rowOff>
    </xdr:from>
    <xdr:to>
      <xdr:col>9</xdr:col>
      <xdr:colOff>609600</xdr:colOff>
      <xdr:row>98</xdr:row>
      <xdr:rowOff>76200</xdr:rowOff>
    </xdr:to>
    <xdr:sp macro="" textlink="">
      <xdr:nvSpPr>
        <xdr:cNvPr id="422129" name="Text Box 241" hidden="1">
          <a:extLst>
            <a:ext uri="{FF2B5EF4-FFF2-40B4-BE49-F238E27FC236}">
              <a16:creationId xmlns:a16="http://schemas.microsoft.com/office/drawing/2014/main" id="{4E12A133-5608-932A-7B00-69BA4A8ED40B}"/>
            </a:ext>
          </a:extLst>
        </xdr:cNvPr>
        <xdr:cNvSpPr txBox="1">
          <a:spLocks noChangeArrowheads="1"/>
        </xdr:cNvSpPr>
      </xdr:nvSpPr>
      <xdr:spPr bwMode="auto">
        <a:xfrm>
          <a:off x="4489450" y="17195800"/>
          <a:ext cx="4362450" cy="386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38100</xdr:rowOff>
    </xdr:from>
    <xdr:to>
      <xdr:col>9</xdr:col>
      <xdr:colOff>609600</xdr:colOff>
      <xdr:row>119</xdr:row>
      <xdr:rowOff>101600</xdr:rowOff>
    </xdr:to>
    <xdr:sp macro="" textlink="">
      <xdr:nvSpPr>
        <xdr:cNvPr id="422128" name="Text Box 240" hidden="1">
          <a:extLst>
            <a:ext uri="{FF2B5EF4-FFF2-40B4-BE49-F238E27FC236}">
              <a16:creationId xmlns:a16="http://schemas.microsoft.com/office/drawing/2014/main" id="{FB9BF587-CC4E-0B31-F30B-DD7F1259F389}"/>
            </a:ext>
          </a:extLst>
        </xdr:cNvPr>
        <xdr:cNvSpPr txBox="1">
          <a:spLocks noChangeArrowheads="1"/>
        </xdr:cNvSpPr>
      </xdr:nvSpPr>
      <xdr:spPr bwMode="auto">
        <a:xfrm>
          <a:off x="4489450" y="21209000"/>
          <a:ext cx="4362450" cy="379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38100</xdr:rowOff>
    </xdr:from>
    <xdr:to>
      <xdr:col>9</xdr:col>
      <xdr:colOff>609600</xdr:colOff>
      <xdr:row>120</xdr:row>
      <xdr:rowOff>76200</xdr:rowOff>
    </xdr:to>
    <xdr:sp macro="" textlink="">
      <xdr:nvSpPr>
        <xdr:cNvPr id="422127" name="Text Box 239" hidden="1">
          <a:extLst>
            <a:ext uri="{FF2B5EF4-FFF2-40B4-BE49-F238E27FC236}">
              <a16:creationId xmlns:a16="http://schemas.microsoft.com/office/drawing/2014/main" id="{B629EE0C-8699-5B67-AD14-A4732DB76FE8}"/>
            </a:ext>
          </a:extLst>
        </xdr:cNvPr>
        <xdr:cNvSpPr txBox="1">
          <a:spLocks noChangeArrowheads="1"/>
        </xdr:cNvSpPr>
      </xdr:nvSpPr>
      <xdr:spPr bwMode="auto">
        <a:xfrm>
          <a:off x="4489450" y="2139315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76200</xdr:rowOff>
    </xdr:from>
    <xdr:to>
      <xdr:col>9</xdr:col>
      <xdr:colOff>609600</xdr:colOff>
      <xdr:row>121</xdr:row>
      <xdr:rowOff>76200</xdr:rowOff>
    </xdr:to>
    <xdr:sp macro="" textlink="">
      <xdr:nvSpPr>
        <xdr:cNvPr id="422126" name="Text Box 238" hidden="1">
          <a:extLst>
            <a:ext uri="{FF2B5EF4-FFF2-40B4-BE49-F238E27FC236}">
              <a16:creationId xmlns:a16="http://schemas.microsoft.com/office/drawing/2014/main" id="{700656AC-3225-61AC-E577-887A217D65CF}"/>
            </a:ext>
          </a:extLst>
        </xdr:cNvPr>
        <xdr:cNvSpPr txBox="1">
          <a:spLocks noChangeArrowheads="1"/>
        </xdr:cNvSpPr>
      </xdr:nvSpPr>
      <xdr:spPr bwMode="auto">
        <a:xfrm>
          <a:off x="4489450" y="2161540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38100</xdr:rowOff>
    </xdr:from>
    <xdr:to>
      <xdr:col>9</xdr:col>
      <xdr:colOff>609600</xdr:colOff>
      <xdr:row>121</xdr:row>
      <xdr:rowOff>76200</xdr:rowOff>
    </xdr:to>
    <xdr:sp macro="" textlink="">
      <xdr:nvSpPr>
        <xdr:cNvPr id="422125" name="Text Box 237" hidden="1">
          <a:extLst>
            <a:ext uri="{FF2B5EF4-FFF2-40B4-BE49-F238E27FC236}">
              <a16:creationId xmlns:a16="http://schemas.microsoft.com/office/drawing/2014/main" id="{10A85C97-EF33-20CE-F1FA-71C4A03B7805}"/>
            </a:ext>
          </a:extLst>
        </xdr:cNvPr>
        <xdr:cNvSpPr txBox="1">
          <a:spLocks noChangeArrowheads="1"/>
        </xdr:cNvSpPr>
      </xdr:nvSpPr>
      <xdr:spPr bwMode="auto">
        <a:xfrm>
          <a:off x="4489450" y="2157730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125</xdr:row>
      <xdr:rowOff>19050</xdr:rowOff>
    </xdr:from>
    <xdr:to>
      <xdr:col>24</xdr:col>
      <xdr:colOff>438150</xdr:colOff>
      <xdr:row>145</xdr:row>
      <xdr:rowOff>0</xdr:rowOff>
    </xdr:to>
    <xdr:sp macro="" textlink="">
      <xdr:nvSpPr>
        <xdr:cNvPr id="422124" name="Text Box 236" hidden="1">
          <a:extLst>
            <a:ext uri="{FF2B5EF4-FFF2-40B4-BE49-F238E27FC236}">
              <a16:creationId xmlns:a16="http://schemas.microsoft.com/office/drawing/2014/main" id="{411F7D5B-CD70-F289-F191-429DE71EAEB6}"/>
            </a:ext>
          </a:extLst>
        </xdr:cNvPr>
        <xdr:cNvSpPr txBox="1">
          <a:spLocks noChangeArrowheads="1"/>
        </xdr:cNvSpPr>
      </xdr:nvSpPr>
      <xdr:spPr bwMode="auto">
        <a:xfrm>
          <a:off x="17703800" y="26028650"/>
          <a:ext cx="36195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14</xdr:row>
      <xdr:rowOff>101600</xdr:rowOff>
    </xdr:from>
    <xdr:to>
      <xdr:col>25</xdr:col>
      <xdr:colOff>609600</xdr:colOff>
      <xdr:row>34</xdr:row>
      <xdr:rowOff>76200</xdr:rowOff>
    </xdr:to>
    <xdr:sp macro="" textlink="">
      <xdr:nvSpPr>
        <xdr:cNvPr id="422123" name="Text Box 235" hidden="1">
          <a:extLst>
            <a:ext uri="{FF2B5EF4-FFF2-40B4-BE49-F238E27FC236}">
              <a16:creationId xmlns:a16="http://schemas.microsoft.com/office/drawing/2014/main" id="{1D655094-22D9-F490-CA40-A283B1BB3EA5}"/>
            </a:ext>
          </a:extLst>
        </xdr:cNvPr>
        <xdr:cNvSpPr txBox="1">
          <a:spLocks noChangeArrowheads="1"/>
        </xdr:cNvSpPr>
      </xdr:nvSpPr>
      <xdr:spPr bwMode="auto">
        <a:xfrm>
          <a:off x="18522950" y="3562350"/>
          <a:ext cx="3733800" cy="400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101600</xdr:rowOff>
    </xdr:from>
    <xdr:to>
      <xdr:col>25</xdr:col>
      <xdr:colOff>609600</xdr:colOff>
      <xdr:row>43</xdr:row>
      <xdr:rowOff>76200</xdr:rowOff>
    </xdr:to>
    <xdr:sp macro="" textlink="">
      <xdr:nvSpPr>
        <xdr:cNvPr id="422122" name="Text Box 234" hidden="1">
          <a:extLst>
            <a:ext uri="{FF2B5EF4-FFF2-40B4-BE49-F238E27FC236}">
              <a16:creationId xmlns:a16="http://schemas.microsoft.com/office/drawing/2014/main" id="{66A87AFC-E07F-FEB4-F644-FF7533AC9F50}"/>
            </a:ext>
          </a:extLst>
        </xdr:cNvPr>
        <xdr:cNvSpPr txBox="1">
          <a:spLocks noChangeArrowheads="1"/>
        </xdr:cNvSpPr>
      </xdr:nvSpPr>
      <xdr:spPr bwMode="auto">
        <a:xfrm>
          <a:off x="18522950" y="5568950"/>
          <a:ext cx="3733800" cy="365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129</xdr:row>
      <xdr:rowOff>38100</xdr:rowOff>
    </xdr:from>
    <xdr:to>
      <xdr:col>25</xdr:col>
      <xdr:colOff>609600</xdr:colOff>
      <xdr:row>149</xdr:row>
      <xdr:rowOff>19050</xdr:rowOff>
    </xdr:to>
    <xdr:sp macro="" textlink="">
      <xdr:nvSpPr>
        <xdr:cNvPr id="422121" name="Text Box 233" hidden="1">
          <a:extLst>
            <a:ext uri="{FF2B5EF4-FFF2-40B4-BE49-F238E27FC236}">
              <a16:creationId xmlns:a16="http://schemas.microsoft.com/office/drawing/2014/main" id="{5CDCDD51-832F-A19C-0EA2-D07EBBC4BC03}"/>
            </a:ext>
          </a:extLst>
        </xdr:cNvPr>
        <xdr:cNvSpPr txBox="1">
          <a:spLocks noChangeArrowheads="1"/>
        </xdr:cNvSpPr>
      </xdr:nvSpPr>
      <xdr:spPr bwMode="auto">
        <a:xfrm>
          <a:off x="18522950" y="267843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34</xdr:row>
      <xdr:rowOff>101600</xdr:rowOff>
    </xdr:from>
    <xdr:to>
      <xdr:col>16</xdr:col>
      <xdr:colOff>0</xdr:colOff>
      <xdr:row>54</xdr:row>
      <xdr:rowOff>76200</xdr:rowOff>
    </xdr:to>
    <xdr:sp macro="" textlink="">
      <xdr:nvSpPr>
        <xdr:cNvPr id="422120" name="Text Box 232" hidden="1">
          <a:extLst>
            <a:ext uri="{FF2B5EF4-FFF2-40B4-BE49-F238E27FC236}">
              <a16:creationId xmlns:a16="http://schemas.microsoft.com/office/drawing/2014/main" id="{03008444-D5D0-E920-836A-126E52B2DADD}"/>
            </a:ext>
          </a:extLst>
        </xdr:cNvPr>
        <xdr:cNvSpPr txBox="1">
          <a:spLocks noChangeArrowheads="1"/>
        </xdr:cNvSpPr>
      </xdr:nvSpPr>
      <xdr:spPr bwMode="auto">
        <a:xfrm>
          <a:off x="10185400" y="7588250"/>
          <a:ext cx="4527550" cy="400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14</xdr:row>
      <xdr:rowOff>101600</xdr:rowOff>
    </xdr:from>
    <xdr:to>
      <xdr:col>28</xdr:col>
      <xdr:colOff>647700</xdr:colOff>
      <xdr:row>34</xdr:row>
      <xdr:rowOff>171450</xdr:rowOff>
    </xdr:to>
    <xdr:sp macro="" textlink="">
      <xdr:nvSpPr>
        <xdr:cNvPr id="422119" name="Text Box 231" hidden="1">
          <a:extLst>
            <a:ext uri="{FF2B5EF4-FFF2-40B4-BE49-F238E27FC236}">
              <a16:creationId xmlns:a16="http://schemas.microsoft.com/office/drawing/2014/main" id="{BB308FCB-FEB6-68D9-2F6E-74D2BB8AB89F}"/>
            </a:ext>
          </a:extLst>
        </xdr:cNvPr>
        <xdr:cNvSpPr txBox="1">
          <a:spLocks noChangeArrowheads="1"/>
        </xdr:cNvSpPr>
      </xdr:nvSpPr>
      <xdr:spPr bwMode="auto">
        <a:xfrm>
          <a:off x="20224750" y="3562350"/>
          <a:ext cx="4356100" cy="4095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23</xdr:row>
      <xdr:rowOff>101600</xdr:rowOff>
    </xdr:from>
    <xdr:to>
      <xdr:col>28</xdr:col>
      <xdr:colOff>647700</xdr:colOff>
      <xdr:row>43</xdr:row>
      <xdr:rowOff>152400</xdr:rowOff>
    </xdr:to>
    <xdr:sp macro="" textlink="">
      <xdr:nvSpPr>
        <xdr:cNvPr id="422118" name="Text Box 230" hidden="1">
          <a:extLst>
            <a:ext uri="{FF2B5EF4-FFF2-40B4-BE49-F238E27FC236}">
              <a16:creationId xmlns:a16="http://schemas.microsoft.com/office/drawing/2014/main" id="{A90B5E15-65C7-A059-C39E-43AFD8594008}"/>
            </a:ext>
          </a:extLst>
        </xdr:cNvPr>
        <xdr:cNvSpPr txBox="1">
          <a:spLocks noChangeArrowheads="1"/>
        </xdr:cNvSpPr>
      </xdr:nvSpPr>
      <xdr:spPr bwMode="auto">
        <a:xfrm>
          <a:off x="20224750" y="5568950"/>
          <a:ext cx="4356100" cy="372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129</xdr:row>
      <xdr:rowOff>38100</xdr:rowOff>
    </xdr:from>
    <xdr:to>
      <xdr:col>28</xdr:col>
      <xdr:colOff>647700</xdr:colOff>
      <xdr:row>149</xdr:row>
      <xdr:rowOff>101600</xdr:rowOff>
    </xdr:to>
    <xdr:sp macro="" textlink="">
      <xdr:nvSpPr>
        <xdr:cNvPr id="422117" name="Text Box 229" hidden="1">
          <a:extLst>
            <a:ext uri="{FF2B5EF4-FFF2-40B4-BE49-F238E27FC236}">
              <a16:creationId xmlns:a16="http://schemas.microsoft.com/office/drawing/2014/main" id="{AB81BA60-C9C2-E11E-7C8F-AB0D63118343}"/>
            </a:ext>
          </a:extLst>
        </xdr:cNvPr>
        <xdr:cNvSpPr txBox="1">
          <a:spLocks noChangeArrowheads="1"/>
        </xdr:cNvSpPr>
      </xdr:nvSpPr>
      <xdr:spPr bwMode="auto">
        <a:xfrm>
          <a:off x="20224750" y="26784300"/>
          <a:ext cx="435610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14</xdr:row>
      <xdr:rowOff>101600</xdr:rowOff>
    </xdr:from>
    <xdr:to>
      <xdr:col>29</xdr:col>
      <xdr:colOff>647700</xdr:colOff>
      <xdr:row>34</xdr:row>
      <xdr:rowOff>133350</xdr:rowOff>
    </xdr:to>
    <xdr:sp macro="" textlink="">
      <xdr:nvSpPr>
        <xdr:cNvPr id="422116" name="Text Box 228" hidden="1">
          <a:extLst>
            <a:ext uri="{FF2B5EF4-FFF2-40B4-BE49-F238E27FC236}">
              <a16:creationId xmlns:a16="http://schemas.microsoft.com/office/drawing/2014/main" id="{9EC9AA0C-4E0C-61E6-299E-2258550DF38C}"/>
            </a:ext>
          </a:extLst>
        </xdr:cNvPr>
        <xdr:cNvSpPr txBox="1">
          <a:spLocks noChangeArrowheads="1"/>
        </xdr:cNvSpPr>
      </xdr:nvSpPr>
      <xdr:spPr bwMode="auto">
        <a:xfrm>
          <a:off x="20986750" y="3562350"/>
          <a:ext cx="4356100" cy="405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23</xdr:row>
      <xdr:rowOff>101600</xdr:rowOff>
    </xdr:from>
    <xdr:to>
      <xdr:col>29</xdr:col>
      <xdr:colOff>647700</xdr:colOff>
      <xdr:row>43</xdr:row>
      <xdr:rowOff>101600</xdr:rowOff>
    </xdr:to>
    <xdr:sp macro="" textlink="">
      <xdr:nvSpPr>
        <xdr:cNvPr id="422115" name="Text Box 227" hidden="1">
          <a:extLst>
            <a:ext uri="{FF2B5EF4-FFF2-40B4-BE49-F238E27FC236}">
              <a16:creationId xmlns:a16="http://schemas.microsoft.com/office/drawing/2014/main" id="{59313CBB-EEF4-9814-4EF9-7CA4CC448F31}"/>
            </a:ext>
          </a:extLst>
        </xdr:cNvPr>
        <xdr:cNvSpPr txBox="1">
          <a:spLocks noChangeArrowheads="1"/>
        </xdr:cNvSpPr>
      </xdr:nvSpPr>
      <xdr:spPr bwMode="auto">
        <a:xfrm>
          <a:off x="20986750" y="5568950"/>
          <a:ext cx="4356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129</xdr:row>
      <xdr:rowOff>76200</xdr:rowOff>
    </xdr:from>
    <xdr:to>
      <xdr:col>29</xdr:col>
      <xdr:colOff>647700</xdr:colOff>
      <xdr:row>149</xdr:row>
      <xdr:rowOff>101600</xdr:rowOff>
    </xdr:to>
    <xdr:sp macro="" textlink="">
      <xdr:nvSpPr>
        <xdr:cNvPr id="422114" name="Text Box 226" hidden="1">
          <a:extLst>
            <a:ext uri="{FF2B5EF4-FFF2-40B4-BE49-F238E27FC236}">
              <a16:creationId xmlns:a16="http://schemas.microsoft.com/office/drawing/2014/main" id="{E1488D6F-617E-CF65-2322-E12860C7938D}"/>
            </a:ext>
          </a:extLst>
        </xdr:cNvPr>
        <xdr:cNvSpPr txBox="1">
          <a:spLocks noChangeArrowheads="1"/>
        </xdr:cNvSpPr>
      </xdr:nvSpPr>
      <xdr:spPr bwMode="auto">
        <a:xfrm>
          <a:off x="20986750" y="26822400"/>
          <a:ext cx="4356100" cy="370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58</xdr:row>
      <xdr:rowOff>76200</xdr:rowOff>
    </xdr:to>
    <xdr:sp macro="" textlink="">
      <xdr:nvSpPr>
        <xdr:cNvPr id="422113" name="Text Box 225" hidden="1">
          <a:extLst>
            <a:ext uri="{FF2B5EF4-FFF2-40B4-BE49-F238E27FC236}">
              <a16:creationId xmlns:a16="http://schemas.microsoft.com/office/drawing/2014/main" id="{64498495-32C9-36A7-4820-77BE164FE579}"/>
            </a:ext>
          </a:extLst>
        </xdr:cNvPr>
        <xdr:cNvSpPr txBox="1">
          <a:spLocks noChangeArrowheads="1"/>
        </xdr:cNvSpPr>
      </xdr:nvSpPr>
      <xdr:spPr bwMode="auto">
        <a:xfrm>
          <a:off x="10217150" y="8299450"/>
          <a:ext cx="4495800" cy="466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673100</xdr:colOff>
      <xdr:row>58</xdr:row>
      <xdr:rowOff>76200</xdr:rowOff>
    </xdr:to>
    <xdr:sp macro="" textlink="">
      <xdr:nvSpPr>
        <xdr:cNvPr id="422112" name="Text Box 224" hidden="1">
          <a:extLst>
            <a:ext uri="{FF2B5EF4-FFF2-40B4-BE49-F238E27FC236}">
              <a16:creationId xmlns:a16="http://schemas.microsoft.com/office/drawing/2014/main" id="{1E18034E-C871-E651-B252-8C23480392C1}"/>
            </a:ext>
          </a:extLst>
        </xdr:cNvPr>
        <xdr:cNvSpPr txBox="1">
          <a:spLocks noChangeArrowheads="1"/>
        </xdr:cNvSpPr>
      </xdr:nvSpPr>
      <xdr:spPr bwMode="auto">
        <a:xfrm>
          <a:off x="11315700" y="8299450"/>
          <a:ext cx="4832350" cy="466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20</xdr:row>
      <xdr:rowOff>0</xdr:rowOff>
    </xdr:from>
    <xdr:to>
      <xdr:col>34</xdr:col>
      <xdr:colOff>647700</xdr:colOff>
      <xdr:row>40</xdr:row>
      <xdr:rowOff>0</xdr:rowOff>
    </xdr:to>
    <xdr:sp macro="" textlink="">
      <xdr:nvSpPr>
        <xdr:cNvPr id="422111" name="Text Box 223" hidden="1">
          <a:extLst>
            <a:ext uri="{FF2B5EF4-FFF2-40B4-BE49-F238E27FC236}">
              <a16:creationId xmlns:a16="http://schemas.microsoft.com/office/drawing/2014/main" id="{FFAB5BD9-E410-7EF7-694F-A68CF8425476}"/>
            </a:ext>
          </a:extLst>
        </xdr:cNvPr>
        <xdr:cNvSpPr txBox="1">
          <a:spLocks noChangeArrowheads="1"/>
        </xdr:cNvSpPr>
      </xdr:nvSpPr>
      <xdr:spPr bwMode="auto">
        <a:xfrm>
          <a:off x="24796750" y="4914900"/>
          <a:ext cx="48387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56</xdr:row>
      <xdr:rowOff>0</xdr:rowOff>
    </xdr:from>
    <xdr:to>
      <xdr:col>18</xdr:col>
      <xdr:colOff>571500</xdr:colOff>
      <xdr:row>76</xdr:row>
      <xdr:rowOff>133350</xdr:rowOff>
    </xdr:to>
    <xdr:sp macro="" textlink="">
      <xdr:nvSpPr>
        <xdr:cNvPr id="422110" name="Text Box 222" hidden="1">
          <a:extLst>
            <a:ext uri="{FF2B5EF4-FFF2-40B4-BE49-F238E27FC236}">
              <a16:creationId xmlns:a16="http://schemas.microsoft.com/office/drawing/2014/main" id="{CF69B849-E1E9-E89F-90FC-FE6DF66729F4}"/>
            </a:ext>
          </a:extLst>
        </xdr:cNvPr>
        <xdr:cNvSpPr txBox="1">
          <a:spLocks noChangeArrowheads="1"/>
        </xdr:cNvSpPr>
      </xdr:nvSpPr>
      <xdr:spPr bwMode="auto">
        <a:xfrm>
          <a:off x="12153900" y="12287250"/>
          <a:ext cx="4654550" cy="434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61</xdr:row>
      <xdr:rowOff>19050</xdr:rowOff>
    </xdr:from>
    <xdr:to>
      <xdr:col>18</xdr:col>
      <xdr:colOff>609600</xdr:colOff>
      <xdr:row>81</xdr:row>
      <xdr:rowOff>152400</xdr:rowOff>
    </xdr:to>
    <xdr:sp macro="" textlink="">
      <xdr:nvSpPr>
        <xdr:cNvPr id="422109" name="Text Box 221" hidden="1">
          <a:extLst>
            <a:ext uri="{FF2B5EF4-FFF2-40B4-BE49-F238E27FC236}">
              <a16:creationId xmlns:a16="http://schemas.microsoft.com/office/drawing/2014/main" id="{3E6096C3-B8F4-DF1C-442D-D91357B30BE3}"/>
            </a:ext>
          </a:extLst>
        </xdr:cNvPr>
        <xdr:cNvSpPr txBox="1">
          <a:spLocks noChangeArrowheads="1"/>
        </xdr:cNvSpPr>
      </xdr:nvSpPr>
      <xdr:spPr bwMode="auto">
        <a:xfrm>
          <a:off x="12185650" y="13481050"/>
          <a:ext cx="4660900" cy="429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58</xdr:row>
      <xdr:rowOff>76200</xdr:rowOff>
    </xdr:to>
    <xdr:sp macro="" textlink="">
      <xdr:nvSpPr>
        <xdr:cNvPr id="422108" name="Text Box 220" hidden="1">
          <a:extLst>
            <a:ext uri="{FF2B5EF4-FFF2-40B4-BE49-F238E27FC236}">
              <a16:creationId xmlns:a16="http://schemas.microsoft.com/office/drawing/2014/main" id="{617DE88C-E2C5-1E8E-24AA-4CC2D78D79B8}"/>
            </a:ext>
          </a:extLst>
        </xdr:cNvPr>
        <xdr:cNvSpPr txBox="1">
          <a:spLocks noChangeArrowheads="1"/>
        </xdr:cNvSpPr>
      </xdr:nvSpPr>
      <xdr:spPr bwMode="auto">
        <a:xfrm>
          <a:off x="12185650" y="8299450"/>
          <a:ext cx="4660900" cy="466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14</xdr:row>
      <xdr:rowOff>101600</xdr:rowOff>
    </xdr:from>
    <xdr:to>
      <xdr:col>30</xdr:col>
      <xdr:colOff>673100</xdr:colOff>
      <xdr:row>34</xdr:row>
      <xdr:rowOff>152400</xdr:rowOff>
    </xdr:to>
    <xdr:sp macro="" textlink="">
      <xdr:nvSpPr>
        <xdr:cNvPr id="422107" name="Text Box 219" hidden="1">
          <a:extLst>
            <a:ext uri="{FF2B5EF4-FFF2-40B4-BE49-F238E27FC236}">
              <a16:creationId xmlns:a16="http://schemas.microsoft.com/office/drawing/2014/main" id="{7D0336AF-F1D4-8BF9-77C6-B1ED4DB6C474}"/>
            </a:ext>
          </a:extLst>
        </xdr:cNvPr>
        <xdr:cNvSpPr txBox="1">
          <a:spLocks noChangeArrowheads="1"/>
        </xdr:cNvSpPr>
      </xdr:nvSpPr>
      <xdr:spPr bwMode="auto">
        <a:xfrm>
          <a:off x="21748750" y="3562350"/>
          <a:ext cx="4381500" cy="407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23</xdr:row>
      <xdr:rowOff>101600</xdr:rowOff>
    </xdr:from>
    <xdr:to>
      <xdr:col>30</xdr:col>
      <xdr:colOff>673100</xdr:colOff>
      <xdr:row>43</xdr:row>
      <xdr:rowOff>152400</xdr:rowOff>
    </xdr:to>
    <xdr:sp macro="" textlink="">
      <xdr:nvSpPr>
        <xdr:cNvPr id="422106" name="Text Box 218" hidden="1">
          <a:extLst>
            <a:ext uri="{FF2B5EF4-FFF2-40B4-BE49-F238E27FC236}">
              <a16:creationId xmlns:a16="http://schemas.microsoft.com/office/drawing/2014/main" id="{6A7F9FA0-66FF-59D6-7F2F-D60F74983400}"/>
            </a:ext>
          </a:extLst>
        </xdr:cNvPr>
        <xdr:cNvSpPr txBox="1">
          <a:spLocks noChangeArrowheads="1"/>
        </xdr:cNvSpPr>
      </xdr:nvSpPr>
      <xdr:spPr bwMode="auto">
        <a:xfrm>
          <a:off x="21748750" y="5568950"/>
          <a:ext cx="4381500" cy="372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131</xdr:row>
      <xdr:rowOff>133350</xdr:rowOff>
    </xdr:from>
    <xdr:to>
      <xdr:col>30</xdr:col>
      <xdr:colOff>673100</xdr:colOff>
      <xdr:row>151</xdr:row>
      <xdr:rowOff>171450</xdr:rowOff>
    </xdr:to>
    <xdr:sp macro="" textlink="">
      <xdr:nvSpPr>
        <xdr:cNvPr id="422105" name="Text Box 217" hidden="1">
          <a:extLst>
            <a:ext uri="{FF2B5EF4-FFF2-40B4-BE49-F238E27FC236}">
              <a16:creationId xmlns:a16="http://schemas.microsoft.com/office/drawing/2014/main" id="{05BD2054-9D42-42F6-EE4E-7E85BBD75F37}"/>
            </a:ext>
          </a:extLst>
        </xdr:cNvPr>
        <xdr:cNvSpPr txBox="1">
          <a:spLocks noChangeArrowheads="1"/>
        </xdr:cNvSpPr>
      </xdr:nvSpPr>
      <xdr:spPr bwMode="auto">
        <a:xfrm>
          <a:off x="21748750" y="27247850"/>
          <a:ext cx="43815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14</xdr:row>
      <xdr:rowOff>114300</xdr:rowOff>
    </xdr:from>
    <xdr:to>
      <xdr:col>31</xdr:col>
      <xdr:colOff>673100</xdr:colOff>
      <xdr:row>34</xdr:row>
      <xdr:rowOff>152400</xdr:rowOff>
    </xdr:to>
    <xdr:sp macro="" textlink="">
      <xdr:nvSpPr>
        <xdr:cNvPr id="422104" name="Text Box 216" hidden="1">
          <a:extLst>
            <a:ext uri="{FF2B5EF4-FFF2-40B4-BE49-F238E27FC236}">
              <a16:creationId xmlns:a16="http://schemas.microsoft.com/office/drawing/2014/main" id="{6A764D7A-D897-6ECB-A855-A477790B0FD7}"/>
            </a:ext>
          </a:extLst>
        </xdr:cNvPr>
        <xdr:cNvSpPr txBox="1">
          <a:spLocks noChangeArrowheads="1"/>
        </xdr:cNvSpPr>
      </xdr:nvSpPr>
      <xdr:spPr bwMode="auto">
        <a:xfrm>
          <a:off x="22510750" y="3575050"/>
          <a:ext cx="486410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23</xdr:row>
      <xdr:rowOff>114300</xdr:rowOff>
    </xdr:from>
    <xdr:to>
      <xdr:col>31</xdr:col>
      <xdr:colOff>673100</xdr:colOff>
      <xdr:row>43</xdr:row>
      <xdr:rowOff>152400</xdr:rowOff>
    </xdr:to>
    <xdr:sp macro="" textlink="">
      <xdr:nvSpPr>
        <xdr:cNvPr id="422103" name="Text Box 215" hidden="1">
          <a:extLst>
            <a:ext uri="{FF2B5EF4-FFF2-40B4-BE49-F238E27FC236}">
              <a16:creationId xmlns:a16="http://schemas.microsoft.com/office/drawing/2014/main" id="{77A44957-EFA0-EB0F-AC61-65C6A0FD5A82}"/>
            </a:ext>
          </a:extLst>
        </xdr:cNvPr>
        <xdr:cNvSpPr txBox="1">
          <a:spLocks noChangeArrowheads="1"/>
        </xdr:cNvSpPr>
      </xdr:nvSpPr>
      <xdr:spPr bwMode="auto">
        <a:xfrm>
          <a:off x="22510750" y="5581650"/>
          <a:ext cx="48641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131</xdr:row>
      <xdr:rowOff>133350</xdr:rowOff>
    </xdr:from>
    <xdr:to>
      <xdr:col>31</xdr:col>
      <xdr:colOff>673100</xdr:colOff>
      <xdr:row>151</xdr:row>
      <xdr:rowOff>171450</xdr:rowOff>
    </xdr:to>
    <xdr:sp macro="" textlink="">
      <xdr:nvSpPr>
        <xdr:cNvPr id="422102" name="Text Box 214" hidden="1">
          <a:extLst>
            <a:ext uri="{FF2B5EF4-FFF2-40B4-BE49-F238E27FC236}">
              <a16:creationId xmlns:a16="http://schemas.microsoft.com/office/drawing/2014/main" id="{98B43ABE-FB3E-1397-E717-DBD254455DF2}"/>
            </a:ext>
          </a:extLst>
        </xdr:cNvPr>
        <xdr:cNvSpPr txBox="1">
          <a:spLocks noChangeArrowheads="1"/>
        </xdr:cNvSpPr>
      </xdr:nvSpPr>
      <xdr:spPr bwMode="auto">
        <a:xfrm>
          <a:off x="22510750" y="27247850"/>
          <a:ext cx="48641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14</xdr:row>
      <xdr:rowOff>101600</xdr:rowOff>
    </xdr:from>
    <xdr:to>
      <xdr:col>32</xdr:col>
      <xdr:colOff>57150</xdr:colOff>
      <xdr:row>34</xdr:row>
      <xdr:rowOff>101600</xdr:rowOff>
    </xdr:to>
    <xdr:sp macro="" textlink="">
      <xdr:nvSpPr>
        <xdr:cNvPr id="422101" name="Text Box 213" hidden="1">
          <a:extLst>
            <a:ext uri="{FF2B5EF4-FFF2-40B4-BE49-F238E27FC236}">
              <a16:creationId xmlns:a16="http://schemas.microsoft.com/office/drawing/2014/main" id="{E28AC47D-E5F9-8158-D1B6-F626624F1E9E}"/>
            </a:ext>
          </a:extLst>
        </xdr:cNvPr>
        <xdr:cNvSpPr txBox="1">
          <a:spLocks noChangeArrowheads="1"/>
        </xdr:cNvSpPr>
      </xdr:nvSpPr>
      <xdr:spPr bwMode="auto">
        <a:xfrm>
          <a:off x="23304500" y="3562350"/>
          <a:ext cx="42164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23</xdr:row>
      <xdr:rowOff>101600</xdr:rowOff>
    </xdr:from>
    <xdr:to>
      <xdr:col>32</xdr:col>
      <xdr:colOff>57150</xdr:colOff>
      <xdr:row>43</xdr:row>
      <xdr:rowOff>114300</xdr:rowOff>
    </xdr:to>
    <xdr:sp macro="" textlink="">
      <xdr:nvSpPr>
        <xdr:cNvPr id="422100" name="Text Box 212" hidden="1">
          <a:extLst>
            <a:ext uri="{FF2B5EF4-FFF2-40B4-BE49-F238E27FC236}">
              <a16:creationId xmlns:a16="http://schemas.microsoft.com/office/drawing/2014/main" id="{3FE0C8A7-CDCF-F5B4-E996-89B646315E20}"/>
            </a:ext>
          </a:extLst>
        </xdr:cNvPr>
        <xdr:cNvSpPr txBox="1">
          <a:spLocks noChangeArrowheads="1"/>
        </xdr:cNvSpPr>
      </xdr:nvSpPr>
      <xdr:spPr bwMode="auto">
        <a:xfrm>
          <a:off x="23304500" y="5568950"/>
          <a:ext cx="4216400" cy="3689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8</xdr:row>
      <xdr:rowOff>76200</xdr:rowOff>
    </xdr:from>
    <xdr:to>
      <xdr:col>42</xdr:col>
      <xdr:colOff>57150</xdr:colOff>
      <xdr:row>28</xdr:row>
      <xdr:rowOff>101600</xdr:rowOff>
    </xdr:to>
    <xdr:sp macro="" textlink="">
      <xdr:nvSpPr>
        <xdr:cNvPr id="422099" name="Text Box 211" hidden="1">
          <a:extLst>
            <a:ext uri="{FF2B5EF4-FFF2-40B4-BE49-F238E27FC236}">
              <a16:creationId xmlns:a16="http://schemas.microsoft.com/office/drawing/2014/main" id="{47659392-C39F-15BE-9E76-7DE8C5BD2B14}"/>
            </a:ext>
          </a:extLst>
        </xdr:cNvPr>
        <xdr:cNvSpPr txBox="1">
          <a:spLocks noChangeArrowheads="1"/>
        </xdr:cNvSpPr>
      </xdr:nvSpPr>
      <xdr:spPr bwMode="auto">
        <a:xfrm>
          <a:off x="31407100" y="2432050"/>
          <a:ext cx="3733800" cy="405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131</xdr:row>
      <xdr:rowOff>101600</xdr:rowOff>
    </xdr:from>
    <xdr:to>
      <xdr:col>32</xdr:col>
      <xdr:colOff>673100</xdr:colOff>
      <xdr:row>151</xdr:row>
      <xdr:rowOff>0</xdr:rowOff>
    </xdr:to>
    <xdr:sp macro="" textlink="">
      <xdr:nvSpPr>
        <xdr:cNvPr id="422098" name="Text Box 210" hidden="1">
          <a:extLst>
            <a:ext uri="{FF2B5EF4-FFF2-40B4-BE49-F238E27FC236}">
              <a16:creationId xmlns:a16="http://schemas.microsoft.com/office/drawing/2014/main" id="{F97D20AC-BB5A-78C2-9089-8030A50D016B}"/>
            </a:ext>
          </a:extLst>
        </xdr:cNvPr>
        <xdr:cNvSpPr txBox="1">
          <a:spLocks noChangeArrowheads="1"/>
        </xdr:cNvSpPr>
      </xdr:nvSpPr>
      <xdr:spPr bwMode="auto">
        <a:xfrm>
          <a:off x="23272750" y="27216100"/>
          <a:ext cx="4864100" cy="3581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14</xdr:row>
      <xdr:rowOff>114300</xdr:rowOff>
    </xdr:from>
    <xdr:to>
      <xdr:col>33</xdr:col>
      <xdr:colOff>654050</xdr:colOff>
      <xdr:row>34</xdr:row>
      <xdr:rowOff>152400</xdr:rowOff>
    </xdr:to>
    <xdr:sp macro="" textlink="">
      <xdr:nvSpPr>
        <xdr:cNvPr id="422097" name="Text Box 209" hidden="1">
          <a:extLst>
            <a:ext uri="{FF2B5EF4-FFF2-40B4-BE49-F238E27FC236}">
              <a16:creationId xmlns:a16="http://schemas.microsoft.com/office/drawing/2014/main" id="{FD6EBC55-1726-43F5-B3AE-A73A64F56F4A}"/>
            </a:ext>
          </a:extLst>
        </xdr:cNvPr>
        <xdr:cNvSpPr txBox="1">
          <a:spLocks noChangeArrowheads="1"/>
        </xdr:cNvSpPr>
      </xdr:nvSpPr>
      <xdr:spPr bwMode="auto">
        <a:xfrm>
          <a:off x="24034750" y="3575050"/>
          <a:ext cx="484505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23</xdr:row>
      <xdr:rowOff>114300</xdr:rowOff>
    </xdr:from>
    <xdr:to>
      <xdr:col>29</xdr:col>
      <xdr:colOff>654050</xdr:colOff>
      <xdr:row>28</xdr:row>
      <xdr:rowOff>0</xdr:rowOff>
    </xdr:to>
    <xdr:sp macro="" textlink="">
      <xdr:nvSpPr>
        <xdr:cNvPr id="422096" name="Text Box 208" hidden="1">
          <a:extLst>
            <a:ext uri="{FF2B5EF4-FFF2-40B4-BE49-F238E27FC236}">
              <a16:creationId xmlns:a16="http://schemas.microsoft.com/office/drawing/2014/main" id="{DDED22B3-6EC5-5B4A-B461-6D13183F92F6}"/>
            </a:ext>
          </a:extLst>
        </xdr:cNvPr>
        <xdr:cNvSpPr txBox="1">
          <a:spLocks noChangeArrowheads="1"/>
        </xdr:cNvSpPr>
      </xdr:nvSpPr>
      <xdr:spPr bwMode="auto">
        <a:xfrm>
          <a:off x="24034750" y="55816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101600</xdr:rowOff>
    </xdr:from>
    <xdr:to>
      <xdr:col>21</xdr:col>
      <xdr:colOff>438150</xdr:colOff>
      <xdr:row>26</xdr:row>
      <xdr:rowOff>152400</xdr:rowOff>
    </xdr:to>
    <xdr:sp macro="" textlink="">
      <xdr:nvSpPr>
        <xdr:cNvPr id="422093" name="Text Box 205" hidden="1">
          <a:extLst>
            <a:ext uri="{FF2B5EF4-FFF2-40B4-BE49-F238E27FC236}">
              <a16:creationId xmlns:a16="http://schemas.microsoft.com/office/drawing/2014/main" id="{BAE4BD31-9202-6913-3A4F-44AC36B0FE88}"/>
            </a:ext>
          </a:extLst>
        </xdr:cNvPr>
        <xdr:cNvSpPr txBox="1">
          <a:spLocks noChangeArrowheads="1"/>
        </xdr:cNvSpPr>
      </xdr:nvSpPr>
      <xdr:spPr bwMode="auto">
        <a:xfrm>
          <a:off x="15341600" y="2089150"/>
          <a:ext cx="36957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0</xdr:rowOff>
    </xdr:from>
    <xdr:to>
      <xdr:col>9</xdr:col>
      <xdr:colOff>609600</xdr:colOff>
      <xdr:row>76</xdr:row>
      <xdr:rowOff>133350</xdr:rowOff>
    </xdr:to>
    <xdr:sp macro="" textlink="">
      <xdr:nvSpPr>
        <xdr:cNvPr id="422092" name="Text Box 204" hidden="1">
          <a:extLst>
            <a:ext uri="{FF2B5EF4-FFF2-40B4-BE49-F238E27FC236}">
              <a16:creationId xmlns:a16="http://schemas.microsoft.com/office/drawing/2014/main" id="{9279AFCD-54CF-21DA-33B7-14EADAEB7B98}"/>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57</xdr:row>
      <xdr:rowOff>0</xdr:rowOff>
    </xdr:from>
    <xdr:to>
      <xdr:col>9</xdr:col>
      <xdr:colOff>628650</xdr:colOff>
      <xdr:row>77</xdr:row>
      <xdr:rowOff>0</xdr:rowOff>
    </xdr:to>
    <xdr:sp macro="" textlink="">
      <xdr:nvSpPr>
        <xdr:cNvPr id="422091" name="Text Box 203" hidden="1">
          <a:extLst>
            <a:ext uri="{FF2B5EF4-FFF2-40B4-BE49-F238E27FC236}">
              <a16:creationId xmlns:a16="http://schemas.microsoft.com/office/drawing/2014/main" id="{D6ED9F8B-A611-A194-0872-B387DE1F27E6}"/>
            </a:ext>
          </a:extLst>
        </xdr:cNvPr>
        <xdr:cNvSpPr txBox="1">
          <a:spLocks noChangeArrowheads="1"/>
        </xdr:cNvSpPr>
      </xdr:nvSpPr>
      <xdr:spPr bwMode="auto">
        <a:xfrm>
          <a:off x="4514850" y="12674600"/>
          <a:ext cx="43561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090" name="Text Box 202" hidden="1">
          <a:extLst>
            <a:ext uri="{FF2B5EF4-FFF2-40B4-BE49-F238E27FC236}">
              <a16:creationId xmlns:a16="http://schemas.microsoft.com/office/drawing/2014/main" id="{CF888867-B025-55A8-E67F-AF16A7901BCE}"/>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089" name="Text Box 201" hidden="1">
          <a:extLst>
            <a:ext uri="{FF2B5EF4-FFF2-40B4-BE49-F238E27FC236}">
              <a16:creationId xmlns:a16="http://schemas.microsoft.com/office/drawing/2014/main" id="{BBF9E03D-FB70-CFE6-45E4-3655F9DC2630}"/>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76200</xdr:rowOff>
    </xdr:from>
    <xdr:to>
      <xdr:col>9</xdr:col>
      <xdr:colOff>609600</xdr:colOff>
      <xdr:row>81</xdr:row>
      <xdr:rowOff>76200</xdr:rowOff>
    </xdr:to>
    <xdr:sp macro="" textlink="">
      <xdr:nvSpPr>
        <xdr:cNvPr id="422088" name="Text Box 200" hidden="1">
          <a:extLst>
            <a:ext uri="{FF2B5EF4-FFF2-40B4-BE49-F238E27FC236}">
              <a16:creationId xmlns:a16="http://schemas.microsoft.com/office/drawing/2014/main" id="{9513F7CF-D7D0-9888-FC8B-577DEB31EF99}"/>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101600</xdr:rowOff>
    </xdr:from>
    <xdr:to>
      <xdr:col>9</xdr:col>
      <xdr:colOff>609600</xdr:colOff>
      <xdr:row>97</xdr:row>
      <xdr:rowOff>152400</xdr:rowOff>
    </xdr:to>
    <xdr:sp macro="" textlink="">
      <xdr:nvSpPr>
        <xdr:cNvPr id="422087" name="Text Box 199" hidden="1">
          <a:extLst>
            <a:ext uri="{FF2B5EF4-FFF2-40B4-BE49-F238E27FC236}">
              <a16:creationId xmlns:a16="http://schemas.microsoft.com/office/drawing/2014/main" id="{5FEED2BB-152B-8AC6-D1F8-130C9D84A4A8}"/>
            </a:ext>
          </a:extLst>
        </xdr:cNvPr>
        <xdr:cNvSpPr txBox="1">
          <a:spLocks noChangeArrowheads="1"/>
        </xdr:cNvSpPr>
      </xdr:nvSpPr>
      <xdr:spPr bwMode="auto">
        <a:xfrm>
          <a:off x="4489450" y="167894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19050</xdr:rowOff>
    </xdr:from>
    <xdr:to>
      <xdr:col>9</xdr:col>
      <xdr:colOff>609600</xdr:colOff>
      <xdr:row>98</xdr:row>
      <xdr:rowOff>0</xdr:rowOff>
    </xdr:to>
    <xdr:sp macro="" textlink="">
      <xdr:nvSpPr>
        <xdr:cNvPr id="422086" name="Text Box 198" hidden="1">
          <a:extLst>
            <a:ext uri="{FF2B5EF4-FFF2-40B4-BE49-F238E27FC236}">
              <a16:creationId xmlns:a16="http://schemas.microsoft.com/office/drawing/2014/main" id="{EA8ADB87-0019-EBD2-94A5-F19758165DAE}"/>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133350</xdr:rowOff>
    </xdr:from>
    <xdr:to>
      <xdr:col>9</xdr:col>
      <xdr:colOff>609600</xdr:colOff>
      <xdr:row>99</xdr:row>
      <xdr:rowOff>0</xdr:rowOff>
    </xdr:to>
    <xdr:sp macro="" textlink="">
      <xdr:nvSpPr>
        <xdr:cNvPr id="422085" name="Text Box 197" hidden="1">
          <a:extLst>
            <a:ext uri="{FF2B5EF4-FFF2-40B4-BE49-F238E27FC236}">
              <a16:creationId xmlns:a16="http://schemas.microsoft.com/office/drawing/2014/main" id="{34B6CE7B-2087-A541-1916-165A618CABC9}"/>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323850</xdr:rowOff>
    </xdr:from>
    <xdr:to>
      <xdr:col>9</xdr:col>
      <xdr:colOff>609600</xdr:colOff>
      <xdr:row>98</xdr:row>
      <xdr:rowOff>76200</xdr:rowOff>
    </xdr:to>
    <xdr:sp macro="" textlink="">
      <xdr:nvSpPr>
        <xdr:cNvPr id="422084" name="Text Box 196" hidden="1">
          <a:extLst>
            <a:ext uri="{FF2B5EF4-FFF2-40B4-BE49-F238E27FC236}">
              <a16:creationId xmlns:a16="http://schemas.microsoft.com/office/drawing/2014/main" id="{4EE2D081-35E2-BB90-6C96-F2C253774209}"/>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38100</xdr:rowOff>
    </xdr:from>
    <xdr:to>
      <xdr:col>9</xdr:col>
      <xdr:colOff>609600</xdr:colOff>
      <xdr:row>119</xdr:row>
      <xdr:rowOff>101600</xdr:rowOff>
    </xdr:to>
    <xdr:sp macro="" textlink="">
      <xdr:nvSpPr>
        <xdr:cNvPr id="422083" name="Text Box 195" hidden="1">
          <a:extLst>
            <a:ext uri="{FF2B5EF4-FFF2-40B4-BE49-F238E27FC236}">
              <a16:creationId xmlns:a16="http://schemas.microsoft.com/office/drawing/2014/main" id="{6FEA4C30-06DF-8EAE-AF86-20525331B5F3}"/>
            </a:ext>
          </a:extLst>
        </xdr:cNvPr>
        <xdr:cNvSpPr txBox="1">
          <a:spLocks noChangeArrowheads="1"/>
        </xdr:cNvSpPr>
      </xdr:nvSpPr>
      <xdr:spPr bwMode="auto">
        <a:xfrm>
          <a:off x="4489450" y="21209000"/>
          <a:ext cx="4362450" cy="379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38100</xdr:rowOff>
    </xdr:from>
    <xdr:to>
      <xdr:col>9</xdr:col>
      <xdr:colOff>609600</xdr:colOff>
      <xdr:row>120</xdr:row>
      <xdr:rowOff>76200</xdr:rowOff>
    </xdr:to>
    <xdr:sp macro="" textlink="">
      <xdr:nvSpPr>
        <xdr:cNvPr id="422082" name="Text Box 194" hidden="1">
          <a:extLst>
            <a:ext uri="{FF2B5EF4-FFF2-40B4-BE49-F238E27FC236}">
              <a16:creationId xmlns:a16="http://schemas.microsoft.com/office/drawing/2014/main" id="{31BAF4F8-0F76-5CB0-0619-4204A5588092}"/>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76200</xdr:rowOff>
    </xdr:from>
    <xdr:to>
      <xdr:col>9</xdr:col>
      <xdr:colOff>609600</xdr:colOff>
      <xdr:row>121</xdr:row>
      <xdr:rowOff>76200</xdr:rowOff>
    </xdr:to>
    <xdr:sp macro="" textlink="">
      <xdr:nvSpPr>
        <xdr:cNvPr id="422081" name="Text Box 193" hidden="1">
          <a:extLst>
            <a:ext uri="{FF2B5EF4-FFF2-40B4-BE49-F238E27FC236}">
              <a16:creationId xmlns:a16="http://schemas.microsoft.com/office/drawing/2014/main" id="{EB6AA27D-EAED-36BA-F740-C765C9BF05D9}"/>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38100</xdr:rowOff>
    </xdr:from>
    <xdr:to>
      <xdr:col>9</xdr:col>
      <xdr:colOff>609600</xdr:colOff>
      <xdr:row>121</xdr:row>
      <xdr:rowOff>76200</xdr:rowOff>
    </xdr:to>
    <xdr:sp macro="" textlink="">
      <xdr:nvSpPr>
        <xdr:cNvPr id="422080" name="Text Box 192" hidden="1">
          <a:extLst>
            <a:ext uri="{FF2B5EF4-FFF2-40B4-BE49-F238E27FC236}">
              <a16:creationId xmlns:a16="http://schemas.microsoft.com/office/drawing/2014/main" id="{DF47D71F-1754-C2E2-1A3B-B04FF6259F57}"/>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125</xdr:row>
      <xdr:rowOff>19050</xdr:rowOff>
    </xdr:from>
    <xdr:to>
      <xdr:col>24</xdr:col>
      <xdr:colOff>438150</xdr:colOff>
      <xdr:row>145</xdr:row>
      <xdr:rowOff>0</xdr:rowOff>
    </xdr:to>
    <xdr:sp macro="" textlink="">
      <xdr:nvSpPr>
        <xdr:cNvPr id="422079" name="Text Box 191" hidden="1">
          <a:extLst>
            <a:ext uri="{FF2B5EF4-FFF2-40B4-BE49-F238E27FC236}">
              <a16:creationId xmlns:a16="http://schemas.microsoft.com/office/drawing/2014/main" id="{29902BB1-0FE8-0E8F-90A1-F30A6CF0C964}"/>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14</xdr:row>
      <xdr:rowOff>101600</xdr:rowOff>
    </xdr:from>
    <xdr:to>
      <xdr:col>25</xdr:col>
      <xdr:colOff>609600</xdr:colOff>
      <xdr:row>34</xdr:row>
      <xdr:rowOff>76200</xdr:rowOff>
    </xdr:to>
    <xdr:sp macro="" textlink="">
      <xdr:nvSpPr>
        <xdr:cNvPr id="422078" name="Text Box 190" hidden="1">
          <a:extLst>
            <a:ext uri="{FF2B5EF4-FFF2-40B4-BE49-F238E27FC236}">
              <a16:creationId xmlns:a16="http://schemas.microsoft.com/office/drawing/2014/main" id="{B8C9F475-C035-B734-5BD9-3BC608F3FE44}"/>
            </a:ext>
          </a:extLst>
        </xdr:cNvPr>
        <xdr:cNvSpPr txBox="1">
          <a:spLocks noChangeArrowheads="1"/>
        </xdr:cNvSpPr>
      </xdr:nvSpPr>
      <xdr:spPr bwMode="auto">
        <a:xfrm>
          <a:off x="18522950" y="3562350"/>
          <a:ext cx="3733800" cy="400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101600</xdr:rowOff>
    </xdr:from>
    <xdr:to>
      <xdr:col>25</xdr:col>
      <xdr:colOff>609600</xdr:colOff>
      <xdr:row>43</xdr:row>
      <xdr:rowOff>76200</xdr:rowOff>
    </xdr:to>
    <xdr:sp macro="" textlink="">
      <xdr:nvSpPr>
        <xdr:cNvPr id="422077" name="Text Box 189" hidden="1">
          <a:extLst>
            <a:ext uri="{FF2B5EF4-FFF2-40B4-BE49-F238E27FC236}">
              <a16:creationId xmlns:a16="http://schemas.microsoft.com/office/drawing/2014/main" id="{47ED0807-1679-615B-C55A-C58D37824223}"/>
            </a:ext>
          </a:extLst>
        </xdr:cNvPr>
        <xdr:cNvSpPr txBox="1">
          <a:spLocks noChangeArrowheads="1"/>
        </xdr:cNvSpPr>
      </xdr:nvSpPr>
      <xdr:spPr bwMode="auto">
        <a:xfrm>
          <a:off x="18522950" y="5568950"/>
          <a:ext cx="3733800" cy="365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129</xdr:row>
      <xdr:rowOff>38100</xdr:rowOff>
    </xdr:from>
    <xdr:to>
      <xdr:col>25</xdr:col>
      <xdr:colOff>609600</xdr:colOff>
      <xdr:row>149</xdr:row>
      <xdr:rowOff>19050</xdr:rowOff>
    </xdr:to>
    <xdr:sp macro="" textlink="">
      <xdr:nvSpPr>
        <xdr:cNvPr id="422076" name="Text Box 188" hidden="1">
          <a:extLst>
            <a:ext uri="{FF2B5EF4-FFF2-40B4-BE49-F238E27FC236}">
              <a16:creationId xmlns:a16="http://schemas.microsoft.com/office/drawing/2014/main" id="{78B0A463-5A5A-7ECE-F27A-1EFB15094CC4}"/>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34</xdr:row>
      <xdr:rowOff>101600</xdr:rowOff>
    </xdr:from>
    <xdr:to>
      <xdr:col>16</xdr:col>
      <xdr:colOff>0</xdr:colOff>
      <xdr:row>54</xdr:row>
      <xdr:rowOff>76200</xdr:rowOff>
    </xdr:to>
    <xdr:sp macro="" textlink="">
      <xdr:nvSpPr>
        <xdr:cNvPr id="422075" name="Text Box 187" hidden="1">
          <a:extLst>
            <a:ext uri="{FF2B5EF4-FFF2-40B4-BE49-F238E27FC236}">
              <a16:creationId xmlns:a16="http://schemas.microsoft.com/office/drawing/2014/main" id="{2E117FFC-6E52-4032-847C-D1AD8CED931C}"/>
            </a:ext>
          </a:extLst>
        </xdr:cNvPr>
        <xdr:cNvSpPr txBox="1">
          <a:spLocks noChangeArrowheads="1"/>
        </xdr:cNvSpPr>
      </xdr:nvSpPr>
      <xdr:spPr bwMode="auto">
        <a:xfrm>
          <a:off x="10185400" y="7588250"/>
          <a:ext cx="4527550" cy="400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14</xdr:row>
      <xdr:rowOff>101600</xdr:rowOff>
    </xdr:from>
    <xdr:to>
      <xdr:col>28</xdr:col>
      <xdr:colOff>647700</xdr:colOff>
      <xdr:row>34</xdr:row>
      <xdr:rowOff>171450</xdr:rowOff>
    </xdr:to>
    <xdr:sp macro="" textlink="">
      <xdr:nvSpPr>
        <xdr:cNvPr id="422074" name="Text Box 186" hidden="1">
          <a:extLst>
            <a:ext uri="{FF2B5EF4-FFF2-40B4-BE49-F238E27FC236}">
              <a16:creationId xmlns:a16="http://schemas.microsoft.com/office/drawing/2014/main" id="{27360AEE-FBEA-3606-CBB7-A2E4E5A44362}"/>
            </a:ext>
          </a:extLst>
        </xdr:cNvPr>
        <xdr:cNvSpPr txBox="1">
          <a:spLocks noChangeArrowheads="1"/>
        </xdr:cNvSpPr>
      </xdr:nvSpPr>
      <xdr:spPr bwMode="auto">
        <a:xfrm>
          <a:off x="20224750" y="3562350"/>
          <a:ext cx="435610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23</xdr:row>
      <xdr:rowOff>101600</xdr:rowOff>
    </xdr:from>
    <xdr:to>
      <xdr:col>28</xdr:col>
      <xdr:colOff>647700</xdr:colOff>
      <xdr:row>43</xdr:row>
      <xdr:rowOff>152400</xdr:rowOff>
    </xdr:to>
    <xdr:sp macro="" textlink="">
      <xdr:nvSpPr>
        <xdr:cNvPr id="422073" name="Text Box 185" hidden="1">
          <a:extLst>
            <a:ext uri="{FF2B5EF4-FFF2-40B4-BE49-F238E27FC236}">
              <a16:creationId xmlns:a16="http://schemas.microsoft.com/office/drawing/2014/main" id="{FEEDF85D-38A4-C822-C240-A653FD4B37A9}"/>
            </a:ext>
          </a:extLst>
        </xdr:cNvPr>
        <xdr:cNvSpPr txBox="1">
          <a:spLocks noChangeArrowheads="1"/>
        </xdr:cNvSpPr>
      </xdr:nvSpPr>
      <xdr:spPr bwMode="auto">
        <a:xfrm>
          <a:off x="20224750" y="5568950"/>
          <a:ext cx="4356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129</xdr:row>
      <xdr:rowOff>38100</xdr:rowOff>
    </xdr:from>
    <xdr:to>
      <xdr:col>28</xdr:col>
      <xdr:colOff>647700</xdr:colOff>
      <xdr:row>149</xdr:row>
      <xdr:rowOff>101600</xdr:rowOff>
    </xdr:to>
    <xdr:sp macro="" textlink="">
      <xdr:nvSpPr>
        <xdr:cNvPr id="422072" name="Text Box 184" hidden="1">
          <a:extLst>
            <a:ext uri="{FF2B5EF4-FFF2-40B4-BE49-F238E27FC236}">
              <a16:creationId xmlns:a16="http://schemas.microsoft.com/office/drawing/2014/main" id="{ADF1A86B-FE7A-50D3-D2FC-55074D3C9DB2}"/>
            </a:ext>
          </a:extLst>
        </xdr:cNvPr>
        <xdr:cNvSpPr txBox="1">
          <a:spLocks noChangeArrowheads="1"/>
        </xdr:cNvSpPr>
      </xdr:nvSpPr>
      <xdr:spPr bwMode="auto">
        <a:xfrm>
          <a:off x="20224750" y="26784300"/>
          <a:ext cx="435610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14</xdr:row>
      <xdr:rowOff>101600</xdr:rowOff>
    </xdr:from>
    <xdr:to>
      <xdr:col>29</xdr:col>
      <xdr:colOff>647700</xdr:colOff>
      <xdr:row>34</xdr:row>
      <xdr:rowOff>133350</xdr:rowOff>
    </xdr:to>
    <xdr:sp macro="" textlink="">
      <xdr:nvSpPr>
        <xdr:cNvPr id="422071" name="Text Box 183" hidden="1">
          <a:extLst>
            <a:ext uri="{FF2B5EF4-FFF2-40B4-BE49-F238E27FC236}">
              <a16:creationId xmlns:a16="http://schemas.microsoft.com/office/drawing/2014/main" id="{20607810-A62F-8233-BD31-D82EB6756DA3}"/>
            </a:ext>
          </a:extLst>
        </xdr:cNvPr>
        <xdr:cNvSpPr txBox="1">
          <a:spLocks noChangeArrowheads="1"/>
        </xdr:cNvSpPr>
      </xdr:nvSpPr>
      <xdr:spPr bwMode="auto">
        <a:xfrm>
          <a:off x="20986750" y="3562350"/>
          <a:ext cx="435610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23</xdr:row>
      <xdr:rowOff>101600</xdr:rowOff>
    </xdr:from>
    <xdr:to>
      <xdr:col>29</xdr:col>
      <xdr:colOff>647700</xdr:colOff>
      <xdr:row>43</xdr:row>
      <xdr:rowOff>101600</xdr:rowOff>
    </xdr:to>
    <xdr:sp macro="" textlink="">
      <xdr:nvSpPr>
        <xdr:cNvPr id="422070" name="Text Box 182" hidden="1">
          <a:extLst>
            <a:ext uri="{FF2B5EF4-FFF2-40B4-BE49-F238E27FC236}">
              <a16:creationId xmlns:a16="http://schemas.microsoft.com/office/drawing/2014/main" id="{C8492FAF-7B87-5FFA-3F7A-4C1E9D9C3FBC}"/>
            </a:ext>
          </a:extLst>
        </xdr:cNvPr>
        <xdr:cNvSpPr txBox="1">
          <a:spLocks noChangeArrowheads="1"/>
        </xdr:cNvSpPr>
      </xdr:nvSpPr>
      <xdr:spPr bwMode="auto">
        <a:xfrm>
          <a:off x="20986750" y="55689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129</xdr:row>
      <xdr:rowOff>76200</xdr:rowOff>
    </xdr:from>
    <xdr:to>
      <xdr:col>29</xdr:col>
      <xdr:colOff>647700</xdr:colOff>
      <xdr:row>149</xdr:row>
      <xdr:rowOff>101600</xdr:rowOff>
    </xdr:to>
    <xdr:sp macro="" textlink="">
      <xdr:nvSpPr>
        <xdr:cNvPr id="422069" name="Text Box 181" hidden="1">
          <a:extLst>
            <a:ext uri="{FF2B5EF4-FFF2-40B4-BE49-F238E27FC236}">
              <a16:creationId xmlns:a16="http://schemas.microsoft.com/office/drawing/2014/main" id="{65B7A207-1C5B-CDCD-B644-6661AEDF9A25}"/>
            </a:ext>
          </a:extLst>
        </xdr:cNvPr>
        <xdr:cNvSpPr txBox="1">
          <a:spLocks noChangeArrowheads="1"/>
        </xdr:cNvSpPr>
      </xdr:nvSpPr>
      <xdr:spPr bwMode="auto">
        <a:xfrm>
          <a:off x="20986750" y="26822400"/>
          <a:ext cx="4356100" cy="370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58</xdr:row>
      <xdr:rowOff>76200</xdr:rowOff>
    </xdr:to>
    <xdr:sp macro="" textlink="">
      <xdr:nvSpPr>
        <xdr:cNvPr id="422068" name="Text Box 180" hidden="1">
          <a:extLst>
            <a:ext uri="{FF2B5EF4-FFF2-40B4-BE49-F238E27FC236}">
              <a16:creationId xmlns:a16="http://schemas.microsoft.com/office/drawing/2014/main" id="{39604F90-6ACB-DFEA-4338-D3EF0CAF651D}"/>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673100</xdr:colOff>
      <xdr:row>58</xdr:row>
      <xdr:rowOff>76200</xdr:rowOff>
    </xdr:to>
    <xdr:sp macro="" textlink="">
      <xdr:nvSpPr>
        <xdr:cNvPr id="422067" name="Text Box 179" hidden="1">
          <a:extLst>
            <a:ext uri="{FF2B5EF4-FFF2-40B4-BE49-F238E27FC236}">
              <a16:creationId xmlns:a16="http://schemas.microsoft.com/office/drawing/2014/main" id="{96105C87-5617-4D31-93C4-676BC1926C17}"/>
            </a:ext>
          </a:extLst>
        </xdr:cNvPr>
        <xdr:cNvSpPr txBox="1">
          <a:spLocks noChangeArrowheads="1"/>
        </xdr:cNvSpPr>
      </xdr:nvSpPr>
      <xdr:spPr bwMode="auto">
        <a:xfrm>
          <a:off x="11315700" y="8299450"/>
          <a:ext cx="483235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20</xdr:row>
      <xdr:rowOff>0</xdr:rowOff>
    </xdr:from>
    <xdr:to>
      <xdr:col>34</xdr:col>
      <xdr:colOff>647700</xdr:colOff>
      <xdr:row>40</xdr:row>
      <xdr:rowOff>0</xdr:rowOff>
    </xdr:to>
    <xdr:sp macro="" textlink="">
      <xdr:nvSpPr>
        <xdr:cNvPr id="422066" name="Text Box 178" hidden="1">
          <a:extLst>
            <a:ext uri="{FF2B5EF4-FFF2-40B4-BE49-F238E27FC236}">
              <a16:creationId xmlns:a16="http://schemas.microsoft.com/office/drawing/2014/main" id="{7767AC92-5389-D6A6-1B43-D49252C9A47A}"/>
            </a:ext>
          </a:extLst>
        </xdr:cNvPr>
        <xdr:cNvSpPr txBox="1">
          <a:spLocks noChangeArrowheads="1"/>
        </xdr:cNvSpPr>
      </xdr:nvSpPr>
      <xdr:spPr bwMode="auto">
        <a:xfrm>
          <a:off x="24796750" y="4914900"/>
          <a:ext cx="48387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56</xdr:row>
      <xdr:rowOff>0</xdr:rowOff>
    </xdr:from>
    <xdr:to>
      <xdr:col>18</xdr:col>
      <xdr:colOff>571500</xdr:colOff>
      <xdr:row>76</xdr:row>
      <xdr:rowOff>133350</xdr:rowOff>
    </xdr:to>
    <xdr:sp macro="" textlink="">
      <xdr:nvSpPr>
        <xdr:cNvPr id="422065" name="Text Box 177" hidden="1">
          <a:extLst>
            <a:ext uri="{FF2B5EF4-FFF2-40B4-BE49-F238E27FC236}">
              <a16:creationId xmlns:a16="http://schemas.microsoft.com/office/drawing/2014/main" id="{07DBCE8E-D88D-C1FD-E65D-ED0920D93783}"/>
            </a:ext>
          </a:extLst>
        </xdr:cNvPr>
        <xdr:cNvSpPr txBox="1">
          <a:spLocks noChangeArrowheads="1"/>
        </xdr:cNvSpPr>
      </xdr:nvSpPr>
      <xdr:spPr bwMode="auto">
        <a:xfrm>
          <a:off x="12153900" y="12287250"/>
          <a:ext cx="46545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61</xdr:row>
      <xdr:rowOff>19050</xdr:rowOff>
    </xdr:from>
    <xdr:to>
      <xdr:col>18</xdr:col>
      <xdr:colOff>609600</xdr:colOff>
      <xdr:row>81</xdr:row>
      <xdr:rowOff>152400</xdr:rowOff>
    </xdr:to>
    <xdr:sp macro="" textlink="">
      <xdr:nvSpPr>
        <xdr:cNvPr id="422064" name="Text Box 176" hidden="1">
          <a:extLst>
            <a:ext uri="{FF2B5EF4-FFF2-40B4-BE49-F238E27FC236}">
              <a16:creationId xmlns:a16="http://schemas.microsoft.com/office/drawing/2014/main" id="{8ED526AC-4408-30EA-F08E-C62CBDD57505}"/>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58</xdr:row>
      <xdr:rowOff>76200</xdr:rowOff>
    </xdr:to>
    <xdr:sp macro="" textlink="">
      <xdr:nvSpPr>
        <xdr:cNvPr id="422063" name="Text Box 175" hidden="1">
          <a:extLst>
            <a:ext uri="{FF2B5EF4-FFF2-40B4-BE49-F238E27FC236}">
              <a16:creationId xmlns:a16="http://schemas.microsoft.com/office/drawing/2014/main" id="{12F53A57-7600-8A2C-4A35-AD7143A519C4}"/>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14</xdr:row>
      <xdr:rowOff>101600</xdr:rowOff>
    </xdr:from>
    <xdr:to>
      <xdr:col>30</xdr:col>
      <xdr:colOff>673100</xdr:colOff>
      <xdr:row>34</xdr:row>
      <xdr:rowOff>152400</xdr:rowOff>
    </xdr:to>
    <xdr:sp macro="" textlink="">
      <xdr:nvSpPr>
        <xdr:cNvPr id="422062" name="Text Box 174" hidden="1">
          <a:extLst>
            <a:ext uri="{FF2B5EF4-FFF2-40B4-BE49-F238E27FC236}">
              <a16:creationId xmlns:a16="http://schemas.microsoft.com/office/drawing/2014/main" id="{5DE6E94A-FCCB-6F4C-88BF-59DA81A1844A}"/>
            </a:ext>
          </a:extLst>
        </xdr:cNvPr>
        <xdr:cNvSpPr txBox="1">
          <a:spLocks noChangeArrowheads="1"/>
        </xdr:cNvSpPr>
      </xdr:nvSpPr>
      <xdr:spPr bwMode="auto">
        <a:xfrm>
          <a:off x="21748750" y="3562350"/>
          <a:ext cx="4381500" cy="407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23</xdr:row>
      <xdr:rowOff>101600</xdr:rowOff>
    </xdr:from>
    <xdr:to>
      <xdr:col>30</xdr:col>
      <xdr:colOff>673100</xdr:colOff>
      <xdr:row>43</xdr:row>
      <xdr:rowOff>152400</xdr:rowOff>
    </xdr:to>
    <xdr:sp macro="" textlink="">
      <xdr:nvSpPr>
        <xdr:cNvPr id="422061" name="Text Box 173" hidden="1">
          <a:extLst>
            <a:ext uri="{FF2B5EF4-FFF2-40B4-BE49-F238E27FC236}">
              <a16:creationId xmlns:a16="http://schemas.microsoft.com/office/drawing/2014/main" id="{79A69666-198E-414D-6D85-AF47FFA12AD4}"/>
            </a:ext>
          </a:extLst>
        </xdr:cNvPr>
        <xdr:cNvSpPr txBox="1">
          <a:spLocks noChangeArrowheads="1"/>
        </xdr:cNvSpPr>
      </xdr:nvSpPr>
      <xdr:spPr bwMode="auto">
        <a:xfrm>
          <a:off x="21748750" y="5568950"/>
          <a:ext cx="43815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131</xdr:row>
      <xdr:rowOff>133350</xdr:rowOff>
    </xdr:from>
    <xdr:to>
      <xdr:col>30</xdr:col>
      <xdr:colOff>673100</xdr:colOff>
      <xdr:row>151</xdr:row>
      <xdr:rowOff>171450</xdr:rowOff>
    </xdr:to>
    <xdr:sp macro="" textlink="">
      <xdr:nvSpPr>
        <xdr:cNvPr id="422060" name="Text Box 172" hidden="1">
          <a:extLst>
            <a:ext uri="{FF2B5EF4-FFF2-40B4-BE49-F238E27FC236}">
              <a16:creationId xmlns:a16="http://schemas.microsoft.com/office/drawing/2014/main" id="{81204859-1E8B-9406-3D6A-51C25494AFF3}"/>
            </a:ext>
          </a:extLst>
        </xdr:cNvPr>
        <xdr:cNvSpPr txBox="1">
          <a:spLocks noChangeArrowheads="1"/>
        </xdr:cNvSpPr>
      </xdr:nvSpPr>
      <xdr:spPr bwMode="auto">
        <a:xfrm>
          <a:off x="2174875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14</xdr:row>
      <xdr:rowOff>114300</xdr:rowOff>
    </xdr:from>
    <xdr:to>
      <xdr:col>31</xdr:col>
      <xdr:colOff>673100</xdr:colOff>
      <xdr:row>34</xdr:row>
      <xdr:rowOff>152400</xdr:rowOff>
    </xdr:to>
    <xdr:sp macro="" textlink="">
      <xdr:nvSpPr>
        <xdr:cNvPr id="422059" name="Text Box 171" hidden="1">
          <a:extLst>
            <a:ext uri="{FF2B5EF4-FFF2-40B4-BE49-F238E27FC236}">
              <a16:creationId xmlns:a16="http://schemas.microsoft.com/office/drawing/2014/main" id="{8E9824A6-FB4F-47BE-B027-AA5F3BAB8F65}"/>
            </a:ext>
          </a:extLst>
        </xdr:cNvPr>
        <xdr:cNvSpPr txBox="1">
          <a:spLocks noChangeArrowheads="1"/>
        </xdr:cNvSpPr>
      </xdr:nvSpPr>
      <xdr:spPr bwMode="auto">
        <a:xfrm>
          <a:off x="2251075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23</xdr:row>
      <xdr:rowOff>114300</xdr:rowOff>
    </xdr:from>
    <xdr:to>
      <xdr:col>31</xdr:col>
      <xdr:colOff>673100</xdr:colOff>
      <xdr:row>43</xdr:row>
      <xdr:rowOff>152400</xdr:rowOff>
    </xdr:to>
    <xdr:sp macro="" textlink="">
      <xdr:nvSpPr>
        <xdr:cNvPr id="422058" name="Text Box 170" hidden="1">
          <a:extLst>
            <a:ext uri="{FF2B5EF4-FFF2-40B4-BE49-F238E27FC236}">
              <a16:creationId xmlns:a16="http://schemas.microsoft.com/office/drawing/2014/main" id="{7AC37C47-04B1-8F3D-2032-EB0973ED8742}"/>
            </a:ext>
          </a:extLst>
        </xdr:cNvPr>
        <xdr:cNvSpPr txBox="1">
          <a:spLocks noChangeArrowheads="1"/>
        </xdr:cNvSpPr>
      </xdr:nvSpPr>
      <xdr:spPr bwMode="auto">
        <a:xfrm>
          <a:off x="2251075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131</xdr:row>
      <xdr:rowOff>133350</xdr:rowOff>
    </xdr:from>
    <xdr:to>
      <xdr:col>31</xdr:col>
      <xdr:colOff>673100</xdr:colOff>
      <xdr:row>151</xdr:row>
      <xdr:rowOff>171450</xdr:rowOff>
    </xdr:to>
    <xdr:sp macro="" textlink="">
      <xdr:nvSpPr>
        <xdr:cNvPr id="422057" name="Text Box 169" hidden="1">
          <a:extLst>
            <a:ext uri="{FF2B5EF4-FFF2-40B4-BE49-F238E27FC236}">
              <a16:creationId xmlns:a16="http://schemas.microsoft.com/office/drawing/2014/main" id="{DAB5991A-A3A2-2C63-42BD-9AC3539CB389}"/>
            </a:ext>
          </a:extLst>
        </xdr:cNvPr>
        <xdr:cNvSpPr txBox="1">
          <a:spLocks noChangeArrowheads="1"/>
        </xdr:cNvSpPr>
      </xdr:nvSpPr>
      <xdr:spPr bwMode="auto">
        <a:xfrm>
          <a:off x="2251075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14</xdr:row>
      <xdr:rowOff>101600</xdr:rowOff>
    </xdr:from>
    <xdr:to>
      <xdr:col>32</xdr:col>
      <xdr:colOff>57150</xdr:colOff>
      <xdr:row>34</xdr:row>
      <xdr:rowOff>101600</xdr:rowOff>
    </xdr:to>
    <xdr:sp macro="" textlink="">
      <xdr:nvSpPr>
        <xdr:cNvPr id="422056" name="Text Box 168" hidden="1">
          <a:extLst>
            <a:ext uri="{FF2B5EF4-FFF2-40B4-BE49-F238E27FC236}">
              <a16:creationId xmlns:a16="http://schemas.microsoft.com/office/drawing/2014/main" id="{24126B9B-40BE-8CD0-9BD1-E2CBA1FD803B}"/>
            </a:ext>
          </a:extLst>
        </xdr:cNvPr>
        <xdr:cNvSpPr txBox="1">
          <a:spLocks noChangeArrowheads="1"/>
        </xdr:cNvSpPr>
      </xdr:nvSpPr>
      <xdr:spPr bwMode="auto">
        <a:xfrm>
          <a:off x="23304500" y="356235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23</xdr:row>
      <xdr:rowOff>101600</xdr:rowOff>
    </xdr:from>
    <xdr:to>
      <xdr:col>32</xdr:col>
      <xdr:colOff>57150</xdr:colOff>
      <xdr:row>43</xdr:row>
      <xdr:rowOff>114300</xdr:rowOff>
    </xdr:to>
    <xdr:sp macro="" textlink="">
      <xdr:nvSpPr>
        <xdr:cNvPr id="422055" name="Text Box 167" hidden="1">
          <a:extLst>
            <a:ext uri="{FF2B5EF4-FFF2-40B4-BE49-F238E27FC236}">
              <a16:creationId xmlns:a16="http://schemas.microsoft.com/office/drawing/2014/main" id="{FA75A0A9-F792-D277-9046-86F4CD82CFBF}"/>
            </a:ext>
          </a:extLst>
        </xdr:cNvPr>
        <xdr:cNvSpPr txBox="1">
          <a:spLocks noChangeArrowheads="1"/>
        </xdr:cNvSpPr>
      </xdr:nvSpPr>
      <xdr:spPr bwMode="auto">
        <a:xfrm>
          <a:off x="23304500" y="5568950"/>
          <a:ext cx="4216400" cy="3689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8</xdr:row>
      <xdr:rowOff>76200</xdr:rowOff>
    </xdr:from>
    <xdr:to>
      <xdr:col>42</xdr:col>
      <xdr:colOff>57150</xdr:colOff>
      <xdr:row>28</xdr:row>
      <xdr:rowOff>101600</xdr:rowOff>
    </xdr:to>
    <xdr:sp macro="" textlink="">
      <xdr:nvSpPr>
        <xdr:cNvPr id="422054" name="Text Box 166" hidden="1">
          <a:extLst>
            <a:ext uri="{FF2B5EF4-FFF2-40B4-BE49-F238E27FC236}">
              <a16:creationId xmlns:a16="http://schemas.microsoft.com/office/drawing/2014/main" id="{3DD2C511-6E34-5CC3-C736-C094B3603D4F}"/>
            </a:ext>
          </a:extLst>
        </xdr:cNvPr>
        <xdr:cNvSpPr txBox="1">
          <a:spLocks noChangeArrowheads="1"/>
        </xdr:cNvSpPr>
      </xdr:nvSpPr>
      <xdr:spPr bwMode="auto">
        <a:xfrm>
          <a:off x="31407100" y="2432050"/>
          <a:ext cx="373380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131</xdr:row>
      <xdr:rowOff>101600</xdr:rowOff>
    </xdr:from>
    <xdr:to>
      <xdr:col>32</xdr:col>
      <xdr:colOff>673100</xdr:colOff>
      <xdr:row>151</xdr:row>
      <xdr:rowOff>0</xdr:rowOff>
    </xdr:to>
    <xdr:sp macro="" textlink="">
      <xdr:nvSpPr>
        <xdr:cNvPr id="422053" name="Text Box 165" hidden="1">
          <a:extLst>
            <a:ext uri="{FF2B5EF4-FFF2-40B4-BE49-F238E27FC236}">
              <a16:creationId xmlns:a16="http://schemas.microsoft.com/office/drawing/2014/main" id="{702AE988-3D60-FDE9-8395-7938FCED342F}"/>
            </a:ext>
          </a:extLst>
        </xdr:cNvPr>
        <xdr:cNvSpPr txBox="1">
          <a:spLocks noChangeArrowheads="1"/>
        </xdr:cNvSpPr>
      </xdr:nvSpPr>
      <xdr:spPr bwMode="auto">
        <a:xfrm>
          <a:off x="23272750" y="27216100"/>
          <a:ext cx="4864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14</xdr:row>
      <xdr:rowOff>114300</xdr:rowOff>
    </xdr:from>
    <xdr:to>
      <xdr:col>33</xdr:col>
      <xdr:colOff>654050</xdr:colOff>
      <xdr:row>34</xdr:row>
      <xdr:rowOff>152400</xdr:rowOff>
    </xdr:to>
    <xdr:sp macro="" textlink="">
      <xdr:nvSpPr>
        <xdr:cNvPr id="422094" name="Text Box 206" hidden="1">
          <a:extLst>
            <a:ext uri="{FF2B5EF4-FFF2-40B4-BE49-F238E27FC236}">
              <a16:creationId xmlns:a16="http://schemas.microsoft.com/office/drawing/2014/main" id="{70468CED-CFF3-B4B1-209E-52A21C88DA50}"/>
            </a:ext>
          </a:extLst>
        </xdr:cNvPr>
        <xdr:cNvSpPr txBox="1">
          <a:spLocks noChangeArrowheads="1"/>
        </xdr:cNvSpPr>
      </xdr:nvSpPr>
      <xdr:spPr bwMode="auto">
        <a:xfrm>
          <a:off x="24034750" y="3575050"/>
          <a:ext cx="48450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23</xdr:row>
      <xdr:rowOff>114300</xdr:rowOff>
    </xdr:from>
    <xdr:to>
      <xdr:col>29</xdr:col>
      <xdr:colOff>654050</xdr:colOff>
      <xdr:row>28</xdr:row>
      <xdr:rowOff>0</xdr:rowOff>
    </xdr:to>
    <xdr:sp macro="" textlink="">
      <xdr:nvSpPr>
        <xdr:cNvPr id="422095" name="Text Box 207" hidden="1">
          <a:extLst>
            <a:ext uri="{FF2B5EF4-FFF2-40B4-BE49-F238E27FC236}">
              <a16:creationId xmlns:a16="http://schemas.microsoft.com/office/drawing/2014/main" id="{5579E5ED-C218-87BD-B1B3-8D768D1AD849}"/>
            </a:ext>
          </a:extLst>
        </xdr:cNvPr>
        <xdr:cNvSpPr txBox="1">
          <a:spLocks noChangeArrowheads="1"/>
        </xdr:cNvSpPr>
      </xdr:nvSpPr>
      <xdr:spPr bwMode="auto">
        <a:xfrm>
          <a:off x="24034750" y="55816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218908</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1304437</xdr:colOff>
      <xdr:row>53</xdr:row>
      <xdr:rowOff>549</xdr:rowOff>
    </xdr:from>
    <xdr:to>
      <xdr:col>2</xdr:col>
      <xdr:colOff>202398</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53</xdr:row>
      <xdr:rowOff>549</xdr:rowOff>
    </xdr:from>
    <xdr:to>
      <xdr:col>2</xdr:col>
      <xdr:colOff>183348</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53</xdr:row>
      <xdr:rowOff>549</xdr:rowOff>
    </xdr:from>
    <xdr:to>
      <xdr:col>2</xdr:col>
      <xdr:colOff>183348</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183766</xdr:rowOff>
    </xdr:from>
    <xdr:to>
      <xdr:col>2</xdr:col>
      <xdr:colOff>69048</xdr:colOff>
      <xdr:row>62</xdr:row>
      <xdr:rowOff>200967</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183766</xdr:rowOff>
    </xdr:from>
    <xdr:to>
      <xdr:col>2</xdr:col>
      <xdr:colOff>69048</xdr:colOff>
      <xdr:row>62</xdr:row>
      <xdr:rowOff>200967</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183766</xdr:rowOff>
    </xdr:from>
    <xdr:to>
      <xdr:col>2</xdr:col>
      <xdr:colOff>69048</xdr:colOff>
      <xdr:row>62</xdr:row>
      <xdr:rowOff>200967</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183766</xdr:rowOff>
    </xdr:from>
    <xdr:to>
      <xdr:col>2</xdr:col>
      <xdr:colOff>69048</xdr:colOff>
      <xdr:row>62</xdr:row>
      <xdr:rowOff>200967</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183766</xdr:rowOff>
    </xdr:from>
    <xdr:to>
      <xdr:col>2</xdr:col>
      <xdr:colOff>69048</xdr:colOff>
      <xdr:row>62</xdr:row>
      <xdr:rowOff>200967</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331038</xdr:rowOff>
    </xdr:from>
    <xdr:to>
      <xdr:col>2</xdr:col>
      <xdr:colOff>69048</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331038</xdr:rowOff>
    </xdr:from>
    <xdr:to>
      <xdr:col>2</xdr:col>
      <xdr:colOff>69048</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331038</xdr:rowOff>
    </xdr:from>
    <xdr:to>
      <xdr:col>2</xdr:col>
      <xdr:colOff>69048</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331038</xdr:rowOff>
    </xdr:from>
    <xdr:to>
      <xdr:col>2</xdr:col>
      <xdr:colOff>69048</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331038</xdr:rowOff>
    </xdr:from>
    <xdr:to>
      <xdr:col>2</xdr:col>
      <xdr:colOff>69048</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331038</xdr:rowOff>
    </xdr:from>
    <xdr:to>
      <xdr:col>2</xdr:col>
      <xdr:colOff>69048</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287181</xdr:rowOff>
    </xdr:from>
    <xdr:to>
      <xdr:col>2</xdr:col>
      <xdr:colOff>183348</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296706</xdr:rowOff>
    </xdr:from>
    <xdr:to>
      <xdr:col>2</xdr:col>
      <xdr:colOff>69048</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228461</xdr:rowOff>
    </xdr:from>
    <xdr:to>
      <xdr:col>2</xdr:col>
      <xdr:colOff>69048</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92564</xdr:rowOff>
    </xdr:from>
    <xdr:to>
      <xdr:col>2</xdr:col>
      <xdr:colOff>69048</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284006</xdr:rowOff>
    </xdr:from>
    <xdr:to>
      <xdr:col>2</xdr:col>
      <xdr:colOff>69048</xdr:colOff>
      <xdr:row>68</xdr:row>
      <xdr:rowOff>64931</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64931</xdr:rowOff>
    </xdr:from>
    <xdr:to>
      <xdr:col>2</xdr:col>
      <xdr:colOff>69048</xdr:colOff>
      <xdr:row>68</xdr:row>
      <xdr:rowOff>184011</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184011</xdr:rowOff>
    </xdr:from>
    <xdr:to>
      <xdr:col>2</xdr:col>
      <xdr:colOff>69048</xdr:colOff>
      <xdr:row>69</xdr:row>
      <xdr:rowOff>26831</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287181</xdr:rowOff>
    </xdr:from>
    <xdr:to>
      <xdr:col>2</xdr:col>
      <xdr:colOff>183348</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296706</xdr:rowOff>
    </xdr:from>
    <xdr:to>
      <xdr:col>2</xdr:col>
      <xdr:colOff>69048</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228461</xdr:rowOff>
    </xdr:from>
    <xdr:to>
      <xdr:col>2</xdr:col>
      <xdr:colOff>69048</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92564</xdr:rowOff>
    </xdr:from>
    <xdr:to>
      <xdr:col>2</xdr:col>
      <xdr:colOff>69048</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284006</xdr:rowOff>
    </xdr:from>
    <xdr:to>
      <xdr:col>2</xdr:col>
      <xdr:colOff>69048</xdr:colOff>
      <xdr:row>68</xdr:row>
      <xdr:rowOff>64931</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64931</xdr:rowOff>
    </xdr:from>
    <xdr:to>
      <xdr:col>2</xdr:col>
      <xdr:colOff>69048</xdr:colOff>
      <xdr:row>68</xdr:row>
      <xdr:rowOff>184011</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184011</xdr:rowOff>
    </xdr:from>
    <xdr:to>
      <xdr:col>2</xdr:col>
      <xdr:colOff>69048</xdr:colOff>
      <xdr:row>69</xdr:row>
      <xdr:rowOff>26831</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69</xdr:row>
      <xdr:rowOff>133350</xdr:rowOff>
    </xdr:from>
    <xdr:to>
      <xdr:col>2</xdr:col>
      <xdr:colOff>183348</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257175</xdr:rowOff>
    </xdr:from>
    <xdr:to>
      <xdr:col>2</xdr:col>
      <xdr:colOff>69048</xdr:colOff>
      <xdr:row>67</xdr:row>
      <xdr:rowOff>254000</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234950</xdr:rowOff>
    </xdr:from>
    <xdr:to>
      <xdr:col>2</xdr:col>
      <xdr:colOff>69048</xdr:colOff>
      <xdr:row>68</xdr:row>
      <xdr:rowOff>85725</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85725</xdr:rowOff>
    </xdr:from>
    <xdr:to>
      <xdr:col>2</xdr:col>
      <xdr:colOff>69048</xdr:colOff>
      <xdr:row>68</xdr:row>
      <xdr:rowOff>276225</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276225</xdr:rowOff>
    </xdr:from>
    <xdr:to>
      <xdr:col>2</xdr:col>
      <xdr:colOff>69048</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69</xdr:row>
      <xdr:rowOff>57150</xdr:rowOff>
    </xdr:from>
    <xdr:to>
      <xdr:col>2</xdr:col>
      <xdr:colOff>69048</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69</xdr:row>
      <xdr:rowOff>133350</xdr:rowOff>
    </xdr:from>
    <xdr:to>
      <xdr:col>2</xdr:col>
      <xdr:colOff>69048</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6350</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0</xdr:rowOff>
    </xdr:from>
    <xdr:to>
      <xdr:col>2</xdr:col>
      <xdr:colOff>873125</xdr:colOff>
      <xdr:row>68</xdr:row>
      <xdr:rowOff>85725</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0</xdr:rowOff>
    </xdr:from>
    <xdr:to>
      <xdr:col>2</xdr:col>
      <xdr:colOff>873125</xdr:colOff>
      <xdr:row>68</xdr:row>
      <xdr:rowOff>85725</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0</xdr:rowOff>
    </xdr:from>
    <xdr:to>
      <xdr:col>2</xdr:col>
      <xdr:colOff>873125</xdr:colOff>
      <xdr:row>68</xdr:row>
      <xdr:rowOff>85725</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0</xdr:rowOff>
    </xdr:from>
    <xdr:to>
      <xdr:col>2</xdr:col>
      <xdr:colOff>873125</xdr:colOff>
      <xdr:row>68</xdr:row>
      <xdr:rowOff>85725</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0</xdr:rowOff>
    </xdr:from>
    <xdr:to>
      <xdr:col>2</xdr:col>
      <xdr:colOff>873125</xdr:colOff>
      <xdr:row>68</xdr:row>
      <xdr:rowOff>85725</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161925</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6</xdr:col>
      <xdr:colOff>76200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6</xdr:col>
      <xdr:colOff>76200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6</xdr:col>
      <xdr:colOff>76200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6</xdr:col>
      <xdr:colOff>76200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76200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0</xdr:rowOff>
    </xdr:from>
    <xdr:to>
      <xdr:col>6</xdr:col>
      <xdr:colOff>711200</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L10" dT="2023-01-27T19:07:20.15" personId="{609654FB-393E-4954-B3A3-EDB231775774}" id="{E01C7D51-1793-4A61-9FD5-357953FC571D}">
    <text>Q10, Q11, and Q12 mpcs were changed from 0% to 3.0%</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9" dT="2022-07-27T15:16:37.13" personId="{104078EE-2393-4C21-9029-18A325FBDB70}" id="{976B723C-4211-4969-882A-4B89C4902055}">
    <text>May 2022 CBO economic projections row 127 quarterly table</text>
  </threadedComment>
  <threadedComment ref="B9" dT="2023-02-15T19:40:23.85" personId="{609654FB-393E-4954-B3A3-EDB231775774}" id="{5D4FEFF0-1A89-4604-A6EE-A9921838BC6F}" parentId="{976B723C-4211-4969-882A-4B89C4902055}">
    <text>This is now February 2023 CBO economic projections row 127 quarterly table</text>
  </threadedComment>
  <threadedComment ref="B9" dT="2023-07-27T18:31:18.10" personId="{609654FB-393E-4954-B3A3-EDB231775774}" id="{D78ED2FD-083D-4D3D-90CB-588F26BDC2F5}" parentId="{976B723C-4211-4969-882A-4B89C4902055}">
    <text>This is now July 2023 CBO economic projections row 127 quarterly table</text>
  </threadedComment>
  <threadedComment ref="B9" dT="2024-02-21T22:16:46.87" personId="{09FAC3F1-DFDB-4CF8-9903-358701529E2B}" id="{D555AF99-F94F-4BDE-B145-E138B69AEBCF}" parentId="{976B723C-4211-4969-882A-4B89C4902055}">
    <text>This is now February 2024 CBO economic projections row 129 quarterly table.</text>
  </threadedComment>
  <threadedComment ref="B9" dT="2024-06-26T18:41:21.94" personId="{2C68A5A1-706F-4A3E-93A3-741BBABEC4EA}" id="{74EA8410-AE4F-463D-AA1C-7B843C4FD6DA}" parentId="{976B723C-4211-4969-882A-4B89C4902055}">
    <text>This is now June 2024 CBO Economic Projections Quarterly table row 129 from 2021 Q1 onward</text>
  </threadedComment>
  <threadedComment ref="B9" dT="2025-01-23T18:39:00.01" personId="{B61C96CF-201E-4FBB-AE0C-863888EC2CC5}" id="{54E25019-9AE1-405D-AC1B-B5D7DFED84A5}" parentId="{976B723C-4211-4969-882A-4B89C4902055}">
    <text>This is now January 2025 CBO Economic Projections Quarterly table row 129 from 2022 Q1 onward</text>
  </threadedComment>
  <threadedComment ref="B10" dT="2022-07-27T15:17:23.40" personId="{104078EE-2393-4C21-9029-18A325FBDB70}" id="{02F35ABE-CA0E-4752-B4BE-50C4C795E703}">
    <text>May 2022 CBO economic projections row 128 quarterly table</text>
  </threadedComment>
  <threadedComment ref="B10" dT="2023-02-15T19:42:15.43" personId="{609654FB-393E-4954-B3A3-EDB231775774}" id="{1133CB4B-569A-43E1-B7BE-00E25FCCA35F}" parentId="{02F35ABE-CA0E-4752-B4BE-50C4C795E703}">
    <text>This is now February 2023 CBO economic projections row 128 quarterly table</text>
  </threadedComment>
  <threadedComment ref="B10" dT="2023-07-27T18:36:08.52" personId="{609654FB-393E-4954-B3A3-EDB231775774}" id="{AC82CDDA-A4C5-4000-9E65-2F0D9994C127}" parentId="{02F35ABE-CA0E-4752-B4BE-50C4C795E703}">
    <text>This is now July 2023 CBO economic projections row 128 quarterly table</text>
  </threadedComment>
  <threadedComment ref="B10" dT="2024-02-21T22:17:34.08" personId="{09FAC3F1-DFDB-4CF8-9903-358701529E2B}" id="{EEF54E4D-75AC-4CE6-B7B4-A2F50898FDD2}" parentId="{02F35ABE-CA0E-4752-B4BE-50C4C795E703}">
    <text>This is now February 2024 CBO economic projections row 130 quarterly table</text>
  </threadedComment>
  <threadedComment ref="B10" dT="2024-06-26T18:42:24.26" personId="{2C68A5A1-706F-4A3E-93A3-741BBABEC4EA}" id="{206732D9-B230-42BD-890A-AC6D4948168E}" parentId="{02F35ABE-CA0E-4752-B4BE-50C4C795E703}">
    <text>This is now June 2024 CBO Economic Projections Quarterly table row 130 from 2021 Q1 onward.</text>
  </threadedComment>
  <threadedComment ref="B10" dT="2025-01-23T18:40:30.03" personId="{B61C96CF-201E-4FBB-AE0C-863888EC2CC5}" id="{38023FF8-3814-4834-81B6-74E3ECC740A3}" parentId="{02F35ABE-CA0E-4752-B4BE-50C4C795E703}">
    <text>This is now January 2025 CBO Economic Projections Quarterly table row 130 from 2022 Q1 onward.</text>
  </threadedComment>
  <threadedComment ref="AG11" dT="2023-08-18T20:42:13.02" personId="{2C68A5A1-706F-4A3E-93A3-741BBABEC4EA}" id="{0ADCB210-D448-44DD-A5EE-5E6E7334408B}">
    <text>This number isn't a valid projection until we get a 2026 Q1 growth rate.</text>
  </threadedComment>
  <threadedComment ref="B29" dT="2022-06-30T18:28:35.88" personId="{104078EE-2393-4C21-9029-18A325FBDB70}" id="{3D5BBFAC-4E76-4F2A-B34F-264D54111B07}">
    <text>May 2022 CBO economic projections row 129 quarterly table</text>
  </threadedComment>
  <threadedComment ref="B29" dT="2023-02-15T19:43:47.77" personId="{609654FB-393E-4954-B3A3-EDB231775774}" id="{D2ED8084-9DED-49AE-9C39-DE899BA6DBE4}" parentId="{3D5BBFAC-4E76-4F2A-B34F-264D54111B07}">
    <text>This is now February 2023 CBO economic projections row 129 quarterly table</text>
  </threadedComment>
  <threadedComment ref="B29" dT="2023-07-27T18:37:42.56" personId="{609654FB-393E-4954-B3A3-EDB231775774}" id="{5A35562D-9D11-4966-A103-00D106E2863D}" parentId="{3D5BBFAC-4E76-4F2A-B34F-264D54111B07}">
    <text>This is now July 2023 CBO economic projections row 129 quarterly table</text>
  </threadedComment>
  <threadedComment ref="B29" dT="2024-02-21T22:22:11.49" personId="{09FAC3F1-DFDB-4CF8-9903-358701529E2B}" id="{20A7D685-EAA3-4C01-B5CA-107CB58D087F}" parentId="{3D5BBFAC-4E76-4F2A-B34F-264D54111B07}">
    <text>This is now February 2024 CBO economic projections row 131 quarterly table.</text>
  </threadedComment>
  <threadedComment ref="B29" dT="2024-06-26T18:44:20.97" personId="{2C68A5A1-706F-4A3E-93A3-741BBABEC4EA}" id="{9A13A553-A958-4882-A266-2E3589681540}" parentId="{3D5BBFAC-4E76-4F2A-B34F-264D54111B07}">
    <text>This is now June 2024 CBO Economic Projections Quarterly table row 131 from 2021 Q1 onward.</text>
  </threadedComment>
  <threadedComment ref="B29"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30" dT="2024-06-26T18:46:33.64" personId="{2C68A5A1-706F-4A3E-93A3-741BBABEC4EA}" id="{E7D459C7-D63C-4E4A-AE4E-B08D7B79CF4D}">
    <text>These data are from June 2024 CBO Economic Projections Quarterly table, row 132 from 2021 Q1 onward.</text>
  </threadedComment>
  <threadedComment ref="B30"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37" dT="2023-11-30T15:39:21.04" personId="{2C68A5A1-706F-4A3E-93A3-741BBABEC4EA}" id="{C146291D-B06B-4D46-A30C-B289BA81D51C}">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6F7D0E44-45B2-4003-8249-3888890A6B9B}">
    <text>End of public health emergency,  April 2023, so FMAP share goes down.</text>
  </threadedComment>
  <threadedComment ref="V12" dT="2023-07-27T14:27:37.22" personId="{2C68A5A1-706F-4A3E-93A3-741BBABEC4EA}" id="{2833D23B-E63D-499C-BF3F-AE811D6642DE}" parentId="{6F7D0E44-45B2-4003-8249-3888890A6B9B}">
    <text>How do we feel about FMAP stabilizing at 0.71 in our projections?</text>
  </threadedComment>
  <threadedComment ref="W12" dT="2023-07-28T14:54:19.93" personId="{609654FB-393E-4954-B3A3-EDB231775774}" id="{AD8BE1EB-30C1-4CFB-A518-57E98CBEADF4}">
    <text>We reduced this predicted FMAP from .745 to .72 because Q2 FMAP came in quite low</text>
  </threadedComment>
  <threadedComment ref="B17" dT="2022-05-26T13:51:07.76" personId="{104078EE-2393-4C21-9029-18A325FBDB70}" id="{C3958D6E-5D0B-4757-8548-DC4AB51469BE}">
    <text>May 2022 CBO 10-year budget projections Table 3-2 Mandatory Outlays Projected in CBO's baseline, adjusted to exclude effects of timing shifts, Row 18</text>
  </threadedComment>
  <threadedComment ref="B17" dT="2023-02-15T19:53:13.46" personId="{609654FB-393E-4954-B3A3-EDB231775774}" id="{33C21F0C-3560-41CE-A5DD-3B71DEE775BD}" parentId="{C3958D6E-5D0B-4757-8548-DC4AB51469BE}">
    <text>This is now February 2023 CBO 10-year budget projections table 1-4 Mandatory Outlays Adjusted to Exclude the Effect of Timing Shifts, row 15, starting from 2022</text>
  </threadedComment>
  <threadedComment ref="B17" dT="2023-06-29T16:02:43.93" personId="{2C68A5A1-706F-4A3E-93A3-741BBABEC4EA}" id="{253E30F8-5B4F-4163-AE47-B0A273CFEC23}" parentId="{C3958D6E-5D0B-4757-8548-DC4AB51469BE}">
    <text>May 2023 CBO 10-year budget projections supplemental table 2 Major health care programs &gt; Medicaid (row 16) starting from Actual, 2022.</text>
  </threadedComment>
  <threadedComment ref="B17" dT="2024-02-22T14:20:57.00" personId="{09FAC3F1-DFDB-4CF8-9903-358701529E2B}" id="{5BBDC251-44BB-4030-AD85-8E24540ECA90}" parentId="{C3958D6E-5D0B-4757-8548-DC4AB51469BE}">
    <text>This is now February 2024 CBO 10-year budget projections table 1-4 Mandatory Outlays Adjusted to Exclude the Effect of Timing Shifts, row 15, starting from 2023</text>
  </threadedComment>
  <threadedComment ref="B17" dT="2024-06-26T18:57:37.91" personId="{2C68A5A1-706F-4A3E-93A3-741BBABEC4EA}" id="{3266CE3F-B88B-41A5-AAF3-D02B9F4B66DF}" parentId="{C3958D6E-5D0B-4757-8548-DC4AB51469BE}">
    <text>This is now June 2024 CBO Budget Projections table table 1-4 Mandatory Outlays Adjusted to Exclude the Effect of Timing Shifts, row 15, starting from 2023</text>
  </threadedComment>
  <threadedComment ref="B17" dT="2025-01-23T18:50:28.50" personId="{B61C96CF-201E-4FBB-AE0C-863888EC2CC5}" id="{9726D289-2962-4D89-AAEF-946DFF923C26}" parentId="{C3958D6E-5D0B-4757-8548-DC4AB51469BE}">
    <text>This is now January 2025 CBO Budget Projections Table B-4 Mandatory Outlays Adjusted to Exclude Effects of Timing Shifts, row 16, starting from 2024 onward</text>
  </threadedComment>
  <threadedComment ref="H20" dT="2024-06-27T21:00:39.81" personId="{09FAC3F1-DFDB-4CF8-9903-358701529E2B}" id="{5E572FF7-E343-4136-B9B8-D659D5E1B294}">
    <text>We are adding 0.01 because we don't know what CBO is thinking.</text>
  </threadedComment>
  <threadedComment ref="W27"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7" dT="2024-12-12T16:10:32.35" personId="{09FAC3F1-DFDB-4CF8-9903-358701529E2B}" id="{6A9D0C8A-F9C2-4EE0-B3A9-3E7911CC1731}">
    <text>We need to fill in K18</text>
  </threadedComment>
  <threadedComment ref="V28" dT="2023-07-26T20:48:20.39" personId="{2C68A5A1-706F-4A3E-93A3-741BBABEC4EA}" id="{5E6012FC-E5EC-49B2-9F3E-FF9BACB20939}">
    <text>Is there any reason we want a 32 here? The formula doesn't have any dependents, so this is not factoring into anything.</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1"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2" dT="2023-02-16T19:02:57.27" personId="{609654FB-393E-4954-B3A3-EDB231775774}" id="{9CD67460-E1CB-4B53-9C37-E18E4A204770}">
    <text>Same issue as previous--we have policies but they don't feed into anything we get from the CBO. So what do we do?</text>
  </threadedComment>
  <threadedComment ref="W50" dT="2023-07-28T17:56:37.74" personId="{2C68A5A1-706F-4A3E-93A3-741BBABEC4EA}" id="{E1EEB2AC-C029-4C98-981E-E7577AACBA1F}">
    <text>We're assuming it will stay at 37.7 because of the new TFP</text>
  </threadedComment>
  <threadedComment ref="J66" dT="2021-11-02T13:23:36.94" personId="{58CF8BEC-4104-46F7-BE4F-2C9403635492}" id="{8624CBF8-0C25-4544-B55E-7210BBE07E41}">
    <text>Formula changes to grow by counterfactual pre-covid growth rate</text>
  </threadedComment>
  <threadedComment ref="M66" dT="2021-11-02T13:26:53.83" personId="{58CF8BEC-4104-46F7-BE4F-2C9403635492}" id="{B38BAE8E-DF30-49E2-9F96-90A1041E4DF0}">
    <text>Accounting for step up in social security</text>
  </threadedComment>
  <threadedComment ref="M66" dT="2022-07-28T10:16:22.56" personId="{104078EE-2393-4C21-9029-18A325FBDB70}" id="{E0C007BA-F33F-4062-A357-370316E1FFF4}" parentId="{B38BAE8E-DF30-49E2-9F96-90A1041E4DF0}">
    <text>every Q1</text>
  </threadedComment>
  <threadedComment ref="U66" dT="2022-10-28T13:56:35.19" personId="{609654FB-393E-4954-B3A3-EDB231775774}" id="{96427D88-0329-491C-A939-11D66B55F1C3}" done="1">
    <text>COLA adjustment questions.</text>
  </threadedComment>
  <threadedComment ref="Y66" dT="2022-10-28T13:56:35.19" personId="{609654FB-393E-4954-B3A3-EDB231775774}" id="{8AABB420-F73D-4E8A-8DF7-F245078D4E11}">
    <text>COLA adjustment questions.</text>
  </threadedComment>
  <threadedComment ref="AC66" dT="2022-10-28T13:56:35.19" personId="{609654FB-393E-4954-B3A3-EDB231775774}" id="{41707468-7438-4BC6-B704-F002DDD23F47}">
    <text>COLA adjustment questions.</text>
  </threadedComment>
  <threadedComment ref="B91" dT="2023-02-24T16:39:02.09" personId="{104078EE-2393-4C21-9029-18A325FBDB70}" id="{6AF7CFB2-704D-4104-831C-CFDBBA2AEEEB}">
    <text>CBO Feb 2023 budget projections table 1-4, social security subtotal</text>
  </threadedComment>
  <threadedComment ref="B91" dT="2023-06-29T15:43:04.78" personId="{2C68A5A1-706F-4A3E-93A3-741BBABEC4EA}" id="{7DD95AD6-CB37-4E4C-85DB-D839D0D68392}" parentId="{6AF7CFB2-704D-4104-831C-CFDBBA2AEEEB}">
    <text>CBO May 2023 budget projections supplemental table 2, social security subtotal</text>
  </threadedComment>
  <threadedComment ref="B91"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1"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1"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3.xml><?xml version="1.0" encoding="utf-8"?>
<ThreadedComments xmlns="http://schemas.microsoft.com/office/spreadsheetml/2018/threadedcomments" xmlns:x="http://schemas.openxmlformats.org/spreadsheetml/2006/main">
  <threadedComment ref="R8" dT="2022-10-27T18:55:12.78" personId="{609654FB-393E-4954-B3A3-EDB231775774}" id="{C1427567-6345-422C-950F-10556EB5D1E6}">
    <text>The levels are a lot lower!</text>
  </threadedComment>
  <threadedComment ref="V16" dT="2023-07-27T13:55:30.12" personId="{2C68A5A1-706F-4A3E-93A3-741BBABEC4EA}" id="{EBE1E7D2-6EB8-4B92-8CE8-BB562C83E893}">
    <text>Drag my predecessor forward in August 2023!! (Corporate taxes come in late, and we couldn't update in July!)</text>
  </threadedComment>
  <threadedComment ref="W16" dT="2023-10-26T13:36:22.11" personId="{609654FB-393E-4954-B3A3-EDB231775774}" id="{593AFA9A-8DC4-4E71-AAA8-0645166E3F25}">
    <text>Drag this forward in November, by the same logic as the comment in the previous cell.</text>
  </threadedComment>
  <threadedComment ref="X16" dT="2024-01-24T19:06:54.51" personId="{09FAC3F1-DFDB-4CF8-9903-358701529E2B}" id="{E6E2D78D-4384-4561-939B-9BC7331F8BE8}">
    <text>Drag this forward in February because we get Q4 data a month late.</text>
  </threadedComment>
  <threadedComment ref="Y16" dT="2024-07-25T15:32:05.95" personId="{09FAC3F1-DFDB-4CF8-9903-358701529E2B}" id="{49FFCEA4-DB95-4205-AFF6-7460DD4E5BD6}">
    <text xml:space="preserve">Drag this forward in August 2024 because we get corporate taxes a month late. </text>
  </threadedComment>
  <threadedComment ref="Z16" dT="2024-08-29T14:13:41.39" personId="{09FAC3F1-DFDB-4CF8-9903-358701529E2B}" id="{532E12BD-0998-418E-B570-F87A746D9747}">
    <text xml:space="preserve">Drag this forward in November because we get taxes a month late. </text>
  </threadedComment>
  <threadedComment ref="AA16" dT="2024-11-26T20:16:42.98" personId="{09FAC3F1-DFDB-4CF8-9903-358701529E2B}" id="{AB1A14CA-DE5C-4A74-9649-E3C9566127ED}">
    <text>Drag this forward in March (we typically get corporate taxes a month late, but at the start of the year, we get corporate taxes two months after the initial release)</text>
  </threadedComment>
  <threadedComment ref="AB16" dT="2025-03-28T13:31:17.28" personId="{09FAC3F1-DFDB-4CF8-9903-358701529E2B}" id="{04F0C19F-5689-47C7-8B13-A2E1AE7CD1BE}">
    <text xml:space="preserve">Drag this forward in May - we get corporate taxes a month late. </text>
  </threadedComment>
  <threadedComment ref="AC21" dT="2024-04-26T16:37:16.34" personId="{09FAC3F1-DFDB-4CF8-9903-358701529E2B}" id="{D06702F8-F5F4-41FB-BA11-B2023B5B68A7}">
    <text>For all state taxes, (lines 21,23,24), Change Y to AC when data come in</text>
  </threadedComment>
  <threadedComment ref="V25" dT="2023-07-27T13:56:35.04" personId="{2C68A5A1-706F-4A3E-93A3-741BBABEC4EA}" id="{9443444D-0A20-425F-9300-C411DBC65A0D}">
    <text>Drag my predecessor forward in August 2023!! (Corporate taxes come in late, and we couldn't update in July!)</text>
  </threadedComment>
  <threadedComment ref="W25" dT="2023-10-26T13:36:43.23" personId="{609654FB-393E-4954-B3A3-EDB231775774}" id="{8773E616-7533-4D96-8216-0F45303BCB01}">
    <text>Drag this forward in November, by the same logic as in the previous cell.</text>
  </threadedComment>
  <threadedComment ref="X25" dT="2024-01-24T19:07:35.34" personId="{09FAC3F1-DFDB-4CF8-9903-358701529E2B}" id="{F4C081DF-9BF8-4221-BECE-CB42A30EB5BC}">
    <text>Drag this forward in February because we get Q4 data one month late.</text>
  </threadedComment>
  <threadedComment ref="Y25" dT="2024-07-25T15:32:48.53" personId="{09FAC3F1-DFDB-4CF8-9903-358701529E2B}" id="{FA85206C-2107-4C24-ACB7-B7A58E6685DD}">
    <text>Drag this forward in August because we get corporate taxes a month late.</text>
  </threadedComment>
  <threadedComment ref="Z25" dT="2024-08-29T14:14:21.83" personId="{09FAC3F1-DFDB-4CF8-9903-358701529E2B}" id="{F748C468-F3C4-4E41-BF45-75E421D4EB9E}">
    <text>Drag this forward in November because we get taxes a month late.</text>
  </threadedComment>
  <threadedComment ref="AA25" dT="2024-11-26T20:16:59.30" personId="{09FAC3F1-DFDB-4CF8-9903-358701529E2B}" id="{D570B77E-B816-43C6-ACEF-79E4AFAEEA7C}">
    <text xml:space="preserve">Drag this forward in March. </text>
  </threadedComment>
  <threadedComment ref="AB25" dT="2025-04-29T13:43:13.39" personId="{B61C96CF-201E-4FBB-AE0C-863888EC2CC5}" id="{637B160A-FB62-428D-8639-3B976C548310}">
    <text xml:space="preserve">Drag this forward in May - we get corporate taxes a month late. 
</text>
  </threadedComment>
  <threadedComment ref="K36" dT="2023-09-29T18:40:36.76" personId="{2C68A5A1-706F-4A3E-93A3-741BBABEC4EA}" id="{1065F4CB-52AB-4B92-B793-654578199E67}">
    <text>We adjusted these growth rates upward because CBO expected taxes to fall gradually but instead they fell quickly.</text>
  </threadedComment>
  <threadedComment ref="K40" dT="2024-02-29T21:02:38.53" personId="{4C0C5F85-AD1E-4C57-B372-003AF5B78A9F}" id="{6EA59173-A6A4-4520-BC55-CD373EBDD6E4}">
    <text>We reduced the CBO growth rate from 36% to 10% because it seemed anomolously high</text>
  </threadedComment>
  <threadedComment ref="L40" dT="2024-02-29T21:03:05.03" personId="{4C0C5F85-AD1E-4C57-B372-003AF5B78A9F}" id="{B7BB92B9-56AF-428A-90BE-8769E0F9A367}">
    <text>We increased the CBO growth rate to account for our large adjustment in the previous year</text>
  </threadedComment>
  <threadedComment ref="M40" dT="2024-05-30T19:58:14.22" personId="{2C68A5A1-706F-4A3E-93A3-741BBABEC4EA}" id="{F12C7BC9-1DAF-45BE-BFCA-781CDA4BC7CD}">
    <text>Another additional add factor, similar to comment to the left</text>
  </threadedComment>
  <threadedComment ref="D56" dT="2023-02-15T20:39:04.10" personId="{609654FB-393E-4954-B3A3-EDB231775774}" id="{54F6D9F3-8868-417E-999A-B95E2C1FC589}">
    <text>May 2023 CBO Budget Projections Table 1 Row 12</text>
  </threadedComment>
  <threadedComment ref="D56" dT="2024-02-22T14:31:10.89" personId="{09FAC3F1-DFDB-4CF8-9903-358701529E2B}" id="{5AD6BF73-9438-4F75-A02E-C3EAB6B7E7E0}" parentId="{54F6D9F3-8868-417E-999A-B95E2C1FC589}">
    <text>Feb 2024 CBO Budget Projections Table 1-1 Row 10</text>
  </threadedComment>
  <threadedComment ref="D56" dT="2024-06-27T14:27:47.87" personId="{2C68A5A1-706F-4A3E-93A3-741BBABEC4EA}" id="{B8639833-1036-486E-B271-B2B70A5F4327}" parentId="{54F6D9F3-8868-417E-999A-B95E2C1FC589}">
    <text>June 2024 CBO Budget Projections Table 1-1 Row 10</text>
  </threadedComment>
  <threadedComment ref="D56" dT="2025-01-23T19:50:30.29" personId="{B61C96CF-201E-4FBB-AE0C-863888EC2CC5}" id="{9BB771C0-1D7D-4A18-A691-345E41F1D0D3}" parentId="{54F6D9F3-8868-417E-999A-B95E2C1FC589}">
    <text>January 2025 CBO Budget Projections Table B-1 Row 11 from 2024 onward</text>
  </threadedComment>
  <threadedComment ref="M56" dT="2024-05-30T19:30:52.33" personId="{2C68A5A1-706F-4A3E-93A3-741BBABEC4EA}" id="{8DA4ABCB-3EED-4DB4-A96F-296CD1D3D3EE}">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58" dT="2023-02-15T20:40:59.29" personId="{609654FB-393E-4954-B3A3-EDB231775774}" id="{1FB99C5A-E921-4C2B-94A6-469F8368DE8C}">
    <text>February 2023 Budget Projections Table 1 Row 13</text>
  </threadedComment>
  <threadedComment ref="D58" dT="2023-07-27T18:42:32.97" personId="{609654FB-393E-4954-B3A3-EDB231775774}" id="{6C707ADF-070D-4A54-B1A8-849B2DDA53F5}" parentId="{1FB99C5A-E921-4C2B-94A6-469F8368DE8C}">
    <text>These are now May 2023 Budget Projections Table 1 row 13</text>
  </threadedComment>
  <threadedComment ref="D58" dT="2024-02-22T14:36:16.32" personId="{09FAC3F1-DFDB-4CF8-9903-358701529E2B}" id="{9F895A21-C5E6-4F14-982E-DE530E6FCE79}" parentId="{1FB99C5A-E921-4C2B-94A6-469F8368DE8C}">
    <text>February 2024 CBO Budget Projections Table 1-1 Row 11</text>
  </threadedComment>
  <threadedComment ref="D58" dT="2024-06-27T14:28:28.14" personId="{2C68A5A1-706F-4A3E-93A3-741BBABEC4EA}" id="{AAC1A7F3-5101-4D77-A002-FBE231A1A27C}" parentId="{1FB99C5A-E921-4C2B-94A6-469F8368DE8C}">
    <text>June 2024 CBO Budget Projections Table 1-1 Row 11</text>
  </threadedComment>
  <threadedComment ref="D58" dT="2025-01-23T19:51:13.49" personId="{B61C96CF-201E-4FBB-AE0C-863888EC2CC5}" id="{68A5C0C3-6669-4F13-AC97-1C28D413955D}" parentId="{1FB99C5A-E921-4C2B-94A6-469F8368DE8C}">
    <text>January 2025 CBO Budget Projections Table B-1 Row 12 from 2024 onward</text>
  </threadedComment>
  <threadedComment ref="D60" dT="2023-02-15T20:49:24.23" personId="{609654FB-393E-4954-B3A3-EDB231775774}" id="{CE0F5DCB-3CCE-4E3D-A6E4-2AC8A4A5F19D}">
    <text>February 2023 CBO Budget Projections Table 1-6 Row 14</text>
  </threadedComment>
  <threadedComment ref="D60" dT="2024-02-22T14:44:59.03" personId="{09FAC3F1-DFDB-4CF8-9903-358701529E2B}" id="{570B49A8-6692-4986-87A6-4A3AB8B43DB9}" parentId="{CE0F5DCB-3CCE-4E3D-A6E4-2AC8A4A5F19D}">
    <text>February 2024 CBO Budget Projections Table 1-7 Row 14</text>
  </threadedComment>
  <threadedComment ref="D60" dT="2024-06-27T21:11:02.98" personId="{09FAC3F1-DFDB-4CF8-9903-358701529E2B}" id="{987C1579-7615-47DB-BE54-85464A342721}" parentId="{CE0F5DCB-3CCE-4E3D-A6E4-2AC8A4A5F19D}">
    <text>June 2024 CBO Revenue Projections by Category, Revenue Projections, Row 14</text>
  </threadedComment>
  <threadedComment ref="D60" dT="2025-01-24T16:18:13.91" personId="{09FAC3F1-DFDB-4CF8-9903-358701529E2B}" id="{1E08FE26-99AD-439F-9B14-3A00B6D3A357}" parentId="{CE0F5DCB-3CCE-4E3D-A6E4-2AC8A4A5F19D}">
    <text>January 2025 CBO Revenue Projections, by Category, Revenue Projections Row 14</text>
  </threadedComment>
  <threadedComment ref="D61" dT="2023-02-15T20:50:01.14" personId="{609654FB-393E-4954-B3A3-EDB231775774}" id="{B0E96582-484F-445D-8FF5-3592B5A172FA}">
    <text>February 2023 CBO Budget Projections Table 1-6 Row 16</text>
  </threadedComment>
  <threadedComment ref="D61" dT="2024-02-22T14:45:22.24" personId="{09FAC3F1-DFDB-4CF8-9903-358701529E2B}" id="{4F586962-5804-4FED-852B-7ABCF3DF98B2}" parentId="{B0E96582-484F-445D-8FF5-3592B5A172FA}">
    <text>February 2024 CBO Budget Projections Table 1-7, row 16</text>
  </threadedComment>
  <threadedComment ref="D61" dT="2024-06-27T21:11:21.66" personId="{09FAC3F1-DFDB-4CF8-9903-358701529E2B}" id="{86CF1027-BCEB-4550-AD6D-A909A0CEF61D}" parentId="{B0E96582-484F-445D-8FF5-3592B5A172FA}">
    <text>June 2024 CBO Revenue Projections, Revenue Projections Sheet, Row 16</text>
  </threadedComment>
  <threadedComment ref="D61" dT="2025-01-24T16:20:10.43" personId="{09FAC3F1-DFDB-4CF8-9903-358701529E2B}" id="{DBED5F51-4B7C-4207-861F-042671FF4D0B}" parentId="{B0E96582-484F-445D-8FF5-3592B5A172FA}">
    <text xml:space="preserve">January 2025 CBO Revenue Projections, Revenue Projections Sheet, Row 15
</text>
  </threadedComment>
  <threadedComment ref="D62" dT="2023-02-15T20:51:09.94" personId="{609654FB-393E-4954-B3A3-EDB231775774}" id="{E6B5A35A-07FA-4F2B-9A9E-866D21A47917}">
    <text>May 2023 CBO Budget Projections Table 1 Row 14</text>
  </threadedComment>
  <threadedComment ref="D62" dT="2024-02-22T14:47:44.47" personId="{09FAC3F1-DFDB-4CF8-9903-358701529E2B}" id="{E777AE82-BE55-4B42-9F51-8E1C71456A8B}" parentId="{E6B5A35A-07FA-4F2B-9A9E-866D21A47917}">
    <text>February 2023 CBO Budget Projections Table 1-1, row 12</text>
  </threadedComment>
  <threadedComment ref="D62" dT="2024-06-27T14:32:38.18" personId="{2C68A5A1-706F-4A3E-93A3-741BBABEC4EA}" id="{0FB34D58-0EA7-45D9-9687-C1C4AAD9A17B}" parentId="{E6B5A35A-07FA-4F2B-9A9E-866D21A47917}">
    <text>June 2024 CBO Budget projections table 1-1 row 12</text>
  </threadedComment>
  <threadedComment ref="D62" dT="2025-01-23T19:53:53.10" personId="{B61C96CF-201E-4FBB-AE0C-863888EC2CC5}" id="{8A6D3A49-6F1B-46FD-9724-1E601D11143C}" parentId="{E6B5A35A-07FA-4F2B-9A9E-866D21A47917}">
    <text>January 2025 CBO Budget Projections Table B-1 row 13 from 2024 onward</text>
  </threadedComment>
  <threadedComment ref="M62" dT="2024-05-30T19:35:19.75" personId="{2C68A5A1-706F-4A3E-93A3-741BBABEC4EA}" id="{4A8F6F92-75ED-4D7D-9EAC-6799BA8D11ED}">
    <text xml:space="preserve">See comment in M56 on using CBO estimate of TCJA not expiring
</text>
  </threadedComment>
  <threadedComment ref="D80" dT="2023-02-15T20:53:24.39" personId="{609654FB-393E-4954-B3A3-EDB231775774}" id="{BAC4C9C5-057D-4522-9D5B-345501733B13}">
    <text>February 2023 CBO Economic Projections Fiscal Year Table row 92</text>
  </threadedComment>
  <threadedComment ref="D80" dT="2023-07-27T18:46:48.63" personId="{609654FB-393E-4954-B3A3-EDB231775774}" id="{64D40D74-2A66-4530-BD07-3D55C243D880}" parentId="{BAC4C9C5-057D-4522-9D5B-345501733B13}">
    <text>July 2023 now</text>
  </threadedComment>
  <threadedComment ref="D80" dT="2024-02-22T15:10:21.02" personId="{09FAC3F1-DFDB-4CF8-9903-358701529E2B}" id="{9188F4B5-7FFF-4AD3-B884-A6BD992DF509}" parentId="{BAC4C9C5-057D-4522-9D5B-345501733B13}">
    <text>This is now February 2024 CBO Economic Projections Fiscal Year Sheet, row 94</text>
  </threadedComment>
  <threadedComment ref="D80" dT="2024-06-27T14:34:45.71" personId="{2C68A5A1-706F-4A3E-93A3-741BBABEC4EA}" id="{87A09169-659E-458F-A9F3-D0AB63E74083}" parentId="{BAC4C9C5-057D-4522-9D5B-345501733B13}">
    <text>June 2024 Econ projections Fiscal Year sheet row 94. Pasted for 2021 onward</text>
  </threadedComment>
  <threadedComment ref="D80" dT="2025-01-23T19:55:46.36" personId="{B61C96CF-201E-4FBB-AE0C-863888EC2CC5}" id="{C8B714F8-96D3-466B-B532-40F653B70695}" parentId="{BAC4C9C5-057D-4522-9D5B-345501733B13}">
    <text>January 2025 Economic Projections Fiscal Year Sheet row 94 from 2022 onward</text>
  </threadedComment>
  <threadedComment ref="D81" dT="2023-02-15T20:55:16.88" personId="{609654FB-393E-4954-B3A3-EDB231775774}" id="{903D683D-E956-41A0-87A0-4A0ACF2A3EC0}">
    <text>February 2023 CBO Economic Projections Fiscal Year Table row 96</text>
  </threadedComment>
  <threadedComment ref="D81" dT="2023-07-27T18:46:54.82" personId="{609654FB-393E-4954-B3A3-EDB231775774}" id="{D9697230-6007-4D86-9D27-2784C2D59C94}" parentId="{903D683D-E956-41A0-87A0-4A0ACF2A3EC0}">
    <text>July 2023 now</text>
  </threadedComment>
  <threadedComment ref="D81" dT="2024-02-22T15:12:46.20" personId="{09FAC3F1-DFDB-4CF8-9903-358701529E2B}" id="{5EB79390-D49F-4610-A389-9A566FE7B07F}" parentId="{903D683D-E956-41A0-87A0-4A0ACF2A3EC0}">
    <text>This is now February 2024 CBO Economic Projections Fiscal Year Table row, row 98</text>
  </threadedComment>
  <threadedComment ref="D81" dT="2024-06-27T14:35:02.92" personId="{2C68A5A1-706F-4A3E-93A3-741BBABEC4EA}" id="{7727E27A-5B75-4F93-BBAF-2B2028A6DBD6}" parentId="{903D683D-E956-41A0-87A0-4A0ACF2A3EC0}">
    <text>June 2024 Econ projections Fiscal Year sheet row 98. Pasted for 2021 onward</text>
  </threadedComment>
  <threadedComment ref="D81" dT="2025-01-23T21:37:17.60" personId="{B61C96CF-201E-4FBB-AE0C-863888EC2CC5}" id="{421872A7-87D1-4196-9B5A-B2E80B7BB76C}" parentId="{903D683D-E956-41A0-87A0-4A0ACF2A3EC0}">
    <text>January 2025 Economic Projections Fiscal Year Row 98 from 2022 onward</text>
  </threadedComment>
  <threadedComment ref="D82" dT="2023-02-15T20:56:03.85" personId="{609654FB-393E-4954-B3A3-EDB231775774}" id="{3EBCE0D2-6A48-4CE9-BC8C-5855F5261D1F}">
    <text>February 2023 CBO Economic Projections, Fiscal Year Table row 116</text>
  </threadedComment>
  <threadedComment ref="D82" dT="2023-07-27T18:47:32.66" personId="{609654FB-393E-4954-B3A3-EDB231775774}" id="{A6D061A0-2D6B-4586-A606-81C5A9C89977}" parentId="{3EBCE0D2-6A48-4CE9-BC8C-5855F5261D1F}">
    <text>July now</text>
  </threadedComment>
  <threadedComment ref="D82" dT="2024-02-22T15:13:36.88" personId="{09FAC3F1-DFDB-4CF8-9903-358701529E2B}" id="{5B0E85F2-3E88-4DE5-B75D-A1DFDE5E2251}" parentId="{3EBCE0D2-6A48-4CE9-BC8C-5855F5261D1F}">
    <text>February 2024 CBO Economic Projections, Fiscal Year Table, row 118</text>
  </threadedComment>
  <threadedComment ref="D82" dT="2024-06-27T14:36:46.17" personId="{2C68A5A1-706F-4A3E-93A3-741BBABEC4EA}" id="{742D0AD1-132D-49B8-ACB8-D7A00789C5CC}" parentId="{3EBCE0D2-6A48-4CE9-BC8C-5855F5261D1F}">
    <text>June 2024 CBO Economic Projections, Fiscal Year Table, row 118 pasted from 2021 onward</text>
  </threadedComment>
  <threadedComment ref="D82" dT="2025-01-23T21:39:29.83" personId="{B61C96CF-201E-4FBB-AE0C-863888EC2CC5}" id="{6020325F-C5B2-4C57-9D5F-797314CE5F4D}" parentId="{3EBCE0D2-6A48-4CE9-BC8C-5855F5261D1F}">
    <text>January 2025 CBO Economic Projections, Fiscal Year Table, row 118 from 2022 onward</text>
  </threadedComment>
  <threadedComment ref="D83" dT="2023-02-15T20:57:01.88" personId="{609654FB-393E-4954-B3A3-EDB231775774}" id="{48184811-5BD0-438A-8E38-4FDE0C8DFA8F}">
    <text>February 2023 CBO Economic Projections Fiscal Year Table row 110</text>
  </threadedComment>
  <threadedComment ref="D83" dT="2023-07-27T18:47:56.03" personId="{609654FB-393E-4954-B3A3-EDB231775774}" id="{42694EC8-B4D2-4CD1-BAD5-30DE831C4BF2}" parentId="{48184811-5BD0-438A-8E38-4FDE0C8DFA8F}">
    <text>July now</text>
  </threadedComment>
  <threadedComment ref="D83" dT="2024-02-22T15:15:43.17" personId="{09FAC3F1-DFDB-4CF8-9903-358701529E2B}" id="{7286570C-B0B2-4C53-B491-EBC2A429EFF9}" parentId="{48184811-5BD0-438A-8E38-4FDE0C8DFA8F}">
    <text>This is now February 2024 CBO Economic Projections Fiscal Year Table, row 112</text>
  </threadedComment>
  <threadedComment ref="D83" dT="2024-06-27T14:37:42.80" personId="{2C68A5A1-706F-4A3E-93A3-741BBABEC4EA}" id="{BDF2F21B-F60E-4F9C-A5EF-0E83248D90F2}" parentId="{48184811-5BD0-438A-8E38-4FDE0C8DFA8F}">
    <text>June 2024 CBO Economic Projections Fiscal Year Table, row 112 from 2021 onward</text>
  </threadedComment>
  <threadedComment ref="D83" dT="2025-01-23T21:41:08.62" personId="{B61C96CF-201E-4FBB-AE0C-863888EC2CC5}" id="{011DCA9C-1890-4EF7-A312-8EB8CBDC7AA3}" parentId="{48184811-5BD0-438A-8E38-4FDE0C8DFA8F}">
    <text>January 2025 CBO Economic Projections Fiscal Year Table, row 112 from 2022 onward</text>
  </threadedComment>
  <threadedComment ref="D104" dT="2023-02-15T21:14:11.24" personId="{609654FB-393E-4954-B3A3-EDB231775774}" id="{D2748782-D0E6-49AC-8A19-1F2FBF9255CC}">
    <text>February 2023 CBO Economic Projections Quarterly Table, row 96</text>
  </threadedComment>
  <threadedComment ref="D104" dT="2023-07-27T18:51:44.27" personId="{609654FB-393E-4954-B3A3-EDB231775774}" id="{7967E3A9-28DA-40F3-87FB-C23201CBC514}" parentId="{D2748782-D0E6-49AC-8A19-1F2FBF9255CC}">
    <text>Same table and row, July 2023</text>
  </threadedComment>
  <threadedComment ref="D104" dT="2024-02-22T15:28:26.88" personId="{09FAC3F1-DFDB-4CF8-9903-358701529E2B}" id="{3C76C544-F68F-455F-86CF-8627D74B7C59}" parentId="{D2748782-D0E6-49AC-8A19-1F2FBF9255CC}">
    <text>February 2024 CBO Economic Projections Quarterly Table, row 98</text>
  </threadedComment>
  <threadedComment ref="D104" dT="2024-06-27T14:40:11.35" personId="{2C68A5A1-706F-4A3E-93A3-741BBABEC4EA}" id="{A345901C-E565-4819-91C3-A4DED1F11875}" parentId="{D2748782-D0E6-49AC-8A19-1F2FBF9255CC}">
    <text>Ju 2024 economic projections quarterly table row 98 pasted from 2021 Q1 onward</text>
  </threadedComment>
  <threadedComment ref="D104" dT="2025-01-23T21:43:23.67" personId="{B61C96CF-201E-4FBB-AE0C-863888EC2CC5}" id="{CB6EDD8C-BF86-43D7-A30F-4806F4D077D6}" parentId="{D2748782-D0E6-49AC-8A19-1F2FBF9255CC}">
    <text>January 2025 Economic Projections Quarterly Table, Row 98 from 2022 Q1 onward</text>
  </threadedComment>
  <threadedComment ref="D105" dT="2023-02-15T21:14:52.42" personId="{609654FB-393E-4954-B3A3-EDB231775774}" id="{A46F7C4F-6912-4219-A6BF-9B291D29572E}">
    <text>February 2023 CBO Economic Projections quarterly tables, row 98</text>
  </threadedComment>
  <threadedComment ref="D105" dT="2023-07-27T18:51:58.38" personId="{609654FB-393E-4954-B3A3-EDB231775774}" id="{7A0F03B6-E33D-4474-9555-B84E69B17617}" parentId="{A46F7C4F-6912-4219-A6BF-9B291D29572E}">
    <text>Same table and row, July 2023</text>
  </threadedComment>
  <threadedComment ref="D105" dT="2024-02-22T15:30:49.62" personId="{09FAC3F1-DFDB-4CF8-9903-358701529E2B}" id="{8B50D8B1-7987-47E1-B1DC-D2F70DCC216E}" parentId="{A46F7C4F-6912-4219-A6BF-9B291D29572E}">
    <text>February 2024 CBO Economic Projections quarterly tables, row 100</text>
  </threadedComment>
  <threadedComment ref="D105" dT="2024-06-27T14:41:16.43" personId="{2C68A5A1-706F-4A3E-93A3-741BBABEC4EA}" id="{6425957B-D42C-489A-A538-4AA95EC109FD}" parentId="{A46F7C4F-6912-4219-A6BF-9B291D29572E}">
    <text>June 2024 CBO Economic Projections Quarterly table row 100 from 2021 Q1 onward</text>
  </threadedComment>
  <threadedComment ref="D105" dT="2025-01-23T21:44:55.46" personId="{B61C96CF-201E-4FBB-AE0C-863888EC2CC5}" id="{98CFB5AA-E68D-4003-A1AB-EA789D5B11B9}" parentId="{A46F7C4F-6912-4219-A6BF-9B291D29572E}">
    <text>January 2025 CBO Economic Projections Quarterly Table, Row 100 from 2022 Q1 onward</text>
  </threadedComment>
  <threadedComment ref="D106" dT="2023-02-15T21:15:38.27" personId="{609654FB-393E-4954-B3A3-EDB231775774}" id="{76E953CB-BD49-43CF-8F2D-8BFB47D725D7}">
    <text>February 2023 CBO Economic Projections quarterly table, row 116</text>
  </threadedComment>
  <threadedComment ref="D106" dT="2023-07-27T18:51:50.61" personId="{609654FB-393E-4954-B3A3-EDB231775774}" id="{5483793C-0C25-47A5-BAF9-EF712CAD7D04}" parentId="{76E953CB-BD49-43CF-8F2D-8BFB47D725D7}">
    <text>Same table and row, July 2023</text>
  </threadedComment>
  <threadedComment ref="D106" dT="2024-02-22T15:37:14.65" personId="{09FAC3F1-DFDB-4CF8-9903-358701529E2B}" id="{385DCECF-44A3-4344-9011-2A6CE78C506F}" parentId="{76E953CB-BD49-43CF-8F2D-8BFB47D725D7}">
    <text>This is now February 2024 CBO Economic Projections Quarterly Table, row 118</text>
  </threadedComment>
  <threadedComment ref="D106" dT="2024-06-27T14:41:57.04" personId="{2C68A5A1-706F-4A3E-93A3-741BBABEC4EA}" id="{A7C417EA-C785-474D-B0D2-8C33C43492C2}" parentId="{76E953CB-BD49-43CF-8F2D-8BFB47D725D7}">
    <text xml:space="preserve">June 2024 CBO Economic Projections Quarterly Table, row 118 from 2021 Q1 onward
</text>
  </threadedComment>
  <threadedComment ref="D106" dT="2025-01-23T21:45:46.12" personId="{B61C96CF-201E-4FBB-AE0C-863888EC2CC5}" id="{8C2B4E67-5388-4A6C-AD4C-0897E488E469}" parentId="{76E953CB-BD49-43CF-8F2D-8BFB47D725D7}">
    <text>January 2025 CBO Economic Projections Quarterly Table, Row 118 from 2022 Q1 onward</text>
  </threadedComment>
  <threadedComment ref="D107" dT="2023-02-15T21:16:25.78" personId="{609654FB-393E-4954-B3A3-EDB231775774}" id="{8FB584A5-2B54-4AD8-94A1-F46A717E4FE5}">
    <text>February 2023 CBO Economic Projections quarterly table row 112</text>
  </threadedComment>
  <threadedComment ref="D107" dT="2023-07-27T18:52:05.52" personId="{609654FB-393E-4954-B3A3-EDB231775774}" id="{0C631DB7-7EAD-4CD2-978E-4DD9468CD3B1}" parentId="{8FB584A5-2B54-4AD8-94A1-F46A717E4FE5}">
    <text>Same table and row, July 2023</text>
  </threadedComment>
  <threadedComment ref="D107" dT="2024-02-22T15:42:56.34" personId="{09FAC3F1-DFDB-4CF8-9903-358701529E2B}" id="{19BF4626-D0E8-42B5-BD70-3452F9A463CA}" parentId="{8FB584A5-2B54-4AD8-94A1-F46A717E4FE5}">
    <text>February 2024 CBO Economic Projections quarterly table row 114 corporate profits domestic</text>
  </threadedComment>
  <threadedComment ref="D107" dT="2024-06-27T14:43:33.75" personId="{2C68A5A1-706F-4A3E-93A3-741BBABEC4EA}" id="{BA2256D4-F0D9-4901-B7FD-C47AE6B4FB99}" parentId="{8FB584A5-2B54-4AD8-94A1-F46A717E4FE5}">
    <text xml:space="preserve">June 2024 CBO Economic Projections quarterly table row 114 corporate profits domestic with IVA and CCAdj, from 2021 Q1 onward
</text>
  </threadedComment>
  <threadedComment ref="D107" dT="2025-01-23T21:48:12.92" personId="{B61C96CF-201E-4FBB-AE0C-863888EC2CC5}" id="{E64D7BA7-DDF4-4C62-A641-B8FB8CABA7D8}" parentId="{8FB584A5-2B54-4AD8-94A1-F46A717E4FE5}">
    <text>January 2025 CBO Economic Projections Quarterly Table, Row 114 Profits, corporate, domestic, with IVA &amp; CCAdj from 2022 Q1 onward</text>
  </threadedComment>
  <threadedComment ref="U130" dT="2023-04-27T03:02:33.18" personId="{2C68A5A1-706F-4A3E-93A3-741BBABEC4EA}" id="{65B2F617-D738-4757-983D-98D9DB3870FB}">
    <text>I can't drag these over because of circular references.</text>
  </threadedComment>
  <threadedComment ref="V133" dT="2023-07-27T14:08:57.55" personId="{2C68A5A1-706F-4A3E-93A3-741BBABEC4EA}" id="{0AC09EFD-8A54-444C-A82D-77111C533292}">
    <text>Drag my predecessor forward in August 2023!! (Corporate taxes come in late, and we couldn't update in July!)</text>
  </threadedComment>
  <threadedComment ref="W133" dT="2023-10-26T13:42:51.37" personId="{609654FB-393E-4954-B3A3-EDB231775774}" id="{1B45073C-05DE-4E50-B57C-9DA43CA3E5DB}">
    <text>Drag forward in November by same logic as in previous cell.</text>
  </threadedComment>
  <threadedComment ref="X133" dT="2024-01-24T19:09:22.97" personId="{09FAC3F1-DFDB-4CF8-9903-358701529E2B}" id="{1EFE3D94-A914-4335-ADA0-94B1C8F72E64}">
    <text>Drag forward in February because we get Q4 Data 1 month late.</text>
  </threadedComment>
  <threadedComment ref="Y133" dT="2024-07-25T15:51:05.68" personId="{09FAC3F1-DFDB-4CF8-9903-358701529E2B}" id="{C31DCF28-75B2-4DBC-B036-BE5C96FD6331}">
    <text xml:space="preserve">Drag forward in August because we get the data a month late. </text>
  </threadedComment>
  <threadedComment ref="Z133" dT="2024-08-29T14:15:29.25" personId="{09FAC3F1-DFDB-4CF8-9903-358701529E2B}" id="{50A49FB6-37DC-43B3-965C-43A7195061F6}">
    <text xml:space="preserve">Drag this forward in November because we get taxes a month late. </text>
  </threadedComment>
  <threadedComment ref="AA133" dT="2025-01-31T15:14:38.88" personId="{B61C96CF-201E-4FBB-AE0C-863888EC2CC5}" id="{25B0BED1-95A1-48C5-AB16-3FDF328CCCC4}">
    <text xml:space="preserve">Drag this forward in February because we get taxes a month late. </text>
  </threadedComment>
</ThreadedComments>
</file>

<file path=xl/threadedComments/threadedComment14.xml><?xml version="1.0" encoding="utf-8"?>
<ThreadedComments xmlns="http://schemas.microsoft.com/office/spreadsheetml/2018/threadedcomments" xmlns:x="http://schemas.openxmlformats.org/spreadsheetml/2006/main">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15.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6.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1.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 Id="rId4" Type="http://schemas.microsoft.com/office/2017/10/relationships/threadedComment" Target="../threadedComments/threadedComment5.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8.xml"/><Relationship Id="rId4" Type="http://schemas.microsoft.com/office/2017/10/relationships/threadedComment" Target="../threadedComments/threadedComment7.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9.xml"/><Relationship Id="rId4" Type="http://schemas.microsoft.com/office/2017/10/relationships/threadedComment" Target="../threadedComments/threadedComment8.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0.xml"/><Relationship Id="rId4" Type="http://schemas.microsoft.com/office/2017/10/relationships/threadedComment" Target="../threadedComments/threadedComment9.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1.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2.xml"/><Relationship Id="rId4" Type="http://schemas.microsoft.com/office/2017/10/relationships/threadedComment" Target="../threadedComments/threadedComment11.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3.xml"/><Relationship Id="rId4" Type="http://schemas.microsoft.com/office/2017/10/relationships/threadedComment" Target="../threadedComments/threadedComment1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6.xml"/><Relationship Id="rId4" Type="http://schemas.microsoft.com/office/2017/10/relationships/threadedComment" Target="../threadedComments/threadedComment14.xml"/></Relationships>
</file>

<file path=xl/worksheets/_rels/sheet27.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9.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1.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5.vml"/><Relationship Id="rId1" Type="http://schemas.openxmlformats.org/officeDocument/2006/relationships/drawing" Target="../drawings/drawing18.xml"/><Relationship Id="rId5" Type="http://schemas.microsoft.com/office/2017/10/relationships/threadedComment" Target="../threadedComments/threadedComment15.xml"/><Relationship Id="rId4" Type="http://schemas.openxmlformats.org/officeDocument/2006/relationships/comments" Target="../comments15.xml"/></Relationships>
</file>

<file path=xl/worksheets/_rels/sheet33.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9.xml"/><Relationship Id="rId4" Type="http://schemas.microsoft.com/office/2017/10/relationships/threadedComment" Target="../threadedComments/threadedComment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0:Q43"/>
  <sheetViews>
    <sheetView topLeftCell="A7" zoomScale="82" zoomScaleNormal="82" workbookViewId="0">
      <selection activeCell="L29" sqref="L29"/>
    </sheetView>
  </sheetViews>
  <sheetFormatPr defaultColWidth="10.85546875" defaultRowHeight="15" x14ac:dyDescent="0.25"/>
  <cols>
    <col min="2" max="2" width="34.140625" customWidth="1"/>
    <col min="17" max="17" width="38.42578125" customWidth="1"/>
  </cols>
  <sheetData>
    <row r="10" spans="2:17" x14ac:dyDescent="0.25">
      <c r="B10" s="1216" t="s">
        <v>0</v>
      </c>
      <c r="C10" s="1217"/>
      <c r="D10" s="1217"/>
      <c r="E10" s="1217"/>
      <c r="F10" s="1217"/>
      <c r="G10" s="1217"/>
      <c r="H10" s="1217"/>
      <c r="I10" s="1217"/>
      <c r="J10" s="1217"/>
      <c r="K10" s="1217"/>
      <c r="L10" s="1217"/>
      <c r="M10" s="1217"/>
      <c r="N10" s="1217"/>
      <c r="O10" s="1217"/>
      <c r="P10" s="1217"/>
      <c r="Q10" s="1218"/>
    </row>
    <row r="11" spans="2:17" x14ac:dyDescent="0.25">
      <c r="B11" s="1219"/>
      <c r="C11" s="1220"/>
      <c r="D11" s="1220"/>
      <c r="E11" s="1220"/>
      <c r="F11" s="1220"/>
      <c r="G11" s="1220"/>
      <c r="H11" s="1220"/>
      <c r="I11" s="1220"/>
      <c r="J11" s="1220"/>
      <c r="K11" s="1220"/>
      <c r="L11" s="1220"/>
      <c r="M11" s="1220"/>
      <c r="N11" s="1220"/>
      <c r="O11" s="1220"/>
      <c r="P11" s="1220"/>
      <c r="Q11" s="1221"/>
    </row>
    <row r="12" spans="2:17" x14ac:dyDescent="0.25">
      <c r="B12" s="4" t="s">
        <v>1</v>
      </c>
      <c r="C12" s="13"/>
      <c r="D12" s="13"/>
      <c r="E12" s="13"/>
      <c r="F12" s="13"/>
      <c r="G12" s="13"/>
      <c r="H12" s="13"/>
      <c r="I12" s="13"/>
      <c r="J12" s="13"/>
      <c r="K12" s="13"/>
      <c r="L12" s="13"/>
      <c r="M12" s="13"/>
      <c r="N12" s="13"/>
      <c r="O12" s="13"/>
      <c r="P12" s="13"/>
      <c r="Q12" s="12"/>
    </row>
    <row r="13" spans="2:17" x14ac:dyDescent="0.25">
      <c r="B13" s="3" t="s">
        <v>2</v>
      </c>
      <c r="C13" s="1222" t="s">
        <v>3</v>
      </c>
      <c r="D13" s="1222"/>
      <c r="E13" s="1222"/>
      <c r="F13" s="1222"/>
      <c r="G13" s="1222"/>
      <c r="H13" s="1222"/>
      <c r="I13" s="1222"/>
      <c r="J13" s="1222"/>
      <c r="K13" s="1222"/>
      <c r="L13" s="1222"/>
      <c r="M13" s="1222"/>
      <c r="N13" s="1222"/>
      <c r="O13" s="1222"/>
      <c r="P13" s="1222"/>
      <c r="Q13" s="1223"/>
    </row>
    <row r="14" spans="2:17" x14ac:dyDescent="0.25">
      <c r="B14" s="3" t="s">
        <v>4</v>
      </c>
      <c r="C14" s="8" t="s">
        <v>5</v>
      </c>
      <c r="D14" s="8"/>
      <c r="E14" s="8"/>
      <c r="F14" s="8"/>
      <c r="G14" s="8"/>
      <c r="H14" s="8"/>
      <c r="I14" s="8"/>
      <c r="J14" s="8"/>
      <c r="K14" s="8"/>
      <c r="L14" s="8"/>
      <c r="M14" s="8"/>
      <c r="N14" s="8"/>
      <c r="O14" s="8"/>
      <c r="P14" s="8"/>
      <c r="Q14" s="9"/>
    </row>
    <row r="15" spans="2:17" x14ac:dyDescent="0.25">
      <c r="B15" s="3" t="s">
        <v>6</v>
      </c>
      <c r="C15" s="8" t="s">
        <v>7</v>
      </c>
      <c r="D15" s="8"/>
      <c r="E15" s="8"/>
      <c r="F15" s="8"/>
      <c r="G15" s="8"/>
      <c r="H15" s="8"/>
      <c r="I15" s="8"/>
      <c r="J15" s="8"/>
      <c r="K15" s="8"/>
      <c r="L15" s="8"/>
      <c r="M15" s="8"/>
      <c r="N15" s="8"/>
      <c r="O15" s="8"/>
      <c r="P15" s="8"/>
      <c r="Q15" s="9"/>
    </row>
    <row r="16" spans="2:17" x14ac:dyDescent="0.25">
      <c r="B16" s="3" t="s">
        <v>8</v>
      </c>
      <c r="C16" s="8" t="s">
        <v>829</v>
      </c>
      <c r="D16" s="8"/>
      <c r="E16" s="8"/>
      <c r="F16" s="8"/>
      <c r="G16" s="8"/>
      <c r="H16" s="8"/>
      <c r="I16" s="8"/>
      <c r="J16" s="8"/>
      <c r="K16" s="8"/>
      <c r="L16" s="8"/>
      <c r="M16" s="8"/>
      <c r="N16" s="8"/>
      <c r="O16" s="8"/>
      <c r="P16" s="8"/>
      <c r="Q16" s="9"/>
    </row>
    <row r="17" spans="2:17" x14ac:dyDescent="0.25">
      <c r="B17" s="3" t="s">
        <v>9</v>
      </c>
      <c r="C17" s="8" t="s">
        <v>10</v>
      </c>
      <c r="D17" s="8"/>
      <c r="E17" s="8"/>
      <c r="F17" s="8"/>
      <c r="G17" s="8"/>
      <c r="H17" s="8"/>
      <c r="I17" s="8"/>
      <c r="J17" s="8"/>
      <c r="K17" s="8"/>
      <c r="L17" s="8"/>
      <c r="M17" s="8"/>
      <c r="N17" s="8"/>
      <c r="O17" s="8"/>
      <c r="P17" s="8"/>
      <c r="Q17" s="9"/>
    </row>
    <row r="18" spans="2:17" x14ac:dyDescent="0.25">
      <c r="B18" s="3" t="s">
        <v>830</v>
      </c>
      <c r="C18" s="8" t="s">
        <v>11</v>
      </c>
      <c r="D18" s="8"/>
      <c r="E18" s="8"/>
      <c r="F18" s="8"/>
      <c r="G18" s="8"/>
      <c r="H18" s="8"/>
      <c r="I18" s="8"/>
      <c r="J18" s="8"/>
      <c r="K18" s="8"/>
      <c r="L18" s="8"/>
      <c r="M18" s="8"/>
      <c r="N18" s="8"/>
      <c r="O18" s="8"/>
      <c r="P18" s="8"/>
      <c r="Q18" s="9"/>
    </row>
    <row r="19" spans="2:17" x14ac:dyDescent="0.25">
      <c r="B19" s="3" t="s">
        <v>12</v>
      </c>
      <c r="C19" s="8" t="s">
        <v>831</v>
      </c>
      <c r="D19" s="8"/>
      <c r="E19" s="8"/>
      <c r="F19" s="8"/>
      <c r="G19" s="8"/>
      <c r="H19" s="8"/>
      <c r="I19" s="8"/>
      <c r="J19" s="8"/>
      <c r="K19" s="8"/>
      <c r="L19" s="8"/>
      <c r="M19" s="8"/>
      <c r="N19" s="8"/>
      <c r="O19" s="8"/>
      <c r="P19" s="8"/>
      <c r="Q19" s="9"/>
    </row>
    <row r="20" spans="2:17" ht="30.75" customHeight="1" x14ac:dyDescent="0.25">
      <c r="B20" s="3" t="s">
        <v>13</v>
      </c>
      <c r="C20" s="1214" t="s">
        <v>14</v>
      </c>
      <c r="D20" s="1214"/>
      <c r="E20" s="1214"/>
      <c r="F20" s="1214"/>
      <c r="G20" s="1214"/>
      <c r="H20" s="1214"/>
      <c r="I20" s="1214"/>
      <c r="J20" s="1214"/>
      <c r="K20" s="1214"/>
      <c r="L20" s="1214"/>
      <c r="M20" s="1214"/>
      <c r="N20" s="1214"/>
      <c r="O20" s="1214"/>
      <c r="P20" s="1214"/>
      <c r="Q20" s="1215"/>
    </row>
    <row r="21" spans="2:17" x14ac:dyDescent="0.25">
      <c r="B21" s="3" t="s">
        <v>15</v>
      </c>
      <c r="C21" s="8" t="s">
        <v>16</v>
      </c>
      <c r="D21" s="8"/>
      <c r="E21" s="8"/>
      <c r="F21" s="8"/>
      <c r="G21" s="8"/>
      <c r="H21" s="8"/>
      <c r="I21" s="8"/>
      <c r="J21" s="8"/>
      <c r="K21" s="8"/>
      <c r="L21" s="8"/>
      <c r="M21" s="8"/>
      <c r="N21" s="8"/>
      <c r="O21" s="8"/>
      <c r="P21" s="8"/>
      <c r="Q21" s="9"/>
    </row>
    <row r="22" spans="2:17" ht="32.25" customHeight="1" x14ac:dyDescent="0.25">
      <c r="B22" s="1" t="s">
        <v>833</v>
      </c>
      <c r="C22" s="1214" t="s">
        <v>832</v>
      </c>
      <c r="D22" s="1214"/>
      <c r="E22" s="1214"/>
      <c r="F22" s="1214"/>
      <c r="G22" s="1214"/>
      <c r="H22" s="1214"/>
      <c r="I22" s="1214"/>
      <c r="J22" s="1214"/>
      <c r="K22" s="1214"/>
      <c r="L22" s="1214"/>
      <c r="M22" s="1214"/>
      <c r="N22" s="1214"/>
      <c r="O22" s="1214"/>
      <c r="P22" s="1214"/>
      <c r="Q22" s="1215"/>
    </row>
    <row r="23" spans="2:17" ht="31.35" customHeight="1" x14ac:dyDescent="0.25">
      <c r="B23" s="3" t="s">
        <v>17</v>
      </c>
      <c r="C23" s="1214" t="s">
        <v>834</v>
      </c>
      <c r="D23" s="1214"/>
      <c r="E23" s="1214"/>
      <c r="F23" s="1214"/>
      <c r="G23" s="1214"/>
      <c r="H23" s="1214"/>
      <c r="I23" s="1214"/>
      <c r="J23" s="1214"/>
      <c r="K23" s="1214"/>
      <c r="L23" s="1214"/>
      <c r="M23" s="1214"/>
      <c r="N23" s="1214"/>
      <c r="O23" s="1214"/>
      <c r="P23" s="1214"/>
      <c r="Q23" s="1215"/>
    </row>
    <row r="24" spans="2:17" x14ac:dyDescent="0.25">
      <c r="B24" s="3" t="s">
        <v>18</v>
      </c>
      <c r="C24" s="8" t="s">
        <v>19</v>
      </c>
      <c r="D24" s="8"/>
      <c r="E24" s="8"/>
      <c r="F24" s="8"/>
      <c r="G24" s="8"/>
      <c r="H24" s="8"/>
      <c r="I24" s="8"/>
      <c r="J24" s="8"/>
      <c r="K24" s="8"/>
      <c r="L24" s="8"/>
      <c r="M24" s="8"/>
      <c r="N24" s="8"/>
      <c r="O24" s="8"/>
      <c r="P24" s="8"/>
      <c r="Q24" s="9"/>
    </row>
    <row r="25" spans="2:17" x14ac:dyDescent="0.25">
      <c r="B25" s="3" t="s">
        <v>20</v>
      </c>
      <c r="C25" s="8" t="s">
        <v>21</v>
      </c>
      <c r="D25" s="8"/>
      <c r="E25" s="8"/>
      <c r="F25" s="8"/>
      <c r="G25" s="8"/>
      <c r="H25" s="8"/>
      <c r="I25" s="8"/>
      <c r="J25" s="8"/>
      <c r="K25" s="8"/>
      <c r="L25" s="8"/>
      <c r="M25" s="8"/>
      <c r="N25" s="8"/>
      <c r="O25" s="8"/>
      <c r="P25" s="8"/>
      <c r="Q25" s="9"/>
    </row>
    <row r="26" spans="2:17" x14ac:dyDescent="0.25">
      <c r="B26" s="3" t="s">
        <v>22</v>
      </c>
      <c r="C26" s="8" t="s">
        <v>23</v>
      </c>
      <c r="D26" s="8"/>
      <c r="E26" s="8"/>
      <c r="F26" s="8"/>
      <c r="G26" s="8"/>
      <c r="H26" s="8"/>
      <c r="I26" s="8"/>
      <c r="J26" s="8"/>
      <c r="K26" s="8"/>
      <c r="L26" s="8"/>
      <c r="M26" s="8"/>
      <c r="N26" s="8"/>
      <c r="O26" s="8"/>
      <c r="P26" s="8"/>
      <c r="Q26" s="9"/>
    </row>
    <row r="27" spans="2:17" x14ac:dyDescent="0.25">
      <c r="B27" s="3" t="s">
        <v>24</v>
      </c>
      <c r="C27" s="8" t="s">
        <v>835</v>
      </c>
      <c r="D27" s="8"/>
      <c r="E27" s="8"/>
      <c r="F27" s="8"/>
      <c r="G27" s="8"/>
      <c r="H27" s="8"/>
      <c r="I27" s="8"/>
      <c r="J27" s="8"/>
      <c r="K27" s="8"/>
      <c r="L27" s="8"/>
      <c r="M27" s="8"/>
      <c r="N27" s="8"/>
      <c r="O27" s="8"/>
      <c r="P27" s="8"/>
      <c r="Q27" s="9"/>
    </row>
    <row r="28" spans="2:17" x14ac:dyDescent="0.25">
      <c r="B28" s="3" t="s">
        <v>25</v>
      </c>
      <c r="C28" s="8" t="s">
        <v>836</v>
      </c>
      <c r="D28" s="8"/>
      <c r="E28" s="8"/>
      <c r="F28" s="8"/>
      <c r="G28" s="8"/>
      <c r="H28" s="8"/>
      <c r="I28" s="8"/>
      <c r="J28" s="8"/>
      <c r="K28" s="8"/>
      <c r="L28" s="8"/>
      <c r="M28" s="8"/>
      <c r="N28" s="8"/>
      <c r="O28" s="8"/>
      <c r="P28" s="8"/>
      <c r="Q28" s="9"/>
    </row>
    <row r="29" spans="2:17" x14ac:dyDescent="0.25">
      <c r="B29" s="3" t="s">
        <v>26</v>
      </c>
      <c r="C29" s="8" t="s">
        <v>27</v>
      </c>
      <c r="D29" s="8"/>
      <c r="E29" s="8"/>
      <c r="F29" s="8"/>
      <c r="G29" s="8"/>
      <c r="H29" s="8"/>
      <c r="I29" s="8"/>
      <c r="J29" s="8"/>
      <c r="K29" s="8"/>
      <c r="L29" s="8"/>
      <c r="M29" s="8"/>
      <c r="N29" s="8"/>
      <c r="O29" s="8"/>
      <c r="P29" s="8"/>
      <c r="Q29" s="9"/>
    </row>
    <row r="30" spans="2:17" x14ac:dyDescent="0.25">
      <c r="B30" s="3"/>
      <c r="C30" s="8"/>
      <c r="D30" s="8"/>
      <c r="E30" s="8"/>
      <c r="F30" s="8"/>
      <c r="G30" s="8"/>
      <c r="H30" s="8"/>
      <c r="I30" s="8"/>
      <c r="J30" s="8"/>
      <c r="K30" s="8"/>
      <c r="L30" s="8"/>
      <c r="M30" s="8"/>
      <c r="N30" s="8"/>
      <c r="O30" s="8"/>
      <c r="P30" s="8"/>
      <c r="Q30" s="9"/>
    </row>
    <row r="31" spans="2:17" x14ac:dyDescent="0.25">
      <c r="B31" s="5" t="s">
        <v>28</v>
      </c>
      <c r="C31" s="8"/>
      <c r="D31" s="8"/>
      <c r="E31" s="8"/>
      <c r="F31" s="8"/>
      <c r="G31" s="8"/>
      <c r="H31" s="8"/>
      <c r="I31" s="8"/>
      <c r="J31" s="8"/>
      <c r="K31" s="8"/>
      <c r="L31" s="8"/>
      <c r="M31" s="8"/>
      <c r="N31" s="8"/>
      <c r="O31" s="8"/>
      <c r="P31" s="8"/>
      <c r="Q31" s="9"/>
    </row>
    <row r="32" spans="2:17" x14ac:dyDescent="0.25">
      <c r="B32" s="3" t="s">
        <v>29</v>
      </c>
      <c r="C32" s="8"/>
      <c r="D32" s="8"/>
      <c r="E32" s="8"/>
      <c r="F32" s="8"/>
      <c r="G32" s="8"/>
      <c r="H32" s="8"/>
      <c r="I32" s="8"/>
      <c r="J32" s="8"/>
      <c r="K32" s="8"/>
      <c r="L32" s="8"/>
      <c r="M32" s="8"/>
      <c r="N32" s="8"/>
      <c r="O32" s="8"/>
      <c r="P32" s="8"/>
      <c r="Q32" s="9"/>
    </row>
    <row r="33" spans="2:17" ht="30.75" customHeight="1" x14ac:dyDescent="0.25">
      <c r="B33" s="1213" t="s">
        <v>837</v>
      </c>
      <c r="C33" s="1214"/>
      <c r="D33" s="1214"/>
      <c r="E33" s="1214"/>
      <c r="F33" s="1214"/>
      <c r="G33" s="1214"/>
      <c r="H33" s="1214"/>
      <c r="I33" s="1214"/>
      <c r="J33" s="1214"/>
      <c r="K33" s="1214"/>
      <c r="L33" s="1214"/>
      <c r="M33" s="1214"/>
      <c r="N33" s="1214"/>
      <c r="O33" s="1214"/>
      <c r="P33" s="1214"/>
      <c r="Q33" s="1215"/>
    </row>
    <row r="34" spans="2:17" x14ac:dyDescent="0.25">
      <c r="B34" s="11" t="s">
        <v>30</v>
      </c>
      <c r="C34" s="8"/>
      <c r="D34" s="8"/>
      <c r="E34" s="8"/>
      <c r="F34" s="8"/>
      <c r="G34" s="8"/>
      <c r="H34" s="8"/>
      <c r="I34" s="8"/>
      <c r="J34" s="8"/>
      <c r="K34" s="8"/>
      <c r="L34" s="8"/>
      <c r="M34" s="8"/>
      <c r="N34" s="8"/>
      <c r="O34" s="8"/>
      <c r="P34" s="8"/>
      <c r="Q34" s="9"/>
    </row>
    <row r="35" spans="2:17" x14ac:dyDescent="0.25">
      <c r="B35" s="3" t="s">
        <v>31</v>
      </c>
      <c r="C35" s="8"/>
      <c r="D35" s="8"/>
      <c r="E35" s="8"/>
      <c r="F35" s="8"/>
      <c r="G35" s="8"/>
      <c r="H35" s="8"/>
      <c r="I35" s="8"/>
      <c r="J35" s="8"/>
      <c r="K35" s="8"/>
      <c r="L35" s="8"/>
      <c r="M35" s="8"/>
      <c r="N35" s="8"/>
      <c r="O35" s="8"/>
      <c r="P35" s="8"/>
      <c r="Q35" s="9"/>
    </row>
    <row r="36" spans="2:17" x14ac:dyDescent="0.25">
      <c r="B36" s="2" t="s">
        <v>32</v>
      </c>
      <c r="C36" s="7"/>
      <c r="D36" s="7"/>
      <c r="E36" s="7"/>
      <c r="F36" s="7"/>
      <c r="G36" s="7"/>
      <c r="H36" s="7"/>
      <c r="I36" s="7"/>
      <c r="J36" s="7"/>
      <c r="K36" s="7"/>
      <c r="L36" s="7"/>
      <c r="M36" s="7"/>
      <c r="N36" s="7"/>
      <c r="O36" s="7"/>
      <c r="P36" s="7"/>
      <c r="Q36" s="10"/>
    </row>
    <row r="39" spans="2:17" x14ac:dyDescent="0.25">
      <c r="B39" s="6"/>
      <c r="C39" s="6"/>
      <c r="D39" s="6"/>
      <c r="E39" s="6"/>
      <c r="F39" s="6"/>
      <c r="G39" s="6"/>
      <c r="H39" s="6"/>
      <c r="I39" s="6"/>
      <c r="J39" s="6"/>
      <c r="K39" s="6"/>
      <c r="L39" s="6"/>
      <c r="M39" s="6"/>
      <c r="N39" s="6"/>
      <c r="O39" s="6"/>
      <c r="P39" s="6"/>
      <c r="Q39" s="6"/>
    </row>
    <row r="40" spans="2:17" x14ac:dyDescent="0.25">
      <c r="B40" s="6"/>
      <c r="C40" s="6"/>
      <c r="D40" s="6"/>
      <c r="E40" s="6"/>
      <c r="F40" s="6"/>
      <c r="G40" s="6"/>
      <c r="H40" s="6"/>
      <c r="I40" s="6"/>
      <c r="J40" s="6"/>
      <c r="K40" s="6"/>
      <c r="L40" s="6"/>
      <c r="M40" s="6"/>
      <c r="N40" s="6"/>
      <c r="O40" s="6"/>
      <c r="P40" s="6"/>
      <c r="Q40" s="6"/>
    </row>
    <row r="41" spans="2:17" x14ac:dyDescent="0.25">
      <c r="B41" s="6"/>
      <c r="C41" s="6"/>
      <c r="D41" s="6"/>
      <c r="E41" s="6"/>
      <c r="F41" s="6"/>
      <c r="G41" s="6"/>
      <c r="H41" s="6"/>
      <c r="I41" s="6"/>
      <c r="J41" s="6"/>
      <c r="K41" s="6"/>
      <c r="L41" s="6"/>
      <c r="M41" s="6"/>
      <c r="N41" s="6"/>
      <c r="O41" s="6"/>
      <c r="P41" s="6"/>
      <c r="Q41" s="6"/>
    </row>
    <row r="42" spans="2:17" x14ac:dyDescent="0.25">
      <c r="B42" s="6"/>
      <c r="C42" s="6"/>
      <c r="D42" s="6"/>
      <c r="E42" s="6"/>
      <c r="F42" s="6"/>
      <c r="G42" s="6"/>
      <c r="H42" s="6"/>
      <c r="I42" s="6"/>
      <c r="J42" s="6"/>
      <c r="K42" s="6"/>
      <c r="L42" s="6"/>
      <c r="M42" s="6"/>
      <c r="N42" s="6"/>
      <c r="O42" s="6"/>
      <c r="P42" s="6"/>
      <c r="Q42" s="6"/>
    </row>
    <row r="43" spans="2:17" x14ac:dyDescent="0.25">
      <c r="B43" s="6"/>
      <c r="C43" s="6"/>
      <c r="D43" s="6"/>
      <c r="E43" s="6"/>
      <c r="F43" s="6"/>
      <c r="G43" s="6"/>
      <c r="H43" s="6"/>
      <c r="I43" s="6"/>
      <c r="J43" s="6"/>
      <c r="K43" s="6"/>
      <c r="L43" s="6"/>
      <c r="M43" s="6"/>
      <c r="N43" s="6"/>
      <c r="O43" s="6"/>
      <c r="P43" s="6"/>
      <c r="Q43" s="6"/>
    </row>
  </sheetData>
  <mergeCells count="6">
    <mergeCell ref="B33:Q33"/>
    <mergeCell ref="B10:Q11"/>
    <mergeCell ref="C13:Q13"/>
    <mergeCell ref="C22:Q22"/>
    <mergeCell ref="C20:Q20"/>
    <mergeCell ref="C23:Q23"/>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zoomScale="85" zoomScaleNormal="85" workbookViewId="0">
      <pane xSplit="1" ySplit="2" topLeftCell="B3" activePane="bottomRight" state="frozen"/>
      <selection pane="topRight" activeCell="B1" sqref="B1"/>
      <selection pane="bottomLeft" activeCell="A3" sqref="A3"/>
      <selection pane="bottomRight" activeCell="C4" sqref="C4"/>
    </sheetView>
  </sheetViews>
  <sheetFormatPr defaultColWidth="10.85546875" defaultRowHeight="15" x14ac:dyDescent="0.25"/>
  <cols>
    <col min="1" max="1" width="44.140625" customWidth="1"/>
    <col min="2" max="2" width="58.85546875" customWidth="1"/>
    <col min="3" max="3" width="56.42578125" customWidth="1"/>
    <col min="5" max="5" width="42.85546875" customWidth="1"/>
    <col min="6" max="6" width="21.42578125" customWidth="1"/>
  </cols>
  <sheetData>
    <row r="1" spans="1:7" ht="47.85" customHeight="1" x14ac:dyDescent="0.25">
      <c r="A1" s="24" t="s">
        <v>33</v>
      </c>
      <c r="B1" s="25" t="s">
        <v>34</v>
      </c>
      <c r="C1" s="25" t="s">
        <v>35</v>
      </c>
      <c r="D1" s="26" t="s">
        <v>36</v>
      </c>
      <c r="E1" s="16"/>
      <c r="F1" s="16"/>
    </row>
    <row r="2" spans="1:7" ht="16.5" customHeight="1" x14ac:dyDescent="0.25">
      <c r="A2" s="1226" t="s">
        <v>37</v>
      </c>
      <c r="B2" s="1227"/>
      <c r="C2" s="1227"/>
      <c r="D2" s="1228"/>
      <c r="E2" s="16"/>
      <c r="F2" s="16"/>
    </row>
    <row r="3" spans="1:7" ht="148.35" customHeight="1" x14ac:dyDescent="0.25">
      <c r="A3" s="18" t="s">
        <v>849</v>
      </c>
      <c r="B3" s="14" t="s">
        <v>1741</v>
      </c>
      <c r="C3" s="14" t="s">
        <v>848</v>
      </c>
      <c r="D3" s="22" t="s">
        <v>913</v>
      </c>
    </row>
    <row r="4" spans="1:7" ht="85.5" customHeight="1" x14ac:dyDescent="0.25">
      <c r="A4" s="18" t="s">
        <v>1817</v>
      </c>
      <c r="B4" s="14" t="s">
        <v>1818</v>
      </c>
      <c r="C4" s="14" t="s">
        <v>915</v>
      </c>
      <c r="D4" s="22" t="s">
        <v>916</v>
      </c>
      <c r="E4" s="14" t="s">
        <v>916</v>
      </c>
      <c r="F4" s="14"/>
    </row>
    <row r="5" spans="1:7" ht="168" customHeight="1" x14ac:dyDescent="0.25">
      <c r="A5" s="18" t="s">
        <v>838</v>
      </c>
      <c r="B5" s="14" t="s">
        <v>839</v>
      </c>
      <c r="C5" s="14" t="s">
        <v>860</v>
      </c>
      <c r="D5" s="22" t="s">
        <v>916</v>
      </c>
      <c r="E5" s="14" t="s">
        <v>916</v>
      </c>
      <c r="F5" s="14"/>
    </row>
    <row r="6" spans="1:7" ht="101.45" customHeight="1" x14ac:dyDescent="0.25">
      <c r="A6" s="18" t="s">
        <v>840</v>
      </c>
      <c r="B6" s="14" t="s">
        <v>38</v>
      </c>
      <c r="C6" s="14" t="s">
        <v>39</v>
      </c>
      <c r="D6" s="22" t="s">
        <v>913</v>
      </c>
      <c r="E6" s="14"/>
      <c r="F6" s="14"/>
    </row>
    <row r="7" spans="1:7" ht="87.95" customHeight="1" x14ac:dyDescent="0.25">
      <c r="A7" s="18" t="s">
        <v>1820</v>
      </c>
      <c r="B7" s="14" t="s">
        <v>1821</v>
      </c>
      <c r="C7" s="14" t="s">
        <v>1825</v>
      </c>
      <c r="D7" s="22" t="s">
        <v>916</v>
      </c>
      <c r="E7" s="14" t="s">
        <v>916</v>
      </c>
      <c r="F7" s="14"/>
    </row>
    <row r="8" spans="1:7" ht="100.35" customHeight="1" x14ac:dyDescent="0.25">
      <c r="A8" s="18" t="s">
        <v>42</v>
      </c>
      <c r="B8" s="14" t="s">
        <v>43</v>
      </c>
      <c r="C8" s="27" t="s">
        <v>44</v>
      </c>
      <c r="D8" s="22" t="s">
        <v>916</v>
      </c>
      <c r="E8" s="29"/>
      <c r="F8" s="14"/>
      <c r="G8" s="28"/>
    </row>
    <row r="9" spans="1:7" ht="78" customHeight="1" x14ac:dyDescent="0.25">
      <c r="A9" s="18" t="s">
        <v>45</v>
      </c>
      <c r="B9" s="14" t="s">
        <v>46</v>
      </c>
      <c r="C9" s="14" t="s">
        <v>866</v>
      </c>
      <c r="D9" s="22" t="s">
        <v>916</v>
      </c>
      <c r="E9" s="14"/>
      <c r="F9" s="14"/>
    </row>
    <row r="10" spans="1:7" ht="67.5" customHeight="1" x14ac:dyDescent="0.25">
      <c r="A10" s="18" t="s">
        <v>814</v>
      </c>
      <c r="B10" s="14" t="s">
        <v>824</v>
      </c>
      <c r="C10" s="14" t="s">
        <v>878</v>
      </c>
      <c r="D10" s="22" t="s">
        <v>916</v>
      </c>
      <c r="E10" s="14"/>
      <c r="F10" s="14"/>
    </row>
    <row r="11" spans="1:7" ht="87.95" customHeight="1" x14ac:dyDescent="0.25">
      <c r="A11" s="18" t="s">
        <v>47</v>
      </c>
      <c r="B11" s="14" t="s">
        <v>1974</v>
      </c>
      <c r="C11" s="14" t="s">
        <v>841</v>
      </c>
      <c r="D11" s="15"/>
      <c r="E11" s="14"/>
      <c r="F11" s="14"/>
    </row>
    <row r="12" spans="1:7" ht="15" customHeight="1" x14ac:dyDescent="0.25">
      <c r="A12" s="1226" t="s">
        <v>842</v>
      </c>
      <c r="B12" s="1227"/>
      <c r="C12" s="1227"/>
      <c r="D12" s="1228"/>
      <c r="E12" s="16"/>
      <c r="F12" s="14"/>
    </row>
    <row r="13" spans="1:7" ht="29.85" customHeight="1" x14ac:dyDescent="0.25">
      <c r="A13" s="19" t="s">
        <v>9</v>
      </c>
      <c r="B13" s="1232" t="s">
        <v>844</v>
      </c>
      <c r="C13" s="1232"/>
      <c r="D13" s="23"/>
      <c r="E13" s="16"/>
      <c r="F13" s="14"/>
    </row>
    <row r="14" spans="1:7" ht="48.6" customHeight="1" x14ac:dyDescent="0.25">
      <c r="A14" s="17" t="s">
        <v>843</v>
      </c>
      <c r="B14" s="1232" t="s">
        <v>853</v>
      </c>
      <c r="C14" s="1232"/>
      <c r="D14" s="22"/>
      <c r="E14" s="16"/>
      <c r="F14" s="14"/>
    </row>
    <row r="15" spans="1:7" ht="48.6" customHeight="1" x14ac:dyDescent="0.25">
      <c r="A15" s="17" t="s">
        <v>845</v>
      </c>
      <c r="B15" s="1232" t="s">
        <v>846</v>
      </c>
      <c r="C15" s="1232"/>
      <c r="D15" s="15"/>
      <c r="E15" s="16"/>
      <c r="F15" s="14"/>
    </row>
    <row r="16" spans="1:7" x14ac:dyDescent="0.25">
      <c r="A16" s="1229" t="s">
        <v>59</v>
      </c>
      <c r="B16" s="1230"/>
      <c r="C16" s="1230"/>
      <c r="D16" s="1231"/>
      <c r="E16" s="14"/>
      <c r="F16" s="14"/>
    </row>
    <row r="17" spans="1:6" ht="36.6" customHeight="1" x14ac:dyDescent="0.25">
      <c r="A17" s="1224" t="s">
        <v>847</v>
      </c>
      <c r="B17" s="1225"/>
      <c r="C17" s="1225"/>
      <c r="D17" s="23"/>
      <c r="E17" s="14"/>
      <c r="F17" s="14"/>
    </row>
    <row r="18" spans="1:6" ht="145.5" customHeight="1" x14ac:dyDescent="0.25">
      <c r="A18" s="18" t="s">
        <v>60</v>
      </c>
      <c r="B18" s="14" t="s">
        <v>867</v>
      </c>
      <c r="C18" s="14" t="s">
        <v>873</v>
      </c>
      <c r="D18" s="22"/>
      <c r="E18" s="14"/>
      <c r="F18" s="14"/>
    </row>
    <row r="19" spans="1:6" ht="63.6" customHeight="1" x14ac:dyDescent="0.25">
      <c r="A19" s="18" t="s">
        <v>61</v>
      </c>
      <c r="B19" s="14" t="s">
        <v>868</v>
      </c>
      <c r="C19" s="14" t="s">
        <v>869</v>
      </c>
      <c r="D19" s="22"/>
      <c r="E19" s="14"/>
      <c r="F19" s="14"/>
    </row>
    <row r="20" spans="1:6" ht="63.6" customHeight="1" x14ac:dyDescent="0.25">
      <c r="A20" s="18" t="s">
        <v>870</v>
      </c>
      <c r="B20" s="14" t="s">
        <v>871</v>
      </c>
      <c r="C20" s="14" t="s">
        <v>872</v>
      </c>
      <c r="D20" s="22"/>
      <c r="E20" s="14"/>
      <c r="F20" s="14"/>
    </row>
    <row r="21" spans="1:6" ht="34.35" customHeight="1" x14ac:dyDescent="0.25">
      <c r="A21" s="1224" t="s">
        <v>821</v>
      </c>
      <c r="B21" s="1225"/>
      <c r="C21" s="1225"/>
      <c r="D21" s="15"/>
      <c r="E21" s="14"/>
      <c r="F21" s="14"/>
    </row>
    <row r="22" spans="1:6" x14ac:dyDescent="0.25">
      <c r="A22" s="1229" t="s">
        <v>62</v>
      </c>
      <c r="B22" s="1230"/>
      <c r="C22" s="1230"/>
      <c r="D22" s="1231"/>
      <c r="E22" s="14"/>
      <c r="F22" s="14"/>
    </row>
    <row r="23" spans="1:6" ht="29.1" customHeight="1" x14ac:dyDescent="0.25">
      <c r="A23" s="18" t="s">
        <v>63</v>
      </c>
      <c r="B23" s="14"/>
      <c r="C23" s="14" t="s">
        <v>64</v>
      </c>
      <c r="D23" s="23"/>
      <c r="E23" s="14"/>
      <c r="F23" s="14"/>
    </row>
    <row r="24" spans="1:6" ht="57.6" customHeight="1" x14ac:dyDescent="0.25">
      <c r="A24" s="18" t="s">
        <v>65</v>
      </c>
      <c r="B24" s="14" t="s">
        <v>66</v>
      </c>
      <c r="C24" s="14" t="s">
        <v>67</v>
      </c>
      <c r="D24" s="22"/>
      <c r="E24" s="14"/>
      <c r="F24" s="14"/>
    </row>
    <row r="25" spans="1:6" ht="29.1" customHeight="1" x14ac:dyDescent="0.25">
      <c r="A25" s="18" t="s">
        <v>68</v>
      </c>
      <c r="B25" s="14" t="s">
        <v>69</v>
      </c>
      <c r="C25" s="14" t="s">
        <v>859</v>
      </c>
      <c r="D25" s="22"/>
      <c r="E25" s="14"/>
      <c r="F25" s="14"/>
    </row>
    <row r="26" spans="1:6" ht="72" customHeight="1" x14ac:dyDescent="0.25">
      <c r="A26" s="20" t="s">
        <v>70</v>
      </c>
      <c r="B26" s="21" t="s">
        <v>71</v>
      </c>
      <c r="C26" s="21" t="s">
        <v>72</v>
      </c>
      <c r="D26" s="15"/>
      <c r="E26" s="14"/>
      <c r="F26" s="14"/>
    </row>
  </sheetData>
  <mergeCells count="9">
    <mergeCell ref="A21:C21"/>
    <mergeCell ref="A12:D12"/>
    <mergeCell ref="A16:D16"/>
    <mergeCell ref="A22:D22"/>
    <mergeCell ref="A2:D2"/>
    <mergeCell ref="B13:C13"/>
    <mergeCell ref="B14:C14"/>
    <mergeCell ref="B15:C15"/>
    <mergeCell ref="A17:C17"/>
  </mergeCells>
  <conditionalFormatting sqref="D3:D10">
    <cfRule type="containsText" dxfId="10" priority="1" operator="containsText" text="Yes">
      <formula>NOT(ISERROR(SEARCH("Yes",D3)))</formula>
    </cfRule>
  </conditionalFormatting>
  <conditionalFormatting sqref="D11 D13:D15">
    <cfRule type="containsText" dxfId="9" priority="6" operator="containsText" text="Yes">
      <formula>NOT(ISERROR(SEARCH("Yes",D11)))</formula>
    </cfRule>
  </conditionalFormatting>
  <conditionalFormatting sqref="D17:D21">
    <cfRule type="containsText" dxfId="8" priority="3" operator="containsText" text="Yes">
      <formula>NOT(ISERROR(SEARCH("Yes",D17)))</formula>
    </cfRule>
  </conditionalFormatting>
  <conditionalFormatting sqref="D23:D26">
    <cfRule type="containsText" dxfId="7" priority="4"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zoomScale="79" zoomScaleNormal="85" workbookViewId="0">
      <pane ySplit="1" topLeftCell="A3" activePane="bottomLeft" state="frozen"/>
      <selection pane="bottomLeft" activeCell="C7" sqref="C7"/>
    </sheetView>
  </sheetViews>
  <sheetFormatPr defaultColWidth="10.85546875" defaultRowHeight="15" x14ac:dyDescent="0.25"/>
  <cols>
    <col min="1" max="1" width="30.85546875" customWidth="1"/>
    <col min="2" max="2" width="109.42578125" customWidth="1"/>
    <col min="3" max="3" width="47" customWidth="1"/>
    <col min="4" max="4" width="18.85546875" customWidth="1"/>
    <col min="5" max="5" width="58.85546875" customWidth="1"/>
    <col min="6" max="6" width="33.140625" customWidth="1"/>
  </cols>
  <sheetData>
    <row r="1" spans="1:6" ht="47.85" customHeight="1" x14ac:dyDescent="0.25">
      <c r="A1" s="24" t="s">
        <v>33</v>
      </c>
      <c r="B1" s="25" t="s">
        <v>34</v>
      </c>
      <c r="C1" s="25" t="s">
        <v>35</v>
      </c>
      <c r="D1" s="26" t="s">
        <v>36</v>
      </c>
      <c r="E1" s="31"/>
      <c r="F1" s="31"/>
    </row>
    <row r="2" spans="1:6" ht="16.5" customHeight="1" x14ac:dyDescent="0.25">
      <c r="A2" s="1226" t="s">
        <v>37</v>
      </c>
      <c r="B2" s="1227"/>
      <c r="C2" s="1227"/>
      <c r="D2" s="1228"/>
      <c r="E2" s="31"/>
      <c r="F2" s="31"/>
    </row>
    <row r="3" spans="1:6" ht="148.35" customHeight="1" x14ac:dyDescent="0.25">
      <c r="A3" s="18" t="s">
        <v>849</v>
      </c>
      <c r="B3" s="14" t="s">
        <v>1956</v>
      </c>
      <c r="C3" s="14" t="s">
        <v>848</v>
      </c>
      <c r="D3" s="22" t="s">
        <v>913</v>
      </c>
      <c r="E3" s="14"/>
    </row>
    <row r="4" spans="1:6" ht="148.35" customHeight="1" x14ac:dyDescent="0.25">
      <c r="A4" s="18" t="s">
        <v>79</v>
      </c>
      <c r="B4" s="14" t="s">
        <v>40</v>
      </c>
      <c r="C4" s="14" t="s">
        <v>1977</v>
      </c>
      <c r="D4" s="22" t="s">
        <v>916</v>
      </c>
      <c r="E4" s="14"/>
      <c r="F4" s="14"/>
    </row>
    <row r="5" spans="1:6" ht="75" customHeight="1" x14ac:dyDescent="0.25">
      <c r="A5" s="18"/>
      <c r="B5" s="14"/>
      <c r="C5" s="14" t="s">
        <v>1983</v>
      </c>
      <c r="D5" s="22" t="s">
        <v>913</v>
      </c>
      <c r="E5" s="14"/>
      <c r="F5" s="14"/>
    </row>
    <row r="6" spans="1:6" ht="61.5" customHeight="1" x14ac:dyDescent="0.25">
      <c r="A6" s="18" t="s">
        <v>73</v>
      </c>
      <c r="B6" s="14" t="s">
        <v>74</v>
      </c>
      <c r="C6" s="30" t="s">
        <v>44</v>
      </c>
      <c r="D6" s="22" t="s">
        <v>916</v>
      </c>
    </row>
    <row r="7" spans="1:6" ht="78" customHeight="1" x14ac:dyDescent="0.25">
      <c r="A7" s="18" t="s">
        <v>45</v>
      </c>
      <c r="B7" s="14" t="s">
        <v>46</v>
      </c>
      <c r="C7" s="14" t="s">
        <v>1957</v>
      </c>
      <c r="D7" s="22" t="s">
        <v>913</v>
      </c>
      <c r="E7" s="14"/>
      <c r="F7" s="14"/>
    </row>
    <row r="8" spans="1:6" ht="50.85" customHeight="1" x14ac:dyDescent="0.25">
      <c r="A8" s="18" t="s">
        <v>814</v>
      </c>
      <c r="B8" s="14" t="s">
        <v>824</v>
      </c>
      <c r="C8" s="14" t="s">
        <v>1978</v>
      </c>
      <c r="D8" s="22" t="s">
        <v>913</v>
      </c>
      <c r="E8" s="16"/>
      <c r="F8" s="14"/>
    </row>
    <row r="9" spans="1:6" ht="78.599999999999994" customHeight="1" x14ac:dyDescent="0.25">
      <c r="A9" s="18" t="s">
        <v>75</v>
      </c>
      <c r="B9" s="14" t="s">
        <v>76</v>
      </c>
      <c r="C9" s="14" t="s">
        <v>77</v>
      </c>
      <c r="D9" s="22" t="s">
        <v>913</v>
      </c>
      <c r="E9" s="16"/>
      <c r="F9" s="14"/>
    </row>
    <row r="10" spans="1:6" ht="96.6" customHeight="1" x14ac:dyDescent="0.25">
      <c r="A10" s="18" t="s">
        <v>47</v>
      </c>
      <c r="B10" s="14" t="s">
        <v>48</v>
      </c>
      <c r="C10" s="14" t="s">
        <v>841</v>
      </c>
      <c r="D10" s="22" t="s">
        <v>913</v>
      </c>
      <c r="E10" s="16"/>
      <c r="F10" s="14"/>
    </row>
    <row r="11" spans="1:6" ht="22.5" customHeight="1" x14ac:dyDescent="0.25">
      <c r="A11" s="1226" t="s">
        <v>842</v>
      </c>
      <c r="B11" s="1227"/>
      <c r="C11" s="1227"/>
      <c r="D11" s="1228"/>
      <c r="E11" s="16"/>
      <c r="F11" s="14"/>
    </row>
    <row r="12" spans="1:6" ht="22.5" customHeight="1" x14ac:dyDescent="0.25">
      <c r="A12" s="19" t="s">
        <v>75</v>
      </c>
      <c r="B12" s="1239" t="s">
        <v>851</v>
      </c>
      <c r="C12" s="1240"/>
      <c r="D12" s="32"/>
      <c r="E12" s="16"/>
      <c r="F12" s="14"/>
    </row>
    <row r="13" spans="1:6" ht="33" customHeight="1" x14ac:dyDescent="0.25">
      <c r="A13" s="19" t="s">
        <v>850</v>
      </c>
      <c r="B13" s="1232" t="s">
        <v>852</v>
      </c>
      <c r="C13" s="1232"/>
      <c r="D13" s="22"/>
      <c r="E13" s="14"/>
      <c r="F13" s="14"/>
    </row>
    <row r="14" spans="1:6" ht="39.6" customHeight="1" x14ac:dyDescent="0.25">
      <c r="A14" s="17" t="s">
        <v>843</v>
      </c>
      <c r="B14" s="1232" t="s">
        <v>853</v>
      </c>
      <c r="C14" s="1232"/>
      <c r="D14" s="22"/>
    </row>
    <row r="15" spans="1:6" ht="38.85" customHeight="1" x14ac:dyDescent="0.25">
      <c r="A15" s="17" t="s">
        <v>845</v>
      </c>
      <c r="B15" s="1232" t="s">
        <v>846</v>
      </c>
      <c r="C15" s="1232"/>
      <c r="D15" s="22"/>
    </row>
    <row r="16" spans="1:6" ht="20.100000000000001" customHeight="1" x14ac:dyDescent="0.25">
      <c r="A16" s="1229" t="s">
        <v>59</v>
      </c>
      <c r="B16" s="1230"/>
      <c r="C16" s="1230"/>
      <c r="D16" s="1231"/>
    </row>
    <row r="17" spans="1:7" ht="24.6" customHeight="1" x14ac:dyDescent="0.25">
      <c r="A17" s="1233" t="s">
        <v>822</v>
      </c>
      <c r="B17" s="1234"/>
      <c r="C17" s="1235"/>
      <c r="D17" s="22"/>
    </row>
    <row r="18" spans="1:7" ht="101.85" customHeight="1" x14ac:dyDescent="0.25">
      <c r="A18" s="17" t="s">
        <v>60</v>
      </c>
      <c r="B18" s="33" t="s">
        <v>867</v>
      </c>
      <c r="C18" s="33" t="s">
        <v>873</v>
      </c>
      <c r="D18" s="34"/>
      <c r="E18" s="33"/>
      <c r="F18" s="33"/>
      <c r="G18" s="33"/>
    </row>
    <row r="19" spans="1:7" ht="101.1" customHeight="1" x14ac:dyDescent="0.25">
      <c r="A19" s="17" t="s">
        <v>61</v>
      </c>
      <c r="B19" s="33" t="s">
        <v>868</v>
      </c>
      <c r="C19" s="33" t="s">
        <v>869</v>
      </c>
      <c r="D19" s="34"/>
      <c r="E19" s="33"/>
      <c r="F19" s="33"/>
      <c r="G19" s="33"/>
    </row>
    <row r="20" spans="1:7" ht="57.6" customHeight="1" x14ac:dyDescent="0.25">
      <c r="A20" s="17" t="s">
        <v>870</v>
      </c>
      <c r="B20" s="33" t="s">
        <v>871</v>
      </c>
      <c r="C20" s="33" t="s">
        <v>872</v>
      </c>
      <c r="D20" s="34"/>
      <c r="E20" s="33"/>
      <c r="F20" s="33"/>
      <c r="G20" s="33"/>
    </row>
    <row r="21" spans="1:7" ht="37.5" customHeight="1" x14ac:dyDescent="0.25">
      <c r="A21" s="1236" t="s">
        <v>821</v>
      </c>
      <c r="B21" s="1237"/>
      <c r="C21" s="1238"/>
      <c r="D21" s="22"/>
    </row>
    <row r="22" spans="1:7" x14ac:dyDescent="0.25">
      <c r="A22" s="1229" t="s">
        <v>62</v>
      </c>
      <c r="B22" s="1230"/>
      <c r="C22" s="1230"/>
      <c r="D22" s="1231"/>
    </row>
    <row r="23" spans="1:7" ht="29.1" customHeight="1" x14ac:dyDescent="0.25">
      <c r="A23" s="18" t="s">
        <v>63</v>
      </c>
      <c r="B23" s="14" t="s">
        <v>78</v>
      </c>
      <c r="C23" s="14" t="s">
        <v>64</v>
      </c>
      <c r="D23" s="22"/>
    </row>
    <row r="24" spans="1:7" ht="72" customHeight="1" x14ac:dyDescent="0.25">
      <c r="A24" s="18" t="s">
        <v>65</v>
      </c>
      <c r="B24" s="14" t="s">
        <v>66</v>
      </c>
      <c r="C24" s="14" t="s">
        <v>67</v>
      </c>
      <c r="D24" s="22"/>
    </row>
    <row r="25" spans="1:7" ht="29.1" customHeight="1" x14ac:dyDescent="0.25">
      <c r="A25" s="18" t="s">
        <v>68</v>
      </c>
      <c r="B25" s="14" t="s">
        <v>69</v>
      </c>
      <c r="C25" s="14" t="s">
        <v>859</v>
      </c>
      <c r="D25" s="22"/>
    </row>
    <row r="26" spans="1:7" ht="101.1" customHeight="1" x14ac:dyDescent="0.25">
      <c r="A26" s="20" t="s">
        <v>70</v>
      </c>
      <c r="B26" s="21" t="s">
        <v>71</v>
      </c>
      <c r="C26" s="21" t="s">
        <v>72</v>
      </c>
      <c r="D26" s="15"/>
    </row>
  </sheetData>
  <mergeCells count="10">
    <mergeCell ref="A22:D22"/>
    <mergeCell ref="A17:C17"/>
    <mergeCell ref="A21:C21"/>
    <mergeCell ref="A2:D2"/>
    <mergeCell ref="A11:D11"/>
    <mergeCell ref="B12:C12"/>
    <mergeCell ref="A16:D16"/>
    <mergeCell ref="B13:C13"/>
    <mergeCell ref="B14:C14"/>
    <mergeCell ref="B15:C15"/>
  </mergeCells>
  <conditionalFormatting sqref="D13:D15">
    <cfRule type="containsText" dxfId="6" priority="3" operator="containsText" text="Yes">
      <formula>NOT(ISERROR(SEARCH("Yes",D13)))</formula>
    </cfRule>
  </conditionalFormatting>
  <conditionalFormatting sqref="D17 D21 D23:D138">
    <cfRule type="containsText" dxfId="5" priority="7" operator="containsText" text="Yes">
      <formula>NOT(ISERROR(SEARCH("Yes",D17)))</formula>
    </cfRule>
  </conditionalFormatting>
  <conditionalFormatting sqref="E3 D3:D10">
    <cfRule type="containsText" dxfId="4" priority="6" operator="containsText" text="Yes">
      <formula>NOT(ISERROR(SEARCH("Yes",D3)))</formula>
    </cfRule>
  </conditionalFormatting>
  <hyperlinks>
    <hyperlink ref="C6"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1"/>
  <sheetViews>
    <sheetView zoomScale="109" workbookViewId="0">
      <selection activeCell="Q10" sqref="Q10"/>
    </sheetView>
  </sheetViews>
  <sheetFormatPr defaultColWidth="10.85546875" defaultRowHeight="15" x14ac:dyDescent="0.25"/>
  <cols>
    <col min="1" max="1" width="15.140625" customWidth="1"/>
    <col min="2" max="2" width="28.42578125" customWidth="1"/>
    <col min="3" max="3" width="25.140625" customWidth="1"/>
    <col min="4" max="4" width="11.140625" customWidth="1"/>
    <col min="5" max="5" width="15.140625" customWidth="1"/>
    <col min="6" max="6" width="12.42578125" customWidth="1"/>
    <col min="7" max="7" width="11.85546875" customWidth="1"/>
  </cols>
  <sheetData>
    <row r="1" spans="1:11" x14ac:dyDescent="0.25">
      <c r="A1" s="47" t="s">
        <v>85</v>
      </c>
      <c r="B1" s="47" t="s">
        <v>86</v>
      </c>
      <c r="C1" s="47" t="s">
        <v>87</v>
      </c>
      <c r="D1" s="47" t="s">
        <v>88</v>
      </c>
      <c r="E1" s="47" t="s">
        <v>89</v>
      </c>
      <c r="F1" s="47" t="s">
        <v>90</v>
      </c>
    </row>
    <row r="2" spans="1:11" x14ac:dyDescent="0.25">
      <c r="C2" s="43" t="str">
        <f>'Haver Pivoted'!A1</f>
        <v>name</v>
      </c>
      <c r="D2" s="48" t="s">
        <v>1904</v>
      </c>
      <c r="E2" s="48" t="s">
        <v>1905</v>
      </c>
      <c r="F2" s="48" t="s">
        <v>1921</v>
      </c>
      <c r="G2" s="48" t="s">
        <v>1922</v>
      </c>
      <c r="H2" s="29"/>
    </row>
    <row r="3" spans="1:11" x14ac:dyDescent="0.25">
      <c r="B3" s="43" t="s">
        <v>91</v>
      </c>
      <c r="C3" s="43" t="str">
        <f>'Haver Pivoted'!A2</f>
        <v>gdp</v>
      </c>
      <c r="D3">
        <v>27610.1</v>
      </c>
      <c r="E3" s="43">
        <f>'Haver Pivoted'!HH2</f>
        <v>27967.7</v>
      </c>
      <c r="F3" s="43">
        <f>E3-D3</f>
        <v>357.60000000000218</v>
      </c>
      <c r="G3" s="49">
        <f>F3/D3</f>
        <v>1.2951782137696068E-2</v>
      </c>
      <c r="H3" s="50"/>
    </row>
    <row r="4" spans="1:11" x14ac:dyDescent="0.25">
      <c r="B4" s="43" t="s">
        <v>92</v>
      </c>
      <c r="C4" s="43" t="str">
        <f>'Haver Pivoted'!A3</f>
        <v>gdph</v>
      </c>
      <c r="D4">
        <v>22490.7</v>
      </c>
      <c r="E4" s="43">
        <f>'Haver Pivoted'!HH3</f>
        <v>22780.9</v>
      </c>
      <c r="F4" s="43">
        <f t="shared" ref="F4:F67" si="0">E4-D4</f>
        <v>290.20000000000073</v>
      </c>
      <c r="G4" s="49">
        <f t="shared" ref="G4:G67" si="1">F4/D4</f>
        <v>1.2903111063684133E-2</v>
      </c>
      <c r="H4" s="50"/>
    </row>
    <row r="5" spans="1:11" x14ac:dyDescent="0.25">
      <c r="B5" s="43" t="s">
        <v>93</v>
      </c>
      <c r="C5" s="43" t="str">
        <f>'Haver Pivoted'!A4</f>
        <v>jgdp</v>
      </c>
      <c r="D5">
        <v>122.792</v>
      </c>
      <c r="E5" s="43">
        <f>'Haver Pivoted'!HH4</f>
        <v>122.785</v>
      </c>
      <c r="F5" s="43">
        <f t="shared" si="0"/>
        <v>-7.0000000000050022E-3</v>
      </c>
      <c r="G5" s="49">
        <f t="shared" si="1"/>
        <v>-5.7006971138225632E-5</v>
      </c>
      <c r="H5" s="51"/>
    </row>
    <row r="6" spans="1:11" x14ac:dyDescent="0.25">
      <c r="B6" s="43" t="s">
        <v>94</v>
      </c>
      <c r="C6" s="43" t="str">
        <f>'Haver Pivoted'!A5</f>
        <v>c</v>
      </c>
      <c r="D6">
        <v>18679.5</v>
      </c>
      <c r="E6" s="43">
        <f>'Haver Pivoted'!HH5</f>
        <v>18929</v>
      </c>
      <c r="F6" s="43">
        <f t="shared" si="0"/>
        <v>249.5</v>
      </c>
      <c r="G6" s="49">
        <f t="shared" si="1"/>
        <v>1.3356888567681148E-2</v>
      </c>
    </row>
    <row r="7" spans="1:11" x14ac:dyDescent="0.25">
      <c r="B7" s="43" t="s">
        <v>95</v>
      </c>
      <c r="C7" s="43" t="str">
        <f>'Haver Pivoted'!A6</f>
        <v>ch</v>
      </c>
      <c r="D7">
        <v>15461.4</v>
      </c>
      <c r="E7" s="43">
        <f>'Haver Pivoted'!HH6</f>
        <v>15646.7</v>
      </c>
      <c r="F7" s="43">
        <f t="shared" si="0"/>
        <v>185.30000000000109</v>
      </c>
      <c r="G7" s="49">
        <f t="shared" si="1"/>
        <v>1.198468443996023E-2</v>
      </c>
      <c r="K7" s="51"/>
    </row>
    <row r="8" spans="1:11" x14ac:dyDescent="0.25">
      <c r="B8" s="43" t="s">
        <v>96</v>
      </c>
      <c r="C8" s="43" t="str">
        <f>'Haver Pivoted'!A7</f>
        <v>jc</v>
      </c>
      <c r="D8">
        <v>120.81399999999999</v>
      </c>
      <c r="E8" s="43">
        <f>'Haver Pivoted'!HH7</f>
        <v>120.983</v>
      </c>
      <c r="F8" s="43">
        <f t="shared" si="0"/>
        <v>0.16900000000001114</v>
      </c>
      <c r="G8" s="49">
        <f t="shared" si="1"/>
        <v>1.3988445047760289E-3</v>
      </c>
    </row>
    <row r="9" spans="1:11" x14ac:dyDescent="0.25">
      <c r="B9" s="43" t="s">
        <v>97</v>
      </c>
      <c r="C9" s="43" t="str">
        <f>'Haver Pivoted'!A8</f>
        <v>jgf</v>
      </c>
      <c r="D9">
        <v>120.09699999999999</v>
      </c>
      <c r="E9" s="43">
        <f>'Haver Pivoted'!HH8</f>
        <v>120.759</v>
      </c>
      <c r="F9" s="43">
        <f t="shared" si="0"/>
        <v>0.66200000000000614</v>
      </c>
      <c r="G9" s="49">
        <f t="shared" si="1"/>
        <v>5.5122109628051169E-3</v>
      </c>
    </row>
    <row r="10" spans="1:11" x14ac:dyDescent="0.25">
      <c r="B10" s="43" t="s">
        <v>98</v>
      </c>
      <c r="C10" s="43" t="str">
        <f>'Haver Pivoted'!A9</f>
        <v>jgs</v>
      </c>
      <c r="D10">
        <v>127.717</v>
      </c>
      <c r="E10" s="43">
        <f>'Haver Pivoted'!HH9</f>
        <v>126.041</v>
      </c>
      <c r="F10" s="43">
        <f t="shared" si="0"/>
        <v>-1.6760000000000019</v>
      </c>
      <c r="G10" s="49">
        <f t="shared" si="1"/>
        <v>-1.3122763610169374E-2</v>
      </c>
    </row>
    <row r="11" spans="1:11" x14ac:dyDescent="0.25">
      <c r="B11" s="43" t="s">
        <v>99</v>
      </c>
      <c r="C11" s="43" t="str">
        <f>'Haver Pivoted'!A10</f>
        <v>jgse</v>
      </c>
      <c r="D11">
        <v>127.176</v>
      </c>
      <c r="E11" s="43">
        <f>'Haver Pivoted'!HH10</f>
        <v>124.699</v>
      </c>
      <c r="F11" s="43">
        <f t="shared" si="0"/>
        <v>-2.4770000000000039</v>
      </c>
      <c r="G11" s="49">
        <f t="shared" si="1"/>
        <v>-1.9476945335597941E-2</v>
      </c>
    </row>
    <row r="12" spans="1:11" x14ac:dyDescent="0.25">
      <c r="B12" s="43" t="s">
        <v>100</v>
      </c>
      <c r="C12" s="43" t="str">
        <f>'Haver Pivoted'!A11</f>
        <v>jgsi</v>
      </c>
      <c r="D12">
        <v>130.56700000000001</v>
      </c>
      <c r="E12" s="43">
        <f>'Haver Pivoted'!HH11</f>
        <v>132.66800000000001</v>
      </c>
      <c r="F12" s="43">
        <f t="shared" si="0"/>
        <v>2.1009999999999991</v>
      </c>
      <c r="G12" s="49">
        <f t="shared" si="1"/>
        <v>1.6091355396080167E-2</v>
      </c>
      <c r="I12" s="35"/>
    </row>
    <row r="13" spans="1:11" x14ac:dyDescent="0.25">
      <c r="A13" s="43" t="s">
        <v>55</v>
      </c>
      <c r="B13" s="43" t="s">
        <v>55</v>
      </c>
      <c r="C13" s="43" t="str">
        <f>'Haver Pivoted'!A12</f>
        <v>yptmr</v>
      </c>
      <c r="D13">
        <v>946.3</v>
      </c>
      <c r="E13" s="43">
        <f>'Haver Pivoted'!HH12</f>
        <v>1019.9</v>
      </c>
      <c r="F13" s="43">
        <f t="shared" si="0"/>
        <v>73.600000000000023</v>
      </c>
      <c r="G13" s="49">
        <f t="shared" si="1"/>
        <v>7.7776603614075901E-2</v>
      </c>
      <c r="I13" s="52"/>
    </row>
    <row r="14" spans="1:11" x14ac:dyDescent="0.25">
      <c r="A14" s="43" t="s">
        <v>54</v>
      </c>
      <c r="B14" s="43" t="s">
        <v>101</v>
      </c>
      <c r="C14" s="43" t="str">
        <f>'Haver Pivoted'!A13</f>
        <v>yptmd</v>
      </c>
      <c r="D14">
        <v>880.6</v>
      </c>
      <c r="E14" s="43">
        <f>'Haver Pivoted'!HH13</f>
        <v>867.2</v>
      </c>
      <c r="F14" s="43">
        <f t="shared" si="0"/>
        <v>-13.399999999999977</v>
      </c>
      <c r="G14" s="49">
        <f t="shared" si="1"/>
        <v>-1.521689756983872E-2</v>
      </c>
    </row>
    <row r="15" spans="1:11" x14ac:dyDescent="0.25">
      <c r="A15" s="43" t="s">
        <v>53</v>
      </c>
      <c r="B15" s="43" t="s">
        <v>102</v>
      </c>
      <c r="C15" s="43" t="str">
        <f>'Haver Pivoted'!A14</f>
        <v>yptu</v>
      </c>
      <c r="D15">
        <v>21</v>
      </c>
      <c r="E15" s="43">
        <f>'Haver Pivoted'!HH14</f>
        <v>34.700000000000003</v>
      </c>
      <c r="F15" s="43">
        <f t="shared" si="0"/>
        <v>13.700000000000003</v>
      </c>
      <c r="G15" s="49">
        <f t="shared" si="1"/>
        <v>0.65238095238095251</v>
      </c>
    </row>
    <row r="16" spans="1:11" x14ac:dyDescent="0.25">
      <c r="B16" s="43" t="s">
        <v>57</v>
      </c>
      <c r="C16" s="43" t="str">
        <f>'Haver Pivoted'!A15</f>
        <v>gtfp</v>
      </c>
      <c r="D16">
        <v>3987.8</v>
      </c>
      <c r="E16" s="43">
        <f>'Haver Pivoted'!HH15</f>
        <v>4147.5</v>
      </c>
      <c r="F16" s="43">
        <f t="shared" si="0"/>
        <v>159.69999999999982</v>
      </c>
      <c r="G16" s="49">
        <f t="shared" si="1"/>
        <v>4.0047143788555048E-2</v>
      </c>
    </row>
    <row r="17" spans="1:7" x14ac:dyDescent="0.25">
      <c r="B17" s="43" t="s">
        <v>103</v>
      </c>
      <c r="C17" s="43" t="str">
        <f>'Haver Pivoted'!A16</f>
        <v>ypog</v>
      </c>
      <c r="D17">
        <v>131.19999999999999</v>
      </c>
      <c r="E17" s="43">
        <f>'Haver Pivoted'!HH16</f>
        <v>136</v>
      </c>
      <c r="F17" s="43">
        <f t="shared" si="0"/>
        <v>4.8000000000000114</v>
      </c>
      <c r="G17" s="49">
        <f t="shared" si="1"/>
        <v>3.6585365853658625E-2</v>
      </c>
    </row>
    <row r="18" spans="1:7" x14ac:dyDescent="0.25">
      <c r="B18" s="43" t="s">
        <v>104</v>
      </c>
      <c r="C18" s="43" t="str">
        <f>'Haver Pivoted'!A17</f>
        <v>yptx</v>
      </c>
      <c r="D18">
        <v>2765.3</v>
      </c>
      <c r="E18" s="43">
        <f>'Haver Pivoted'!HH17</f>
        <v>2866</v>
      </c>
      <c r="F18" s="43">
        <f t="shared" si="0"/>
        <v>100.69999999999982</v>
      </c>
      <c r="G18" s="49">
        <f t="shared" si="1"/>
        <v>3.6415578779879151E-2</v>
      </c>
    </row>
    <row r="19" spans="1:7" x14ac:dyDescent="0.25">
      <c r="B19" s="43" t="s">
        <v>105</v>
      </c>
      <c r="C19" s="43" t="str">
        <f>'Haver Pivoted'!A18</f>
        <v>ytpi</v>
      </c>
      <c r="D19">
        <v>1830.7</v>
      </c>
      <c r="E19" s="43">
        <f>'Haver Pivoted'!HH18</f>
        <v>1896.2</v>
      </c>
      <c r="F19" s="43">
        <f t="shared" si="0"/>
        <v>65.5</v>
      </c>
      <c r="G19" s="49">
        <f t="shared" si="1"/>
        <v>3.5778663899055006E-2</v>
      </c>
    </row>
    <row r="20" spans="1:7" x14ac:dyDescent="0.25">
      <c r="B20" s="43" t="s">
        <v>106</v>
      </c>
      <c r="C20" s="43" t="str">
        <f>'Haver Pivoted'!A19</f>
        <v>yctlg</v>
      </c>
      <c r="D20">
        <v>566.70000000000005</v>
      </c>
      <c r="E20" s="43">
        <f>'Haver Pivoted'!HH19</f>
        <v>617.79999999999995</v>
      </c>
      <c r="F20" s="43">
        <f t="shared" si="0"/>
        <v>51.099999999999909</v>
      </c>
      <c r="G20" s="49">
        <f t="shared" si="1"/>
        <v>9.0171166401976185E-2</v>
      </c>
    </row>
    <row r="21" spans="1:7" x14ac:dyDescent="0.25">
      <c r="B21" s="43" t="s">
        <v>107</v>
      </c>
      <c r="C21" s="43" t="str">
        <f>'Haver Pivoted'!A20</f>
        <v>g</v>
      </c>
      <c r="D21">
        <v>4794.8</v>
      </c>
      <c r="E21" s="43">
        <f>'Haver Pivoted'!HH20</f>
        <v>4756.3999999999996</v>
      </c>
      <c r="F21" s="43">
        <f t="shared" si="0"/>
        <v>-38.400000000000546</v>
      </c>
      <c r="G21" s="49">
        <f t="shared" si="1"/>
        <v>-8.0086760657379959E-3</v>
      </c>
    </row>
    <row r="22" spans="1:7" x14ac:dyDescent="0.25">
      <c r="B22" s="43" t="s">
        <v>108</v>
      </c>
      <c r="C22" s="43" t="str">
        <f>'Haver Pivoted'!A21</f>
        <v>grcsi</v>
      </c>
      <c r="D22">
        <v>1823.3</v>
      </c>
      <c r="E22" s="43">
        <f>'Haver Pivoted'!HH21</f>
        <v>1839.3</v>
      </c>
      <c r="F22" s="43">
        <f t="shared" si="0"/>
        <v>16</v>
      </c>
      <c r="G22" s="49">
        <f t="shared" si="1"/>
        <v>8.7752975374321279E-3</v>
      </c>
    </row>
    <row r="23" spans="1:7" x14ac:dyDescent="0.25">
      <c r="B23" s="43" t="s">
        <v>96</v>
      </c>
      <c r="C23" s="43" t="str">
        <f>'Haver Pivoted'!A22</f>
        <v>dc</v>
      </c>
      <c r="D23">
        <v>120.81399999999999</v>
      </c>
      <c r="E23" s="43">
        <f>'Haver Pivoted'!HH22</f>
        <v>120.97799999999999</v>
      </c>
      <c r="F23" s="43">
        <f t="shared" si="0"/>
        <v>0.16400000000000148</v>
      </c>
      <c r="G23" s="49">
        <f t="shared" si="1"/>
        <v>1.3574585726819862E-3</v>
      </c>
    </row>
    <row r="24" spans="1:7" x14ac:dyDescent="0.25">
      <c r="A24" s="43" t="s">
        <v>109</v>
      </c>
      <c r="B24" s="43" t="s">
        <v>110</v>
      </c>
      <c r="C24" s="43" t="str">
        <f>'Haver Pivoted'!A23</f>
        <v>gf</v>
      </c>
      <c r="D24">
        <v>1791.9</v>
      </c>
      <c r="E24" s="43">
        <f>'Haver Pivoted'!HH23</f>
        <v>1780.9</v>
      </c>
      <c r="F24" s="43">
        <f t="shared" si="0"/>
        <v>-11</v>
      </c>
      <c r="G24" s="49">
        <f t="shared" si="1"/>
        <v>-6.1387354205033762E-3</v>
      </c>
    </row>
    <row r="25" spans="1:7" x14ac:dyDescent="0.25">
      <c r="A25" s="43" t="s">
        <v>109</v>
      </c>
      <c r="B25" s="43" t="s">
        <v>111</v>
      </c>
      <c r="C25" s="43" t="str">
        <f>'Haver Pivoted'!A24</f>
        <v>gs</v>
      </c>
      <c r="D25">
        <v>3002.9</v>
      </c>
      <c r="E25" s="43">
        <f>'Haver Pivoted'!HH24</f>
        <v>2975.5</v>
      </c>
      <c r="F25" s="43">
        <f t="shared" si="0"/>
        <v>-27.400000000000091</v>
      </c>
      <c r="G25" s="49">
        <f t="shared" si="1"/>
        <v>-9.1245129707949284E-3</v>
      </c>
    </row>
    <row r="26" spans="1:7" x14ac:dyDescent="0.25">
      <c r="B26" s="43" t="s">
        <v>112</v>
      </c>
      <c r="C26" s="43" t="str">
        <f>'Haver Pivoted'!A25</f>
        <v>gfh</v>
      </c>
      <c r="D26">
        <v>1492.3</v>
      </c>
      <c r="E26" s="43">
        <f>'Haver Pivoted'!HH25</f>
        <v>1474.8</v>
      </c>
      <c r="F26" s="43">
        <f t="shared" si="0"/>
        <v>-17.5</v>
      </c>
      <c r="G26" s="49">
        <f t="shared" si="1"/>
        <v>-1.1726864571466863E-2</v>
      </c>
    </row>
    <row r="27" spans="1:7" x14ac:dyDescent="0.25">
      <c r="B27" s="43" t="s">
        <v>113</v>
      </c>
      <c r="C27" s="43" t="str">
        <f>'Haver Pivoted'!A26</f>
        <v>gsh</v>
      </c>
      <c r="D27">
        <v>2351.4</v>
      </c>
      <c r="E27" s="43">
        <f>'Haver Pivoted'!HH26</f>
        <v>2360.8000000000002</v>
      </c>
      <c r="F27" s="43">
        <f t="shared" si="0"/>
        <v>9.4000000000000909</v>
      </c>
      <c r="G27" s="49">
        <f t="shared" si="1"/>
        <v>3.9976184400782894E-3</v>
      </c>
    </row>
    <row r="28" spans="1:7" x14ac:dyDescent="0.25">
      <c r="A28" s="43" t="s">
        <v>58</v>
      </c>
      <c r="B28" s="43" t="s">
        <v>114</v>
      </c>
      <c r="C28" s="43" t="s">
        <v>115</v>
      </c>
      <c r="D28">
        <v>2188.6999999999998</v>
      </c>
      <c r="E28" s="43">
        <f>'Haver Pivoted'!HH27</f>
        <v>2260.5</v>
      </c>
      <c r="F28" s="43">
        <f t="shared" si="0"/>
        <v>71.800000000000182</v>
      </c>
      <c r="G28" s="49">
        <f t="shared" si="1"/>
        <v>3.2804861333211581E-2</v>
      </c>
    </row>
    <row r="29" spans="1:7" x14ac:dyDescent="0.25">
      <c r="A29" s="43" t="s">
        <v>58</v>
      </c>
      <c r="B29" s="43" t="s">
        <v>116</v>
      </c>
      <c r="C29" s="43" t="s">
        <v>117</v>
      </c>
      <c r="D29">
        <v>171.6</v>
      </c>
      <c r="E29" s="43">
        <f>'Haver Pivoted'!HH28</f>
        <v>172.2</v>
      </c>
      <c r="F29" s="43">
        <f t="shared" si="0"/>
        <v>0.59999999999999432</v>
      </c>
      <c r="G29" s="49">
        <f t="shared" si="1"/>
        <v>3.4965034965034635E-3</v>
      </c>
    </row>
    <row r="30" spans="1:7" x14ac:dyDescent="0.25">
      <c r="A30" s="43" t="s">
        <v>58</v>
      </c>
      <c r="B30" s="43" t="s">
        <v>118</v>
      </c>
      <c r="C30" s="43" t="s">
        <v>119</v>
      </c>
      <c r="D30">
        <v>418</v>
      </c>
      <c r="E30" s="43">
        <f>'Haver Pivoted'!HH29</f>
        <v>451.9</v>
      </c>
      <c r="F30" s="43">
        <f t="shared" si="0"/>
        <v>33.899999999999977</v>
      </c>
      <c r="G30" s="49">
        <f t="shared" si="1"/>
        <v>8.1100478468899465E-2</v>
      </c>
    </row>
    <row r="31" spans="1:7" x14ac:dyDescent="0.25">
      <c r="A31" s="43" t="s">
        <v>58</v>
      </c>
      <c r="B31" s="43" t="s">
        <v>120</v>
      </c>
      <c r="C31" s="43" t="s">
        <v>121</v>
      </c>
      <c r="D31">
        <v>1801.4</v>
      </c>
      <c r="E31" s="43">
        <f>'Haver Pivoted'!HH30</f>
        <v>1818</v>
      </c>
      <c r="F31" s="43">
        <f t="shared" si="0"/>
        <v>16.599999999999909</v>
      </c>
      <c r="G31" s="49">
        <f t="shared" si="1"/>
        <v>9.2150549572554176E-3</v>
      </c>
    </row>
    <row r="32" spans="1:7" x14ac:dyDescent="0.25">
      <c r="A32" s="43" t="s">
        <v>122</v>
      </c>
      <c r="B32" s="43" t="s">
        <v>123</v>
      </c>
      <c r="C32" s="43" t="str">
        <f>'Haver Pivoted'!A31</f>
        <v>gftfp</v>
      </c>
      <c r="D32">
        <v>2930.1</v>
      </c>
      <c r="E32" s="43">
        <f>'Haver Pivoted'!HH31</f>
        <v>3078</v>
      </c>
      <c r="F32" s="43">
        <f t="shared" si="0"/>
        <v>147.90000000000009</v>
      </c>
      <c r="G32" s="49">
        <f t="shared" si="1"/>
        <v>5.0476092966110407E-2</v>
      </c>
    </row>
    <row r="33" spans="1:10" x14ac:dyDescent="0.25">
      <c r="A33" s="43" t="s">
        <v>51</v>
      </c>
      <c r="B33" s="42" t="s">
        <v>124</v>
      </c>
      <c r="C33" s="43" t="str">
        <f>'Haver Pivoted'!A32</f>
        <v>gfeg</v>
      </c>
      <c r="D33">
        <v>918.5</v>
      </c>
      <c r="E33" s="43">
        <f>'Haver Pivoted'!HH32</f>
        <v>915.6</v>
      </c>
      <c r="F33" s="43">
        <f t="shared" si="0"/>
        <v>-2.8999999999999773</v>
      </c>
      <c r="G33" s="49">
        <f t="shared" si="1"/>
        <v>-3.157321720195947E-3</v>
      </c>
    </row>
    <row r="34" spans="1:10" x14ac:dyDescent="0.25">
      <c r="A34" s="43" t="s">
        <v>58</v>
      </c>
      <c r="B34" s="43" t="s">
        <v>125</v>
      </c>
      <c r="C34" s="43" t="str">
        <f>'Haver Pivoted'!A33</f>
        <v>gsrpt</v>
      </c>
      <c r="D34">
        <v>576.6</v>
      </c>
      <c r="E34" s="43">
        <f>'Haver Pivoted'!HH33</f>
        <v>605.5</v>
      </c>
      <c r="F34" s="43">
        <f t="shared" si="0"/>
        <v>28.899999999999977</v>
      </c>
      <c r="G34" s="49">
        <f t="shared" si="1"/>
        <v>5.0121401318071412E-2</v>
      </c>
    </row>
    <row r="35" spans="1:10" x14ac:dyDescent="0.25">
      <c r="A35" s="43" t="s">
        <v>58</v>
      </c>
      <c r="B35" s="43" t="s">
        <v>126</v>
      </c>
      <c r="C35" s="43" t="str">
        <f>'Haver Pivoted'!A34</f>
        <v>gsrpri</v>
      </c>
      <c r="D35">
        <v>1659.2</v>
      </c>
      <c r="E35" s="43">
        <f>'Haver Pivoted'!HH34</f>
        <v>1724</v>
      </c>
      <c r="F35" s="43">
        <f t="shared" si="0"/>
        <v>64.799999999999955</v>
      </c>
      <c r="G35" s="49">
        <f t="shared" si="1"/>
        <v>3.9054966248794572E-2</v>
      </c>
    </row>
    <row r="36" spans="1:10" x14ac:dyDescent="0.25">
      <c r="A36" s="43" t="s">
        <v>58</v>
      </c>
      <c r="B36" s="43" t="s">
        <v>127</v>
      </c>
      <c r="C36" s="43" t="str">
        <f>'Haver Pivoted'!A35</f>
        <v>gsrcp</v>
      </c>
      <c r="D36">
        <v>148.69999999999999</v>
      </c>
      <c r="E36" s="43">
        <f>'Haver Pivoted'!HH35</f>
        <v>165.9</v>
      </c>
      <c r="F36" s="43">
        <f t="shared" si="0"/>
        <v>17.200000000000017</v>
      </c>
      <c r="G36" s="49">
        <f t="shared" si="1"/>
        <v>0.11566913248150651</v>
      </c>
    </row>
    <row r="37" spans="1:10" x14ac:dyDescent="0.25">
      <c r="A37" s="43" t="s">
        <v>58</v>
      </c>
      <c r="B37" s="43" t="s">
        <v>128</v>
      </c>
      <c r="C37" s="43" t="str">
        <f>'Haver Pivoted'!A36</f>
        <v>gsrs</v>
      </c>
      <c r="D37">
        <v>21.9</v>
      </c>
      <c r="E37" s="43">
        <f>'Haver Pivoted'!HH36</f>
        <v>21.2</v>
      </c>
      <c r="F37" s="43">
        <f t="shared" si="0"/>
        <v>-0.69999999999999929</v>
      </c>
      <c r="G37" s="49">
        <f t="shared" si="1"/>
        <v>-3.1963470319634674E-2</v>
      </c>
    </row>
    <row r="38" spans="1:10" x14ac:dyDescent="0.25">
      <c r="A38" s="43" t="s">
        <v>57</v>
      </c>
      <c r="B38" s="43" t="s">
        <v>129</v>
      </c>
      <c r="C38" s="43" t="str">
        <f>'Haver Pivoted'!A37</f>
        <v>gstfp</v>
      </c>
      <c r="D38">
        <v>1057.5999999999999</v>
      </c>
      <c r="E38" s="43">
        <f>'Haver Pivoted'!HH37</f>
        <v>1069.4000000000001</v>
      </c>
      <c r="F38" s="43">
        <f t="shared" si="0"/>
        <v>11.800000000000182</v>
      </c>
      <c r="G38" s="49">
        <f t="shared" si="1"/>
        <v>1.1157337367624984E-2</v>
      </c>
    </row>
    <row r="39" spans="1:10" x14ac:dyDescent="0.25">
      <c r="B39" s="43" t="s">
        <v>130</v>
      </c>
      <c r="C39" s="43" t="str">
        <f>'Haver Pivoted'!A38</f>
        <v>gset</v>
      </c>
      <c r="D39">
        <v>3985.3</v>
      </c>
      <c r="E39" s="43">
        <f>'Haver Pivoted'!HH38</f>
        <v>3944.8</v>
      </c>
      <c r="F39" s="43">
        <f t="shared" si="0"/>
        <v>-40.5</v>
      </c>
      <c r="G39" s="49">
        <f t="shared" si="1"/>
        <v>-1.0162346623842621E-2</v>
      </c>
    </row>
    <row r="40" spans="1:10" x14ac:dyDescent="0.25">
      <c r="B40" s="43" t="s">
        <v>131</v>
      </c>
      <c r="C40" s="43" t="str">
        <f>'Haver Pivoted'!A39</f>
        <v>gfeghhx</v>
      </c>
      <c r="D40">
        <v>622.95699999999999</v>
      </c>
      <c r="E40" s="43">
        <f>'Haver Pivoted'!HH39</f>
        <v>617.13900000000001</v>
      </c>
      <c r="F40" s="43">
        <f t="shared" si="0"/>
        <v>-5.8179999999999836</v>
      </c>
      <c r="G40" s="49">
        <f t="shared" si="1"/>
        <v>-9.3393283966629864E-3</v>
      </c>
    </row>
    <row r="41" spans="1:10" x14ac:dyDescent="0.25">
      <c r="A41" s="43" t="s">
        <v>132</v>
      </c>
      <c r="B41" s="43" t="s">
        <v>133</v>
      </c>
      <c r="C41" s="43" t="str">
        <f>'Haver Pivoted'!A40</f>
        <v>gfeghdx</v>
      </c>
      <c r="D41">
        <v>590.947</v>
      </c>
      <c r="E41" s="43">
        <f>'Haver Pivoted'!HH40</f>
        <v>585.98400000000004</v>
      </c>
      <c r="F41" s="43">
        <f t="shared" si="0"/>
        <v>-4.9629999999999654</v>
      </c>
      <c r="G41" s="49">
        <f t="shared" si="1"/>
        <v>-8.3983842882694483E-3</v>
      </c>
    </row>
    <row r="42" spans="1:10" x14ac:dyDescent="0.25">
      <c r="A42" s="43" t="s">
        <v>51</v>
      </c>
      <c r="B42" s="43" t="s">
        <v>134</v>
      </c>
      <c r="C42" s="43" t="str">
        <f>'Haver Pivoted'!A41</f>
        <v>gfeigx</v>
      </c>
      <c r="D42">
        <v>90.495000000000005</v>
      </c>
      <c r="E42" s="43">
        <f>'Haver Pivoted'!HH41</f>
        <v>92.77</v>
      </c>
      <c r="F42" s="43">
        <f t="shared" si="0"/>
        <v>2.2749999999999915</v>
      </c>
      <c r="G42" s="49">
        <f t="shared" si="1"/>
        <v>2.5139510470191629E-2</v>
      </c>
    </row>
    <row r="43" spans="1:10" x14ac:dyDescent="0.25">
      <c r="B43" s="43" t="s">
        <v>135</v>
      </c>
      <c r="C43" s="43" t="str">
        <f>'Haver Pivoted'!A42</f>
        <v>gfsub</v>
      </c>
      <c r="D43">
        <v>102.4</v>
      </c>
      <c r="E43" s="43">
        <f>'Haver Pivoted'!HH42</f>
        <v>104</v>
      </c>
      <c r="F43" s="43">
        <f t="shared" si="0"/>
        <v>1.5999999999999943</v>
      </c>
      <c r="G43" s="49">
        <f t="shared" si="1"/>
        <v>1.5624999999999944E-2</v>
      </c>
      <c r="I43" s="53"/>
      <c r="J43" s="50"/>
    </row>
    <row r="44" spans="1:10" x14ac:dyDescent="0.25">
      <c r="B44" s="43" t="s">
        <v>136</v>
      </c>
      <c r="C44" s="43" t="str">
        <f>'Haver Pivoted'!A43</f>
        <v>gssub</v>
      </c>
      <c r="D44">
        <v>0.7</v>
      </c>
      <c r="E44" s="43">
        <f>'Haver Pivoted'!HH43</f>
        <v>0.7</v>
      </c>
      <c r="F44" s="43">
        <f t="shared" si="0"/>
        <v>0</v>
      </c>
      <c r="G44" s="49">
        <f t="shared" si="1"/>
        <v>0</v>
      </c>
      <c r="I44" s="44"/>
      <c r="J44" s="50"/>
    </row>
    <row r="45" spans="1:10" x14ac:dyDescent="0.25">
      <c r="B45" s="43" t="s">
        <v>52</v>
      </c>
      <c r="C45" s="43" t="str">
        <f>'Haver Pivoted'!A44</f>
        <v>gsub</v>
      </c>
      <c r="D45">
        <v>103.1</v>
      </c>
      <c r="E45" s="43">
        <f>'Haver Pivoted'!HH44</f>
        <v>104.7</v>
      </c>
      <c r="F45" s="43">
        <f t="shared" si="0"/>
        <v>1.6000000000000085</v>
      </c>
      <c r="G45" s="49">
        <f t="shared" si="1"/>
        <v>1.551891367604276E-2</v>
      </c>
      <c r="I45" s="44"/>
      <c r="J45" s="51"/>
    </row>
    <row r="46" spans="1:10" x14ac:dyDescent="0.25">
      <c r="A46" s="43" t="s">
        <v>56</v>
      </c>
      <c r="B46" s="43" t="s">
        <v>56</v>
      </c>
      <c r="C46" s="43" t="str">
        <f>'Haver Pivoted'!A45</f>
        <v>gftfpe</v>
      </c>
      <c r="D46">
        <v>0</v>
      </c>
      <c r="E46" s="43">
        <f>'Haver Pivoted'!HH45</f>
        <v>0</v>
      </c>
      <c r="F46" s="43">
        <f t="shared" si="0"/>
        <v>0</v>
      </c>
      <c r="G46" s="49" t="e">
        <f t="shared" si="1"/>
        <v>#DIV/0!</v>
      </c>
      <c r="I46" s="44"/>
      <c r="J46" s="51"/>
    </row>
    <row r="47" spans="1:10" x14ac:dyDescent="0.25">
      <c r="B47" s="43" t="s">
        <v>137</v>
      </c>
      <c r="C47" s="43" t="str">
        <f>'Haver Pivoted'!A46</f>
        <v>gftfpr</v>
      </c>
      <c r="D47">
        <v>0</v>
      </c>
      <c r="E47" s="43">
        <f>'Haver Pivoted'!HH46</f>
        <v>0</v>
      </c>
      <c r="F47" s="43">
        <f t="shared" si="0"/>
        <v>0</v>
      </c>
      <c r="G47" s="49" t="e">
        <f t="shared" si="1"/>
        <v>#DIV/0!</v>
      </c>
      <c r="I47" s="44"/>
      <c r="J47" s="51"/>
    </row>
    <row r="48" spans="1:10" x14ac:dyDescent="0.25">
      <c r="A48" s="43" t="s">
        <v>50</v>
      </c>
      <c r="B48" s="43" t="s">
        <v>138</v>
      </c>
      <c r="C48" s="43" t="str">
        <f>'Haver Pivoted'!A47</f>
        <v>gftfpp</v>
      </c>
      <c r="D48">
        <v>0</v>
      </c>
      <c r="E48" s="43">
        <f>'Haver Pivoted'!HH47</f>
        <v>0</v>
      </c>
      <c r="F48" s="43">
        <f t="shared" si="0"/>
        <v>0</v>
      </c>
      <c r="G48" s="49" t="e">
        <f t="shared" si="1"/>
        <v>#DIV/0!</v>
      </c>
      <c r="J48" s="51"/>
    </row>
    <row r="49" spans="1:9" x14ac:dyDescent="0.25">
      <c r="A49" s="43" t="s">
        <v>49</v>
      </c>
      <c r="B49" s="43" t="s">
        <v>139</v>
      </c>
      <c r="C49" s="43" t="str">
        <f>'Haver Pivoted'!A48</f>
        <v>gftfpv</v>
      </c>
      <c r="D49">
        <v>0</v>
      </c>
      <c r="E49" s="43">
        <f>'Haver Pivoted'!HH48</f>
        <v>0</v>
      </c>
      <c r="F49" s="43">
        <f t="shared" si="0"/>
        <v>0</v>
      </c>
      <c r="G49" s="49" t="e">
        <f t="shared" si="1"/>
        <v>#DIV/0!</v>
      </c>
      <c r="H49" s="45"/>
      <c r="I49" s="45"/>
    </row>
    <row r="50" spans="1:9" x14ac:dyDescent="0.25">
      <c r="A50" s="43" t="s">
        <v>140</v>
      </c>
      <c r="B50" s="40" t="s">
        <v>141</v>
      </c>
      <c r="C50" s="43" t="str">
        <f>'Haver Pivoted'!A49</f>
        <v>gfsubp</v>
      </c>
      <c r="D50">
        <v>0</v>
      </c>
      <c r="E50" s="43">
        <f>'Haver Pivoted'!HH49</f>
        <v>0</v>
      </c>
      <c r="F50" s="43">
        <f t="shared" si="0"/>
        <v>0</v>
      </c>
      <c r="G50" s="49" t="e">
        <f t="shared" si="1"/>
        <v>#DIV/0!</v>
      </c>
      <c r="H50" s="36"/>
      <c r="I50" s="37"/>
    </row>
    <row r="51" spans="1:9" x14ac:dyDescent="0.25">
      <c r="A51" s="43" t="s">
        <v>52</v>
      </c>
      <c r="B51" s="40" t="s">
        <v>142</v>
      </c>
      <c r="C51" s="43" t="str">
        <f>'Haver Pivoted'!A50</f>
        <v>gfsubg</v>
      </c>
      <c r="D51">
        <v>0</v>
      </c>
      <c r="E51" s="43">
        <f>'Haver Pivoted'!HH50</f>
        <v>0</v>
      </c>
      <c r="F51" s="43">
        <f t="shared" si="0"/>
        <v>0</v>
      </c>
      <c r="G51" s="49" t="e">
        <f t="shared" si="1"/>
        <v>#DIV/0!</v>
      </c>
      <c r="H51" s="55"/>
      <c r="I51" s="54"/>
    </row>
    <row r="52" spans="1:9" x14ac:dyDescent="0.25">
      <c r="A52" s="43" t="s">
        <v>52</v>
      </c>
      <c r="B52" s="40" t="s">
        <v>143</v>
      </c>
      <c r="C52" s="43" t="str">
        <f>'Haver Pivoted'!A51</f>
        <v>gfsube</v>
      </c>
      <c r="D52">
        <v>0</v>
      </c>
      <c r="E52" s="43">
        <f>'Haver Pivoted'!HH51</f>
        <v>0</v>
      </c>
      <c r="F52" s="43">
        <f t="shared" si="0"/>
        <v>0</v>
      </c>
      <c r="G52" s="49" t="e">
        <f t="shared" si="1"/>
        <v>#DIV/0!</v>
      </c>
      <c r="H52" s="39"/>
      <c r="I52" s="37"/>
    </row>
    <row r="53" spans="1:9" x14ac:dyDescent="0.25">
      <c r="A53" s="43" t="s">
        <v>52</v>
      </c>
      <c r="B53" s="40" t="s">
        <v>144</v>
      </c>
      <c r="C53" s="43" t="str">
        <f>'Haver Pivoted'!A52</f>
        <v>gfsubs</v>
      </c>
      <c r="D53">
        <v>0</v>
      </c>
      <c r="E53" s="43">
        <f>'Haver Pivoted'!HH52</f>
        <v>0</v>
      </c>
      <c r="F53" s="43">
        <f t="shared" si="0"/>
        <v>0</v>
      </c>
      <c r="G53" s="49" t="e">
        <f t="shared" si="1"/>
        <v>#DIV/0!</v>
      </c>
      <c r="H53" s="39"/>
      <c r="I53" s="37"/>
    </row>
    <row r="54" spans="1:9" x14ac:dyDescent="0.25">
      <c r="A54" s="43" t="s">
        <v>52</v>
      </c>
      <c r="B54" s="40" t="s">
        <v>145</v>
      </c>
      <c r="C54" s="43" t="str">
        <f>'Haver Pivoted'!A53</f>
        <v>gfsubf</v>
      </c>
      <c r="D54">
        <v>0</v>
      </c>
      <c r="E54" s="43">
        <f>'Haver Pivoted'!HH53</f>
        <v>0</v>
      </c>
      <c r="F54" s="43">
        <f t="shared" si="0"/>
        <v>0</v>
      </c>
      <c r="G54" s="49" t="e">
        <f t="shared" si="1"/>
        <v>#DIV/0!</v>
      </c>
      <c r="H54" s="36"/>
      <c r="I54" s="37"/>
    </row>
    <row r="55" spans="1:9" x14ac:dyDescent="0.25">
      <c r="A55" s="43" t="s">
        <v>146</v>
      </c>
      <c r="B55" s="40" t="s">
        <v>147</v>
      </c>
      <c r="C55" s="43" t="str">
        <f>'Haver Pivoted'!A54</f>
        <v>gfsubv</v>
      </c>
      <c r="D55">
        <v>0</v>
      </c>
      <c r="E55" s="43">
        <f>'Haver Pivoted'!HH54</f>
        <v>0</v>
      </c>
      <c r="F55" s="43">
        <f t="shared" si="0"/>
        <v>0</v>
      </c>
      <c r="G55" s="49" t="e">
        <f t="shared" si="1"/>
        <v>#DIV/0!</v>
      </c>
    </row>
    <row r="56" spans="1:9" x14ac:dyDescent="0.25">
      <c r="A56" s="43" t="s">
        <v>52</v>
      </c>
      <c r="B56" s="40" t="s">
        <v>148</v>
      </c>
      <c r="C56" s="43" t="str">
        <f>'Haver Pivoted'!A55</f>
        <v>gfsubk</v>
      </c>
      <c r="D56">
        <v>0</v>
      </c>
      <c r="E56" s="43">
        <f>'Haver Pivoted'!HH55</f>
        <v>0</v>
      </c>
      <c r="F56" s="43">
        <f t="shared" si="0"/>
        <v>0</v>
      </c>
      <c r="G56" s="49" t="e">
        <f t="shared" si="1"/>
        <v>#DIV/0!</v>
      </c>
      <c r="H56" s="36"/>
      <c r="I56" s="37"/>
    </row>
    <row r="57" spans="1:9" x14ac:dyDescent="0.25">
      <c r="A57" s="43" t="s">
        <v>51</v>
      </c>
      <c r="B57" s="42" t="s">
        <v>149</v>
      </c>
      <c r="C57" s="43" t="str">
        <f>'Haver Pivoted'!A56</f>
        <v>gfegc</v>
      </c>
      <c r="D57">
        <v>0</v>
      </c>
      <c r="E57" s="43">
        <f>'Haver Pivoted'!HH56</f>
        <v>0</v>
      </c>
      <c r="F57" s="43">
        <f t="shared" si="0"/>
        <v>0</v>
      </c>
      <c r="G57" s="49"/>
      <c r="H57" s="36"/>
      <c r="I57" s="37"/>
    </row>
    <row r="58" spans="1:9" x14ac:dyDescent="0.25">
      <c r="A58" s="43" t="s">
        <v>51</v>
      </c>
      <c r="B58" s="42" t="s">
        <v>150</v>
      </c>
      <c r="C58" s="43" t="str">
        <f>'Haver Pivoted'!A57</f>
        <v>gfege</v>
      </c>
      <c r="D58">
        <v>0</v>
      </c>
      <c r="E58" s="43">
        <f>'Haver Pivoted'!HH57</f>
        <v>0</v>
      </c>
      <c r="F58" s="43">
        <f t="shared" si="0"/>
        <v>0</v>
      </c>
      <c r="G58" s="49" t="e">
        <f t="shared" si="1"/>
        <v>#DIV/0!</v>
      </c>
      <c r="H58" s="36"/>
      <c r="I58" s="37"/>
    </row>
    <row r="59" spans="1:9" x14ac:dyDescent="0.25">
      <c r="A59" s="43" t="s">
        <v>151</v>
      </c>
      <c r="B59" s="42" t="s">
        <v>152</v>
      </c>
      <c r="C59" s="43" t="str">
        <f>'Haver Pivoted'!A58</f>
        <v>gfegv</v>
      </c>
      <c r="D59">
        <v>0</v>
      </c>
      <c r="E59" s="43">
        <f>'Haver Pivoted'!HH58</f>
        <v>0</v>
      </c>
      <c r="F59" s="43">
        <f t="shared" si="0"/>
        <v>0</v>
      </c>
      <c r="G59" s="49" t="e">
        <f t="shared" si="1"/>
        <v>#DIV/0!</v>
      </c>
    </row>
    <row r="60" spans="1:9" x14ac:dyDescent="0.25">
      <c r="A60" s="43" t="s">
        <v>53</v>
      </c>
      <c r="B60" s="43" t="s">
        <v>153</v>
      </c>
      <c r="C60" s="43" t="str">
        <f>'Haver Pivoted'!A59</f>
        <v>yptue</v>
      </c>
      <c r="D60">
        <v>0</v>
      </c>
      <c r="E60" s="43">
        <f>'Haver Pivoted'!HH59</f>
        <v>0</v>
      </c>
      <c r="F60" s="43">
        <f t="shared" si="0"/>
        <v>0</v>
      </c>
      <c r="G60" s="49" t="e">
        <f t="shared" si="1"/>
        <v>#DIV/0!</v>
      </c>
    </row>
    <row r="61" spans="1:9" x14ac:dyDescent="0.25">
      <c r="A61" s="43" t="s">
        <v>53</v>
      </c>
      <c r="B61" s="43" t="s">
        <v>154</v>
      </c>
      <c r="C61" s="43" t="str">
        <f>'Haver Pivoted'!A60</f>
        <v>yptup</v>
      </c>
      <c r="D61">
        <v>0</v>
      </c>
      <c r="E61" s="43">
        <f>'Haver Pivoted'!HH60</f>
        <v>0</v>
      </c>
      <c r="F61" s="43">
        <f t="shared" si="0"/>
        <v>0</v>
      </c>
      <c r="G61" s="49" t="e">
        <f t="shared" si="1"/>
        <v>#DIV/0!</v>
      </c>
    </row>
    <row r="62" spans="1:9" x14ac:dyDescent="0.25">
      <c r="A62" s="43" t="s">
        <v>53</v>
      </c>
      <c r="B62" s="43" t="s">
        <v>155</v>
      </c>
      <c r="C62" s="43" t="str">
        <f>'Haver Pivoted'!A61</f>
        <v>yptuc</v>
      </c>
      <c r="D62">
        <v>0</v>
      </c>
      <c r="E62" s="43">
        <f>'Haver Pivoted'!HH61</f>
        <v>0</v>
      </c>
      <c r="F62" s="43">
        <f t="shared" si="0"/>
        <v>0</v>
      </c>
      <c r="G62" s="49" t="e">
        <f t="shared" si="1"/>
        <v>#DIV/0!</v>
      </c>
    </row>
    <row r="63" spans="1:9" x14ac:dyDescent="0.25">
      <c r="B63" s="43" t="s">
        <v>156</v>
      </c>
      <c r="C63" s="43" t="str">
        <f>'Haver Pivoted'!A62</f>
        <v>gftfpu</v>
      </c>
      <c r="D63">
        <v>0</v>
      </c>
      <c r="E63" s="43">
        <f>'Haver Pivoted'!HH62</f>
        <v>0</v>
      </c>
      <c r="F63" s="43">
        <f t="shared" si="0"/>
        <v>0</v>
      </c>
      <c r="G63" s="49" t="e">
        <f t="shared" si="1"/>
        <v>#DIV/0!</v>
      </c>
      <c r="H63" s="42"/>
      <c r="I63" s="42"/>
    </row>
    <row r="64" spans="1:9" x14ac:dyDescent="0.25">
      <c r="A64" s="43" t="s">
        <v>53</v>
      </c>
      <c r="B64" s="46" t="s">
        <v>157</v>
      </c>
      <c r="C64" s="43" t="str">
        <f>'Haver Pivoted'!A63</f>
        <v>yptub</v>
      </c>
      <c r="D64">
        <v>0</v>
      </c>
      <c r="E64" s="43">
        <f>'Haver Pivoted'!HH63</f>
        <v>0</v>
      </c>
      <c r="F64" s="43">
        <f t="shared" si="0"/>
        <v>0</v>
      </c>
      <c r="G64" s="49" t="e">
        <f t="shared" si="1"/>
        <v>#DIV/0!</v>
      </c>
      <c r="H64" s="42"/>
      <c r="I64" s="42"/>
    </row>
    <row r="65" spans="1:9" x14ac:dyDescent="0.25">
      <c r="A65" s="43" t="s">
        <v>53</v>
      </c>
      <c r="B65" s="43" t="s">
        <v>158</v>
      </c>
      <c r="C65" s="43" t="str">
        <f>'Haver Pivoted'!A64</f>
        <v>yptol</v>
      </c>
      <c r="D65">
        <v>0</v>
      </c>
      <c r="E65" s="43">
        <f>'Haver Pivoted'!HH64</f>
        <v>0</v>
      </c>
      <c r="F65" s="43">
        <f t="shared" si="0"/>
        <v>0</v>
      </c>
      <c r="G65" s="49" t="e">
        <f t="shared" si="1"/>
        <v>#DIV/0!</v>
      </c>
      <c r="H65" s="42"/>
      <c r="I65" s="42"/>
    </row>
    <row r="66" spans="1:9" x14ac:dyDescent="0.25">
      <c r="B66" s="43" t="s">
        <v>159</v>
      </c>
      <c r="C66" s="43" t="str">
        <f>'Haver Pivoted'!A65</f>
        <v>gfctp</v>
      </c>
      <c r="D66">
        <v>561.29999999999995</v>
      </c>
      <c r="E66" s="43">
        <f>'Haver Pivoted'!HH65</f>
        <v>343</v>
      </c>
      <c r="F66" s="43">
        <f t="shared" si="0"/>
        <v>-218.29999999999995</v>
      </c>
      <c r="G66" s="49">
        <f t="shared" si="1"/>
        <v>-0.38891858186353107</v>
      </c>
      <c r="H66" s="42"/>
      <c r="I66" s="42"/>
    </row>
    <row r="67" spans="1:9" x14ac:dyDescent="0.25">
      <c r="A67" s="43" t="s">
        <v>57</v>
      </c>
      <c r="B67" s="41" t="s">
        <v>160</v>
      </c>
      <c r="C67" s="43" t="str">
        <f>'Haver Pivoted'!A66</f>
        <v>gftffx</v>
      </c>
      <c r="D67">
        <v>103.06100000000001</v>
      </c>
      <c r="E67" s="43">
        <f>'Haver Pivoted'!HH66</f>
        <v>106.29600000000001</v>
      </c>
      <c r="F67" s="43">
        <f t="shared" si="0"/>
        <v>3.2349999999999994</v>
      </c>
      <c r="G67" s="49">
        <f t="shared" si="1"/>
        <v>3.1389177283356454E-2</v>
      </c>
      <c r="H67" s="42"/>
      <c r="I67" s="42"/>
    </row>
    <row r="68" spans="1:9" x14ac:dyDescent="0.25">
      <c r="B68" s="43" t="s">
        <v>161</v>
      </c>
      <c r="C68" s="43" t="str">
        <f>'Haver Pivoted'!A67</f>
        <v>cpiu</v>
      </c>
      <c r="D68">
        <v>306.034333333333</v>
      </c>
      <c r="E68" s="43">
        <f>'Haver Pivoted'!HH67</f>
        <v>306.04233333333298</v>
      </c>
      <c r="F68" s="43">
        <f t="shared" ref="F68:F81" si="2">E68-D68</f>
        <v>7.9999999999813554E-3</v>
      </c>
      <c r="G68" s="49">
        <f t="shared" ref="G68:G81" si="3">F68/D68</f>
        <v>2.6140857833972978E-5</v>
      </c>
      <c r="H68" s="42"/>
      <c r="I68" s="42"/>
    </row>
    <row r="69" spans="1:9" x14ac:dyDescent="0.25">
      <c r="C69" s="43" t="str">
        <f>'Haver Pivoted'!A68</f>
        <v>pcw</v>
      </c>
      <c r="D69">
        <v>300.327333333333</v>
      </c>
      <c r="E69" s="43">
        <f>'Haver Pivoted'!HH68</f>
        <v>300.33833333333303</v>
      </c>
      <c r="F69" s="43">
        <f t="shared" si="2"/>
        <v>1.1000000000024102E-2</v>
      </c>
      <c r="G69" s="49">
        <f t="shared" si="3"/>
        <v>3.6626702864288457E-5</v>
      </c>
    </row>
    <row r="70" spans="1:9" x14ac:dyDescent="0.25">
      <c r="B70" s="43" t="s">
        <v>162</v>
      </c>
      <c r="C70" s="43" t="str">
        <f>'Haver Pivoted'!A69</f>
        <v>gdppothq</v>
      </c>
      <c r="D70">
        <v>22369.7</v>
      </c>
      <c r="E70" s="43">
        <f>'Haver Pivoted'!HH69</f>
        <v>22459.7</v>
      </c>
      <c r="F70" s="43">
        <f t="shared" si="2"/>
        <v>90</v>
      </c>
      <c r="G70" s="49">
        <f t="shared" si="3"/>
        <v>4.0232993737063976E-3</v>
      </c>
    </row>
    <row r="71" spans="1:9" x14ac:dyDescent="0.25">
      <c r="B71" s="43" t="s">
        <v>163</v>
      </c>
      <c r="C71" s="43" t="str">
        <f>'Haver Pivoted'!A70</f>
        <v>gdppotq</v>
      </c>
      <c r="D71">
        <v>27476.6</v>
      </c>
      <c r="E71" s="43">
        <f>'Haver Pivoted'!HH70</f>
        <v>27573.4</v>
      </c>
      <c r="F71" s="43">
        <f t="shared" si="2"/>
        <v>96.80000000000291</v>
      </c>
      <c r="G71" s="49">
        <f t="shared" si="3"/>
        <v>3.5229977508135254E-3</v>
      </c>
    </row>
    <row r="72" spans="1:9" x14ac:dyDescent="0.25">
      <c r="B72" s="43" t="s">
        <v>164</v>
      </c>
      <c r="C72" s="43" t="str">
        <f>'Haver Pivoted'!A71</f>
        <v>recessq</v>
      </c>
      <c r="D72">
        <v>-1</v>
      </c>
      <c r="E72" s="43">
        <f>'Haver Pivoted'!HH71</f>
        <v>-1</v>
      </c>
      <c r="F72" s="43">
        <f t="shared" si="2"/>
        <v>0</v>
      </c>
      <c r="G72" s="49">
        <f t="shared" si="3"/>
        <v>0</v>
      </c>
    </row>
    <row r="73" spans="1:9" x14ac:dyDescent="0.25">
      <c r="A73" s="43" t="s">
        <v>165</v>
      </c>
      <c r="B73" s="43" t="s">
        <v>166</v>
      </c>
      <c r="C73" s="43" t="str">
        <f>'Haver Pivoted'!A72</f>
        <v>lasgova</v>
      </c>
      <c r="D73">
        <v>5325.3333333333303</v>
      </c>
      <c r="E73" s="43">
        <f>'Haver Pivoted'!HH72</f>
        <v>5321.3333333333303</v>
      </c>
      <c r="F73" s="43">
        <f t="shared" si="2"/>
        <v>-4</v>
      </c>
      <c r="G73" s="49">
        <f t="shared" si="3"/>
        <v>-7.5112669003505304E-4</v>
      </c>
    </row>
    <row r="74" spans="1:9" x14ac:dyDescent="0.25">
      <c r="A74" s="43" t="s">
        <v>165</v>
      </c>
      <c r="B74" s="43" t="s">
        <v>167</v>
      </c>
      <c r="C74" s="43" t="str">
        <f>'Haver Pivoted'!A73</f>
        <v>lalgova</v>
      </c>
      <c r="D74">
        <v>14587</v>
      </c>
      <c r="E74" s="43">
        <f>'Haver Pivoted'!HH73</f>
        <v>14615</v>
      </c>
      <c r="F74" s="43">
        <f t="shared" si="2"/>
        <v>28</v>
      </c>
      <c r="G74" s="49">
        <f t="shared" si="3"/>
        <v>1.9195173784876945E-3</v>
      </c>
    </row>
    <row r="75" spans="1:9" x14ac:dyDescent="0.25">
      <c r="A75" s="43" t="s">
        <v>165</v>
      </c>
      <c r="B75" s="43" t="s">
        <v>168</v>
      </c>
      <c r="C75" s="43" t="str">
        <f>'Haver Pivoted'!A74</f>
        <v>cpgs</v>
      </c>
      <c r="D75">
        <v>410267.66666666698</v>
      </c>
      <c r="E75" s="43">
        <f>'Haver Pivoted'!HH74</f>
        <v>422729.66666666698</v>
      </c>
      <c r="F75" s="43">
        <f t="shared" si="2"/>
        <v>12462</v>
      </c>
      <c r="G75" s="49">
        <f t="shared" si="3"/>
        <v>3.0375291577937308E-2</v>
      </c>
    </row>
    <row r="76" spans="1:9" x14ac:dyDescent="0.25">
      <c r="B76" s="43" t="s">
        <v>169</v>
      </c>
      <c r="C76" s="43" t="str">
        <f>'Haver Pivoted'!A75</f>
        <v>jgdp_growth</v>
      </c>
      <c r="D76">
        <v>8.2355549351746903E-3</v>
      </c>
      <c r="E76" s="43">
        <f>'Haver Pivoted'!HH75</f>
        <v>8.0125442290799303E-3</v>
      </c>
      <c r="F76" s="38">
        <f t="shared" si="2"/>
        <v>-2.2301070609475997E-4</v>
      </c>
      <c r="G76" s="49">
        <f t="shared" si="3"/>
        <v>-2.7079013843045844E-2</v>
      </c>
    </row>
    <row r="77" spans="1:9" x14ac:dyDescent="0.25">
      <c r="B77" s="43" t="s">
        <v>170</v>
      </c>
      <c r="C77" s="43" t="str">
        <f>'Haver Pivoted'!A76</f>
        <v>jc_growth</v>
      </c>
      <c r="D77">
        <v>6.4143147512578701E-3</v>
      </c>
      <c r="E77" s="43">
        <f>'Haver Pivoted'!HH76</f>
        <v>6.6648915811020597E-3</v>
      </c>
      <c r="F77" s="38">
        <f t="shared" si="2"/>
        <v>2.5057682984418964E-4</v>
      </c>
      <c r="G77" s="49">
        <f t="shared" si="3"/>
        <v>3.9065253197163523E-2</v>
      </c>
    </row>
    <row r="78" spans="1:9" x14ac:dyDescent="0.25">
      <c r="B78" s="43" t="s">
        <v>171</v>
      </c>
      <c r="C78" s="43" t="str">
        <f>'Haver Pivoted'!A77</f>
        <v>jgf_growth</v>
      </c>
      <c r="D78">
        <v>9.7870229456919998E-3</v>
      </c>
      <c r="E78" s="43">
        <f>'Haver Pivoted'!HH77</f>
        <v>9.3952438667612697E-3</v>
      </c>
      <c r="F78" s="38">
        <f t="shared" si="2"/>
        <v>-3.9177907893073009E-4</v>
      </c>
      <c r="G78" s="49">
        <f t="shared" si="3"/>
        <v>-4.0030464943701938E-2</v>
      </c>
    </row>
    <row r="79" spans="1:9" x14ac:dyDescent="0.25">
      <c r="B79" s="43" t="s">
        <v>172</v>
      </c>
      <c r="C79" s="43" t="str">
        <f>'Haver Pivoted'!A78</f>
        <v>jgs_growth</v>
      </c>
      <c r="D79">
        <v>1.4053530453285799E-2</v>
      </c>
      <c r="E79" s="43">
        <f>'Haver Pivoted'!HH78</f>
        <v>9.9439102564102804E-3</v>
      </c>
      <c r="F79" s="38">
        <f>E79/D79-1</f>
        <v>-0.29242617792987846</v>
      </c>
      <c r="G79" s="49">
        <f t="shared" si="3"/>
        <v>-20.808022503804906</v>
      </c>
    </row>
    <row r="80" spans="1:9" x14ac:dyDescent="0.25">
      <c r="B80" s="43" t="s">
        <v>173</v>
      </c>
      <c r="C80" s="43" t="str">
        <f>'Haver Pivoted'!A79</f>
        <v>jgse_growth</v>
      </c>
      <c r="D80">
        <v>1.6627230287139499E-2</v>
      </c>
      <c r="E80" s="43">
        <f>'Haver Pivoted'!HH79</f>
        <v>1.1822268382531999E-2</v>
      </c>
      <c r="F80" s="38">
        <f t="shared" si="2"/>
        <v>-4.8049619046075E-3</v>
      </c>
      <c r="G80" s="49">
        <f t="shared" si="3"/>
        <v>-0.28898149731672068</v>
      </c>
    </row>
    <row r="81" spans="2:7" x14ac:dyDescent="0.25">
      <c r="B81" s="43" t="s">
        <v>174</v>
      </c>
      <c r="C81" s="43" t="str">
        <f>'Haver Pivoted'!A80</f>
        <v>jgsi_growth</v>
      </c>
      <c r="D81">
        <v>2.8033363542803199E-3</v>
      </c>
      <c r="E81" s="43">
        <f>'Haver Pivoted'!HH80</f>
        <v>1.4644383048749701E-3</v>
      </c>
      <c r="F81" s="38">
        <f t="shared" si="2"/>
        <v>-1.3388980494053499E-3</v>
      </c>
      <c r="G81" s="49">
        <f t="shared" si="3"/>
        <v>-0.47760877761280107</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zoomScaleNormal="100" workbookViewId="0">
      <selection activeCell="C3" sqref="C3"/>
    </sheetView>
  </sheetViews>
  <sheetFormatPr defaultColWidth="10.85546875" defaultRowHeight="15" x14ac:dyDescent="0.25"/>
  <cols>
    <col min="1" max="1" width="23.85546875" customWidth="1"/>
    <col min="2" max="2" width="79.42578125" customWidth="1"/>
    <col min="3" max="3" width="33.42578125" customWidth="1"/>
  </cols>
  <sheetData>
    <row r="1" spans="1:4" ht="47.85" customHeight="1" x14ac:dyDescent="0.25">
      <c r="A1" s="64" t="s">
        <v>33</v>
      </c>
      <c r="B1" s="65" t="s">
        <v>34</v>
      </c>
      <c r="C1" s="65" t="s">
        <v>35</v>
      </c>
      <c r="D1" s="66" t="s">
        <v>36</v>
      </c>
    </row>
    <row r="2" spans="1:4" ht="116.1" customHeight="1" x14ac:dyDescent="0.25">
      <c r="A2" s="61" t="s">
        <v>1971</v>
      </c>
      <c r="B2" s="62" t="s">
        <v>899</v>
      </c>
      <c r="C2" s="62" t="s">
        <v>900</v>
      </c>
      <c r="D2" s="58" t="s">
        <v>916</v>
      </c>
    </row>
    <row r="3" spans="1:4" ht="63.75" customHeight="1" x14ac:dyDescent="0.25">
      <c r="A3" s="18" t="s">
        <v>79</v>
      </c>
      <c r="B3" s="57" t="s">
        <v>40</v>
      </c>
      <c r="C3" s="57" t="s">
        <v>41</v>
      </c>
      <c r="D3" s="59"/>
    </row>
    <row r="4" spans="1:4" ht="170.25" customHeight="1" x14ac:dyDescent="0.25">
      <c r="A4" s="67" t="s">
        <v>80</v>
      </c>
      <c r="B4" s="57" t="s">
        <v>898</v>
      </c>
      <c r="C4" s="14" t="s">
        <v>1972</v>
      </c>
      <c r="D4" s="59"/>
    </row>
    <row r="5" spans="1:4" ht="29.25" customHeight="1" x14ac:dyDescent="0.25">
      <c r="A5" s="67" t="s">
        <v>81</v>
      </c>
      <c r="B5" s="68" t="s">
        <v>82</v>
      </c>
      <c r="C5" s="56" t="s">
        <v>83</v>
      </c>
      <c r="D5" s="59"/>
    </row>
    <row r="6" spans="1:4" ht="43.35" customHeight="1" x14ac:dyDescent="0.25">
      <c r="A6" s="20" t="s">
        <v>84</v>
      </c>
      <c r="B6" s="63" t="s">
        <v>875</v>
      </c>
      <c r="C6" s="35" t="s">
        <v>874</v>
      </c>
      <c r="D6" s="60"/>
    </row>
    <row r="8" spans="1:4" x14ac:dyDescent="0.25">
      <c r="B8" s="28"/>
    </row>
    <row r="9" spans="1:4" x14ac:dyDescent="0.25">
      <c r="B9" s="28"/>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N89"/>
  <sheetViews>
    <sheetView zoomScaleNormal="100" workbookViewId="0">
      <pane xSplit="1" ySplit="1" topLeftCell="HB59" activePane="bottomRight" state="frozen"/>
      <selection pane="topRight" activeCell="B1" sqref="B1"/>
      <selection pane="bottomLeft" activeCell="A2" sqref="A2"/>
      <selection pane="bottomRight" activeCell="HN85" sqref="HN85"/>
    </sheetView>
  </sheetViews>
  <sheetFormatPr defaultColWidth="10.85546875" defaultRowHeight="15" x14ac:dyDescent="0.25"/>
  <cols>
    <col min="1" max="222" width="11.7109375" customWidth="1"/>
  </cols>
  <sheetData>
    <row r="1" spans="1:222" x14ac:dyDescent="0.25">
      <c r="A1" s="69" t="s">
        <v>1986</v>
      </c>
      <c r="B1" s="69" t="s">
        <v>1987</v>
      </c>
      <c r="C1" s="69" t="s">
        <v>1988</v>
      </c>
      <c r="D1" s="69" t="s">
        <v>1989</v>
      </c>
      <c r="E1" s="69" t="s">
        <v>1990</v>
      </c>
      <c r="F1" s="69" t="s">
        <v>1991</v>
      </c>
      <c r="G1" s="69" t="s">
        <v>1992</v>
      </c>
      <c r="H1" s="69" t="s">
        <v>1993</v>
      </c>
      <c r="I1" s="69" t="s">
        <v>1994</v>
      </c>
      <c r="J1" s="69" t="s">
        <v>1995</v>
      </c>
      <c r="K1" s="69" t="s">
        <v>1996</v>
      </c>
      <c r="L1" s="69" t="s">
        <v>1997</v>
      </c>
      <c r="M1" s="69" t="s">
        <v>1998</v>
      </c>
      <c r="N1" s="69" t="s">
        <v>1999</v>
      </c>
      <c r="O1" s="69" t="s">
        <v>2000</v>
      </c>
      <c r="P1" s="69" t="s">
        <v>2001</v>
      </c>
      <c r="Q1" s="69" t="s">
        <v>2002</v>
      </c>
      <c r="R1" s="69" t="s">
        <v>2003</v>
      </c>
      <c r="S1" s="69" t="s">
        <v>2004</v>
      </c>
      <c r="T1" s="69" t="s">
        <v>2005</v>
      </c>
      <c r="U1" s="69" t="s">
        <v>2006</v>
      </c>
      <c r="V1" s="69" t="s">
        <v>2007</v>
      </c>
      <c r="W1" s="69" t="s">
        <v>2008</v>
      </c>
      <c r="X1" s="69" t="s">
        <v>2009</v>
      </c>
      <c r="Y1" s="69" t="s">
        <v>2010</v>
      </c>
      <c r="Z1" s="69" t="s">
        <v>2011</v>
      </c>
      <c r="AA1" s="69" t="s">
        <v>2012</v>
      </c>
      <c r="AB1" s="69" t="s">
        <v>2013</v>
      </c>
      <c r="AC1" s="69" t="s">
        <v>2014</v>
      </c>
      <c r="AD1" s="69" t="s">
        <v>2015</v>
      </c>
      <c r="AE1" s="69" t="s">
        <v>2016</v>
      </c>
      <c r="AF1" s="69" t="s">
        <v>2017</v>
      </c>
      <c r="AG1" s="69" t="s">
        <v>2018</v>
      </c>
      <c r="AH1" s="69" t="s">
        <v>2019</v>
      </c>
      <c r="AI1" s="69" t="s">
        <v>2020</v>
      </c>
      <c r="AJ1" s="69" t="s">
        <v>2021</v>
      </c>
      <c r="AK1" s="69" t="s">
        <v>2022</v>
      </c>
      <c r="AL1" s="69" t="s">
        <v>2023</v>
      </c>
      <c r="AM1" s="69" t="s">
        <v>2024</v>
      </c>
      <c r="AN1" s="69" t="s">
        <v>2025</v>
      </c>
      <c r="AO1" s="69" t="s">
        <v>2026</v>
      </c>
      <c r="AP1" s="69" t="s">
        <v>2027</v>
      </c>
      <c r="AQ1" s="69" t="s">
        <v>2028</v>
      </c>
      <c r="AR1" s="69" t="s">
        <v>2029</v>
      </c>
      <c r="AS1" s="69" t="s">
        <v>2030</v>
      </c>
      <c r="AT1" s="69" t="s">
        <v>2031</v>
      </c>
      <c r="AU1" s="69" t="s">
        <v>2032</v>
      </c>
      <c r="AV1" s="69" t="s">
        <v>2033</v>
      </c>
      <c r="AW1" s="69" t="s">
        <v>2034</v>
      </c>
      <c r="AX1" s="69" t="s">
        <v>2035</v>
      </c>
      <c r="AY1" s="69" t="s">
        <v>2036</v>
      </c>
      <c r="AZ1" s="69" t="s">
        <v>2037</v>
      </c>
      <c r="BA1" s="69" t="s">
        <v>2038</v>
      </c>
      <c r="BB1" s="69" t="s">
        <v>2039</v>
      </c>
      <c r="BC1" s="69" t="s">
        <v>2040</v>
      </c>
      <c r="BD1" s="69" t="s">
        <v>2041</v>
      </c>
      <c r="BE1" s="69" t="s">
        <v>2042</v>
      </c>
      <c r="BF1" s="69" t="s">
        <v>2043</v>
      </c>
      <c r="BG1" s="69" t="s">
        <v>2044</v>
      </c>
      <c r="BH1" s="69" t="s">
        <v>2045</v>
      </c>
      <c r="BI1" s="69" t="s">
        <v>2046</v>
      </c>
      <c r="BJ1" s="69" t="s">
        <v>2047</v>
      </c>
      <c r="BK1" s="69" t="s">
        <v>2048</v>
      </c>
      <c r="BL1" s="69" t="s">
        <v>2049</v>
      </c>
      <c r="BM1" s="69" t="s">
        <v>2050</v>
      </c>
      <c r="BN1" s="69" t="s">
        <v>2051</v>
      </c>
      <c r="BO1" s="69" t="s">
        <v>2052</v>
      </c>
      <c r="BP1" s="69" t="s">
        <v>2053</v>
      </c>
      <c r="BQ1" s="69" t="s">
        <v>2054</v>
      </c>
      <c r="BR1" s="69" t="s">
        <v>2055</v>
      </c>
      <c r="BS1" s="69" t="s">
        <v>2056</v>
      </c>
      <c r="BT1" s="69" t="s">
        <v>2057</v>
      </c>
      <c r="BU1" s="69" t="s">
        <v>2058</v>
      </c>
      <c r="BV1" s="69" t="s">
        <v>2059</v>
      </c>
      <c r="BW1" s="69" t="s">
        <v>2060</v>
      </c>
      <c r="BX1" s="69" t="s">
        <v>2061</v>
      </c>
      <c r="BY1" s="69" t="s">
        <v>2062</v>
      </c>
      <c r="BZ1" s="69" t="s">
        <v>2063</v>
      </c>
      <c r="CA1" s="69" t="s">
        <v>2064</v>
      </c>
      <c r="CB1" s="69" t="s">
        <v>2065</v>
      </c>
      <c r="CC1" s="69" t="s">
        <v>2066</v>
      </c>
      <c r="CD1" s="69" t="s">
        <v>2067</v>
      </c>
      <c r="CE1" s="69" t="s">
        <v>2068</v>
      </c>
      <c r="CF1" s="69" t="s">
        <v>2069</v>
      </c>
      <c r="CG1" s="69" t="s">
        <v>2070</v>
      </c>
      <c r="CH1" s="69" t="s">
        <v>2071</v>
      </c>
      <c r="CI1" s="69" t="s">
        <v>2072</v>
      </c>
      <c r="CJ1" s="69" t="s">
        <v>2073</v>
      </c>
      <c r="CK1" s="69" t="s">
        <v>2074</v>
      </c>
      <c r="CL1" s="69" t="s">
        <v>2075</v>
      </c>
      <c r="CM1" s="69" t="s">
        <v>2076</v>
      </c>
      <c r="CN1" s="69" t="s">
        <v>2077</v>
      </c>
      <c r="CO1" s="69" t="s">
        <v>2078</v>
      </c>
      <c r="CP1" s="69" t="s">
        <v>2079</v>
      </c>
      <c r="CQ1" s="69" t="s">
        <v>2080</v>
      </c>
      <c r="CR1" s="69" t="s">
        <v>2081</v>
      </c>
      <c r="CS1" s="69" t="s">
        <v>2082</v>
      </c>
      <c r="CT1" s="69" t="s">
        <v>2083</v>
      </c>
      <c r="CU1" s="69" t="s">
        <v>2084</v>
      </c>
      <c r="CV1" s="69" t="s">
        <v>2085</v>
      </c>
      <c r="CW1" s="69" t="s">
        <v>2086</v>
      </c>
      <c r="CX1" s="69" t="s">
        <v>2087</v>
      </c>
      <c r="CY1" s="69" t="s">
        <v>2088</v>
      </c>
      <c r="CZ1" s="69" t="s">
        <v>2089</v>
      </c>
      <c r="DA1" s="69" t="s">
        <v>2090</v>
      </c>
      <c r="DB1" s="69" t="s">
        <v>2091</v>
      </c>
      <c r="DC1" s="69" t="s">
        <v>2092</v>
      </c>
      <c r="DD1" s="69" t="s">
        <v>2093</v>
      </c>
      <c r="DE1" s="69" t="s">
        <v>2094</v>
      </c>
      <c r="DF1" s="69" t="s">
        <v>2095</v>
      </c>
      <c r="DG1" s="69" t="s">
        <v>2096</v>
      </c>
      <c r="DH1" s="69" t="s">
        <v>2097</v>
      </c>
      <c r="DI1" s="69" t="s">
        <v>2098</v>
      </c>
      <c r="DJ1" s="69" t="s">
        <v>2099</v>
      </c>
      <c r="DK1" s="69" t="s">
        <v>2100</v>
      </c>
      <c r="DL1" s="69" t="s">
        <v>2101</v>
      </c>
      <c r="DM1" s="69" t="s">
        <v>2102</v>
      </c>
      <c r="DN1" s="69" t="s">
        <v>2103</v>
      </c>
      <c r="DO1" s="69" t="s">
        <v>2104</v>
      </c>
      <c r="DP1" s="69" t="s">
        <v>2105</v>
      </c>
      <c r="DQ1" s="69" t="s">
        <v>2106</v>
      </c>
      <c r="DR1" s="69" t="s">
        <v>2107</v>
      </c>
      <c r="DS1" s="69" t="s">
        <v>2108</v>
      </c>
      <c r="DT1" s="69" t="s">
        <v>2109</v>
      </c>
      <c r="DU1" s="69" t="s">
        <v>2110</v>
      </c>
      <c r="DV1" s="69" t="s">
        <v>2111</v>
      </c>
      <c r="DW1" s="69" t="s">
        <v>2112</v>
      </c>
      <c r="DX1" s="69" t="s">
        <v>2113</v>
      </c>
      <c r="DY1" s="69" t="s">
        <v>2114</v>
      </c>
      <c r="DZ1" s="69" t="s">
        <v>2115</v>
      </c>
      <c r="EA1" s="69" t="s">
        <v>2116</v>
      </c>
      <c r="EB1" s="69" t="s">
        <v>2117</v>
      </c>
      <c r="EC1" s="69" t="s">
        <v>2118</v>
      </c>
      <c r="ED1" s="69" t="s">
        <v>2119</v>
      </c>
      <c r="EE1" s="69" t="s">
        <v>2120</v>
      </c>
      <c r="EF1" s="69" t="s">
        <v>2121</v>
      </c>
      <c r="EG1" s="69" t="s">
        <v>2122</v>
      </c>
      <c r="EH1" s="69" t="s">
        <v>2123</v>
      </c>
      <c r="EI1" s="69" t="s">
        <v>2124</v>
      </c>
      <c r="EJ1" s="69" t="s">
        <v>2125</v>
      </c>
      <c r="EK1" s="69" t="s">
        <v>2126</v>
      </c>
      <c r="EL1" s="69" t="s">
        <v>2127</v>
      </c>
      <c r="EM1" s="69" t="s">
        <v>2128</v>
      </c>
      <c r="EN1" s="69" t="s">
        <v>2129</v>
      </c>
      <c r="EO1" s="69" t="s">
        <v>2130</v>
      </c>
      <c r="EP1" s="69" t="s">
        <v>2131</v>
      </c>
      <c r="EQ1" s="69" t="s">
        <v>2132</v>
      </c>
      <c r="ER1" s="69" t="s">
        <v>2133</v>
      </c>
      <c r="ES1" s="69" t="s">
        <v>2134</v>
      </c>
      <c r="ET1" s="69" t="s">
        <v>2135</v>
      </c>
      <c r="EU1" s="69" t="s">
        <v>2136</v>
      </c>
      <c r="EV1" s="69" t="s">
        <v>2137</v>
      </c>
      <c r="EW1" s="69" t="s">
        <v>2138</v>
      </c>
      <c r="EX1" s="69" t="s">
        <v>2139</v>
      </c>
      <c r="EY1" s="69" t="s">
        <v>2140</v>
      </c>
      <c r="EZ1" s="69" t="s">
        <v>2141</v>
      </c>
      <c r="FA1" s="69" t="s">
        <v>2142</v>
      </c>
      <c r="FB1" s="69" t="s">
        <v>2143</v>
      </c>
      <c r="FC1" s="69" t="s">
        <v>2144</v>
      </c>
      <c r="FD1" s="69" t="s">
        <v>2145</v>
      </c>
      <c r="FE1" s="69" t="s">
        <v>2146</v>
      </c>
      <c r="FF1" s="69" t="s">
        <v>2147</v>
      </c>
      <c r="FG1" s="69" t="s">
        <v>2148</v>
      </c>
      <c r="FH1" s="69" t="s">
        <v>2149</v>
      </c>
      <c r="FI1" s="69" t="s">
        <v>2150</v>
      </c>
      <c r="FJ1" s="69" t="s">
        <v>2151</v>
      </c>
      <c r="FK1" s="69" t="s">
        <v>2152</v>
      </c>
      <c r="FL1" s="69" t="s">
        <v>2153</v>
      </c>
      <c r="FM1" s="69" t="s">
        <v>2154</v>
      </c>
      <c r="FN1" s="69" t="s">
        <v>2155</v>
      </c>
      <c r="FO1" s="69" t="s">
        <v>2156</v>
      </c>
      <c r="FP1" s="69" t="s">
        <v>2157</v>
      </c>
      <c r="FQ1" s="69" t="s">
        <v>2158</v>
      </c>
      <c r="FR1" s="69" t="s">
        <v>2159</v>
      </c>
      <c r="FS1" s="69" t="s">
        <v>2160</v>
      </c>
      <c r="FT1" s="69" t="s">
        <v>2161</v>
      </c>
      <c r="FU1" s="69" t="s">
        <v>2162</v>
      </c>
      <c r="FV1" s="69" t="s">
        <v>2163</v>
      </c>
      <c r="FW1" s="69" t="s">
        <v>2164</v>
      </c>
      <c r="FX1" s="69" t="s">
        <v>2165</v>
      </c>
      <c r="FY1" s="69" t="s">
        <v>2166</v>
      </c>
      <c r="FZ1" s="69" t="s">
        <v>2167</v>
      </c>
      <c r="GA1" s="69" t="s">
        <v>2168</v>
      </c>
      <c r="GB1" s="69" t="s">
        <v>2169</v>
      </c>
      <c r="GC1" s="69" t="s">
        <v>2170</v>
      </c>
      <c r="GD1" s="69" t="s">
        <v>2171</v>
      </c>
      <c r="GE1" s="69" t="s">
        <v>2172</v>
      </c>
      <c r="GF1" s="69" t="s">
        <v>2173</v>
      </c>
      <c r="GG1" s="69" t="s">
        <v>2174</v>
      </c>
      <c r="GH1" s="69" t="s">
        <v>2175</v>
      </c>
      <c r="GI1" s="69" t="s">
        <v>2176</v>
      </c>
      <c r="GJ1" s="69" t="s">
        <v>2177</v>
      </c>
      <c r="GK1" s="69" t="s">
        <v>2178</v>
      </c>
      <c r="GL1" s="69" t="s">
        <v>2179</v>
      </c>
      <c r="GM1" s="69" t="s">
        <v>2180</v>
      </c>
      <c r="GN1" s="69" t="s">
        <v>2181</v>
      </c>
      <c r="GO1" s="69" t="s">
        <v>2182</v>
      </c>
      <c r="GP1" s="69" t="s">
        <v>2183</v>
      </c>
      <c r="GQ1" s="69" t="s">
        <v>2184</v>
      </c>
      <c r="GR1" s="69" t="s">
        <v>2185</v>
      </c>
      <c r="GS1" s="69" t="s">
        <v>2186</v>
      </c>
      <c r="GT1" s="69" t="s">
        <v>2187</v>
      </c>
      <c r="GU1" s="69" t="s">
        <v>2188</v>
      </c>
      <c r="GV1" s="69" t="s">
        <v>2189</v>
      </c>
      <c r="GW1" s="69" t="s">
        <v>2190</v>
      </c>
      <c r="GX1" s="69" t="s">
        <v>2191</v>
      </c>
      <c r="GY1" s="69" t="s">
        <v>2192</v>
      </c>
      <c r="GZ1" s="69" t="s">
        <v>2193</v>
      </c>
      <c r="HA1" s="69" t="s">
        <v>2194</v>
      </c>
      <c r="HB1" s="69" t="s">
        <v>2195</v>
      </c>
      <c r="HC1" s="69" t="s">
        <v>2196</v>
      </c>
      <c r="HD1" s="69" t="s">
        <v>2197</v>
      </c>
      <c r="HE1" s="69" t="s">
        <v>2198</v>
      </c>
      <c r="HF1" s="69" t="s">
        <v>2199</v>
      </c>
      <c r="HG1" s="69" t="s">
        <v>2200</v>
      </c>
      <c r="HH1" s="69" t="s">
        <v>2201</v>
      </c>
      <c r="HI1" s="69" t="s">
        <v>2202</v>
      </c>
      <c r="HJ1" s="69" t="s">
        <v>2203</v>
      </c>
      <c r="HK1" s="69" t="s">
        <v>2204</v>
      </c>
      <c r="HL1" s="69" t="s">
        <v>2205</v>
      </c>
      <c r="HM1" s="69" t="s">
        <v>2206</v>
      </c>
      <c r="HN1" s="69" t="s">
        <v>2295</v>
      </c>
    </row>
    <row r="2" spans="1:222" x14ac:dyDescent="0.25">
      <c r="A2" s="56" t="s">
        <v>2207</v>
      </c>
      <c r="B2" s="56">
        <v>1051.2</v>
      </c>
      <c r="C2" s="56">
        <v>1067.4000000000001</v>
      </c>
      <c r="D2" s="56">
        <v>1086.0999999999999</v>
      </c>
      <c r="E2" s="56">
        <v>1088.5999999999999</v>
      </c>
      <c r="F2" s="56">
        <v>1135.2</v>
      </c>
      <c r="G2" s="56">
        <v>1156.3</v>
      </c>
      <c r="H2" s="56">
        <v>1177.7</v>
      </c>
      <c r="I2" s="56">
        <v>1190.3</v>
      </c>
      <c r="J2" s="56">
        <v>1230.5999999999999</v>
      </c>
      <c r="K2" s="56">
        <v>1266.4000000000001</v>
      </c>
      <c r="L2" s="56">
        <v>1290.5999999999999</v>
      </c>
      <c r="M2" s="56">
        <v>1328.9</v>
      </c>
      <c r="N2" s="56">
        <v>1377.5</v>
      </c>
      <c r="O2" s="56">
        <v>1413.9</v>
      </c>
      <c r="P2" s="56">
        <v>1433.8</v>
      </c>
      <c r="Q2" s="56">
        <v>1476.3</v>
      </c>
      <c r="R2" s="56">
        <v>1491.2</v>
      </c>
      <c r="S2" s="56">
        <v>1530.1</v>
      </c>
      <c r="T2" s="56">
        <v>1560</v>
      </c>
      <c r="U2" s="56">
        <v>1599.7</v>
      </c>
      <c r="V2" s="56">
        <v>1616.1</v>
      </c>
      <c r="W2" s="56">
        <v>1651.9</v>
      </c>
      <c r="X2" s="56">
        <v>1709.8</v>
      </c>
      <c r="Y2" s="56">
        <v>1761.8</v>
      </c>
      <c r="Z2" s="56">
        <v>1820.5</v>
      </c>
      <c r="AA2" s="56">
        <v>1852.3</v>
      </c>
      <c r="AB2" s="56">
        <v>1886.6</v>
      </c>
      <c r="AC2" s="56">
        <v>1934.3</v>
      </c>
      <c r="AD2" s="56">
        <v>1988.6</v>
      </c>
      <c r="AE2" s="56">
        <v>2055.9</v>
      </c>
      <c r="AF2" s="56">
        <v>2118.5</v>
      </c>
      <c r="AG2" s="56">
        <v>2164.3000000000002</v>
      </c>
      <c r="AH2" s="56">
        <v>2202.8000000000002</v>
      </c>
      <c r="AI2" s="56">
        <v>2331.6</v>
      </c>
      <c r="AJ2" s="56">
        <v>2395.1</v>
      </c>
      <c r="AK2" s="56">
        <v>2476.9</v>
      </c>
      <c r="AL2" s="56">
        <v>2526.6</v>
      </c>
      <c r="AM2" s="56">
        <v>2591.1999999999998</v>
      </c>
      <c r="AN2" s="56">
        <v>2667.6</v>
      </c>
      <c r="AO2" s="56">
        <v>2723.9</v>
      </c>
      <c r="AP2" s="56">
        <v>2789.8</v>
      </c>
      <c r="AQ2" s="56">
        <v>2797.4</v>
      </c>
      <c r="AR2" s="56">
        <v>2856.5</v>
      </c>
      <c r="AS2" s="56">
        <v>2985.6</v>
      </c>
      <c r="AT2" s="56">
        <v>3124.2</v>
      </c>
      <c r="AU2" s="56">
        <v>3162.5</v>
      </c>
      <c r="AV2" s="56">
        <v>3260.6</v>
      </c>
      <c r="AW2" s="56">
        <v>3280.8</v>
      </c>
      <c r="AX2" s="56">
        <v>3274.3</v>
      </c>
      <c r="AY2" s="56">
        <v>3332</v>
      </c>
      <c r="AZ2" s="56">
        <v>3366.3</v>
      </c>
      <c r="BA2" s="56">
        <v>3402.6</v>
      </c>
      <c r="BB2" s="56">
        <v>3473.4</v>
      </c>
      <c r="BC2" s="56">
        <v>3578.8</v>
      </c>
      <c r="BD2" s="56">
        <v>3689.2</v>
      </c>
      <c r="BE2" s="56">
        <v>3794.7</v>
      </c>
      <c r="BF2" s="56">
        <v>3908.1</v>
      </c>
      <c r="BG2" s="56">
        <v>4009.6</v>
      </c>
      <c r="BH2" s="56">
        <v>4084.3</v>
      </c>
      <c r="BI2" s="56">
        <v>4148.6000000000004</v>
      </c>
      <c r="BJ2" s="56">
        <v>4230.2</v>
      </c>
      <c r="BK2" s="56">
        <v>4294.8999999999996</v>
      </c>
      <c r="BL2" s="56">
        <v>4386.8</v>
      </c>
      <c r="BM2" s="56">
        <v>4444.1000000000004</v>
      </c>
      <c r="BN2" s="56">
        <v>4507.8999999999996</v>
      </c>
      <c r="BO2" s="56">
        <v>4545.3</v>
      </c>
      <c r="BP2" s="56">
        <v>4607.7</v>
      </c>
      <c r="BQ2" s="56">
        <v>4657.6000000000004</v>
      </c>
      <c r="BR2" s="56">
        <v>4722.2</v>
      </c>
      <c r="BS2" s="56">
        <v>4806.2</v>
      </c>
      <c r="BT2" s="56">
        <v>4884.6000000000004</v>
      </c>
      <c r="BU2" s="56">
        <v>5008</v>
      </c>
      <c r="BV2" s="56">
        <v>5073.3999999999996</v>
      </c>
      <c r="BW2" s="56">
        <v>5190</v>
      </c>
      <c r="BX2" s="56">
        <v>5282.8</v>
      </c>
      <c r="BY2" s="56">
        <v>5399.5</v>
      </c>
      <c r="BZ2" s="56">
        <v>5511.3</v>
      </c>
      <c r="CA2" s="56">
        <v>5612.5</v>
      </c>
      <c r="CB2" s="56">
        <v>5695.4</v>
      </c>
      <c r="CC2" s="56">
        <v>5747.2</v>
      </c>
      <c r="CD2" s="56">
        <v>5872.7</v>
      </c>
      <c r="CE2" s="56">
        <v>5960</v>
      </c>
      <c r="CF2" s="56">
        <v>6015.1</v>
      </c>
      <c r="CG2" s="56">
        <v>6004.7</v>
      </c>
      <c r="CH2" s="56">
        <v>6035.2</v>
      </c>
      <c r="CI2" s="56">
        <v>6126.9</v>
      </c>
      <c r="CJ2" s="56">
        <v>6205.9</v>
      </c>
      <c r="CK2" s="56">
        <v>6264.5</v>
      </c>
      <c r="CL2" s="56">
        <v>6363.1</v>
      </c>
      <c r="CM2" s="56">
        <v>6470.8</v>
      </c>
      <c r="CN2" s="56">
        <v>6566.6</v>
      </c>
      <c r="CO2" s="56">
        <v>6680.8</v>
      </c>
      <c r="CP2" s="56">
        <v>6729.5</v>
      </c>
      <c r="CQ2" s="56">
        <v>6808.9</v>
      </c>
      <c r="CR2" s="56">
        <v>6882.1</v>
      </c>
      <c r="CS2" s="56">
        <v>7013.7</v>
      </c>
      <c r="CT2" s="56">
        <v>7115.7</v>
      </c>
      <c r="CU2" s="56">
        <v>7246.9</v>
      </c>
      <c r="CV2" s="56">
        <v>7331.1</v>
      </c>
      <c r="CW2" s="56">
        <v>7455.3</v>
      </c>
      <c r="CX2" s="56">
        <v>7522.3</v>
      </c>
      <c r="CY2" s="56">
        <v>7581</v>
      </c>
      <c r="CZ2" s="56">
        <v>7683.1</v>
      </c>
      <c r="DA2" s="56">
        <v>7772.6</v>
      </c>
      <c r="DB2" s="56">
        <v>7868.5</v>
      </c>
      <c r="DC2" s="56">
        <v>8032.8</v>
      </c>
      <c r="DD2" s="56">
        <v>8131.4</v>
      </c>
      <c r="DE2" s="56">
        <v>8259.7999999999993</v>
      </c>
      <c r="DF2" s="56">
        <v>8362.7000000000007</v>
      </c>
      <c r="DG2" s="56">
        <v>8518.7999999999993</v>
      </c>
      <c r="DH2" s="56">
        <v>8662.7999999999993</v>
      </c>
      <c r="DI2" s="56">
        <v>8765.9</v>
      </c>
      <c r="DJ2" s="56">
        <v>8866.5</v>
      </c>
      <c r="DK2" s="56">
        <v>8969.7000000000007</v>
      </c>
      <c r="DL2" s="56">
        <v>9121.1</v>
      </c>
      <c r="DM2" s="56">
        <v>9294</v>
      </c>
      <c r="DN2" s="56">
        <v>9411.7000000000007</v>
      </c>
      <c r="DO2" s="56">
        <v>9526.2000000000007</v>
      </c>
      <c r="DP2" s="56">
        <v>9686.6</v>
      </c>
      <c r="DQ2" s="56">
        <v>9900.2000000000007</v>
      </c>
      <c r="DR2" s="56">
        <v>10002.200000000001</v>
      </c>
      <c r="DS2" s="56">
        <v>10247.700000000001</v>
      </c>
      <c r="DT2" s="56">
        <v>10318.200000000001</v>
      </c>
      <c r="DU2" s="56">
        <v>10435.700000000001</v>
      </c>
      <c r="DV2" s="56">
        <v>10470.200000000001</v>
      </c>
      <c r="DW2" s="56">
        <v>10599</v>
      </c>
      <c r="DX2" s="56">
        <v>10598</v>
      </c>
      <c r="DY2" s="56">
        <v>10660.5</v>
      </c>
      <c r="DZ2" s="56">
        <v>10783.5</v>
      </c>
      <c r="EA2" s="56">
        <v>10887.5</v>
      </c>
      <c r="EB2" s="56">
        <v>10984</v>
      </c>
      <c r="EC2" s="56">
        <v>11061.4</v>
      </c>
      <c r="ED2" s="56">
        <v>11174.1</v>
      </c>
      <c r="EE2" s="56">
        <v>11312.8</v>
      </c>
      <c r="EF2" s="56">
        <v>11566.7</v>
      </c>
      <c r="EG2" s="56">
        <v>11772.2</v>
      </c>
      <c r="EH2" s="56">
        <v>11923.4</v>
      </c>
      <c r="EI2" s="56">
        <v>12112.8</v>
      </c>
      <c r="EJ2" s="56">
        <v>12305.3</v>
      </c>
      <c r="EK2" s="56">
        <v>12527.2</v>
      </c>
      <c r="EL2" s="56">
        <v>12767.3</v>
      </c>
      <c r="EM2" s="56">
        <v>12922.7</v>
      </c>
      <c r="EN2" s="56">
        <v>13142.6</v>
      </c>
      <c r="EO2" s="56">
        <v>13324.2</v>
      </c>
      <c r="EP2" s="56">
        <v>13599.2</v>
      </c>
      <c r="EQ2" s="56">
        <v>13753.4</v>
      </c>
      <c r="ER2" s="56">
        <v>13870.2</v>
      </c>
      <c r="ES2" s="56">
        <v>14039.6</v>
      </c>
      <c r="ET2" s="56">
        <v>14215.7</v>
      </c>
      <c r="EU2" s="56">
        <v>14402.1</v>
      </c>
      <c r="EV2" s="56">
        <v>14564.1</v>
      </c>
      <c r="EW2" s="56">
        <v>14715.1</v>
      </c>
      <c r="EX2" s="56">
        <v>14706.5</v>
      </c>
      <c r="EY2" s="56">
        <v>14865.7</v>
      </c>
      <c r="EZ2" s="56">
        <v>14899</v>
      </c>
      <c r="FA2" s="56">
        <v>14608.2</v>
      </c>
      <c r="FB2" s="56">
        <v>14430.9</v>
      </c>
      <c r="FC2" s="56">
        <v>14381.2</v>
      </c>
      <c r="FD2" s="56">
        <v>14448.9</v>
      </c>
      <c r="FE2" s="56">
        <v>14651.2</v>
      </c>
      <c r="FF2" s="56">
        <v>14764.6</v>
      </c>
      <c r="FG2" s="56">
        <v>14980.2</v>
      </c>
      <c r="FH2" s="56">
        <v>15141.6</v>
      </c>
      <c r="FI2" s="56">
        <v>15309.5</v>
      </c>
      <c r="FJ2" s="56">
        <v>15351.4</v>
      </c>
      <c r="FK2" s="56">
        <v>15557.5</v>
      </c>
      <c r="FL2" s="56">
        <v>15647.7</v>
      </c>
      <c r="FM2" s="56">
        <v>15842.3</v>
      </c>
      <c r="FN2" s="56">
        <v>16068.8</v>
      </c>
      <c r="FO2" s="56">
        <v>16207.1</v>
      </c>
      <c r="FP2" s="56">
        <v>16319.5</v>
      </c>
      <c r="FQ2" s="56">
        <v>16420.400000000001</v>
      </c>
      <c r="FR2" s="56">
        <v>16648.2</v>
      </c>
      <c r="FS2" s="56">
        <v>16728.7</v>
      </c>
      <c r="FT2" s="56">
        <v>16953.8</v>
      </c>
      <c r="FU2" s="56">
        <v>17192</v>
      </c>
      <c r="FV2" s="56">
        <v>17197.7</v>
      </c>
      <c r="FW2" s="56">
        <v>17518.5</v>
      </c>
      <c r="FX2" s="56">
        <v>17804.2</v>
      </c>
      <c r="FY2" s="56">
        <v>17912.099999999999</v>
      </c>
      <c r="FZ2" s="56">
        <v>18063.5</v>
      </c>
      <c r="GA2" s="56">
        <v>18279.8</v>
      </c>
      <c r="GB2" s="56">
        <v>18401.599999999999</v>
      </c>
      <c r="GC2" s="56">
        <v>18435.099999999999</v>
      </c>
      <c r="GD2" s="56">
        <v>18525.900000000001</v>
      </c>
      <c r="GE2" s="56">
        <v>18711.7</v>
      </c>
      <c r="GF2" s="56">
        <v>18892.599999999999</v>
      </c>
      <c r="GG2" s="56">
        <v>19089.400000000001</v>
      </c>
      <c r="GH2" s="56">
        <v>19280.099999999999</v>
      </c>
      <c r="GI2" s="56">
        <v>19438.599999999999</v>
      </c>
      <c r="GJ2" s="56">
        <v>19692.599999999999</v>
      </c>
      <c r="GK2" s="56">
        <v>20037.099999999999</v>
      </c>
      <c r="GL2" s="56">
        <v>20328.599999999999</v>
      </c>
      <c r="GM2" s="56">
        <v>20580.900000000001</v>
      </c>
      <c r="GN2" s="56">
        <v>20798.7</v>
      </c>
      <c r="GO2" s="56">
        <v>20917.900000000001</v>
      </c>
      <c r="GP2" s="56">
        <v>21111.599999999999</v>
      </c>
      <c r="GQ2" s="56">
        <v>21397.9</v>
      </c>
      <c r="GR2" s="56">
        <v>21717.200000000001</v>
      </c>
      <c r="GS2" s="56">
        <v>21933.200000000001</v>
      </c>
      <c r="GT2" s="56">
        <v>21727.7</v>
      </c>
      <c r="GU2" s="56">
        <v>19935.400000000001</v>
      </c>
      <c r="GV2" s="56">
        <v>21684.6</v>
      </c>
      <c r="GW2" s="56">
        <v>22068.799999999999</v>
      </c>
      <c r="GX2" s="56">
        <v>22656.799999999999</v>
      </c>
      <c r="GY2" s="56">
        <v>23368.9</v>
      </c>
      <c r="GZ2" s="56">
        <v>23922</v>
      </c>
      <c r="HA2" s="56">
        <v>24777</v>
      </c>
      <c r="HB2" s="56">
        <v>25215.5</v>
      </c>
      <c r="HC2">
        <v>25805.8</v>
      </c>
      <c r="HD2">
        <v>26272</v>
      </c>
      <c r="HE2">
        <v>26734.3</v>
      </c>
      <c r="HF2">
        <v>27164.400000000001</v>
      </c>
      <c r="HG2">
        <v>27453.8</v>
      </c>
      <c r="HH2">
        <v>27967.7</v>
      </c>
      <c r="HI2">
        <v>28297</v>
      </c>
      <c r="HJ2">
        <v>28624.1</v>
      </c>
      <c r="HK2">
        <v>29016.7</v>
      </c>
      <c r="HL2">
        <v>29374.9</v>
      </c>
      <c r="HM2">
        <v>29723.9</v>
      </c>
      <c r="HN2">
        <v>29977.599999999999</v>
      </c>
    </row>
    <row r="3" spans="1:222" x14ac:dyDescent="0.25">
      <c r="A3" s="56" t="s">
        <v>2208</v>
      </c>
      <c r="B3" s="56">
        <v>5300.7</v>
      </c>
      <c r="C3" s="56">
        <v>5308.2</v>
      </c>
      <c r="D3" s="56">
        <v>5357.1</v>
      </c>
      <c r="E3" s="56">
        <v>5299.7</v>
      </c>
      <c r="F3" s="56">
        <v>5443.6</v>
      </c>
      <c r="G3" s="56">
        <v>5473.1</v>
      </c>
      <c r="H3" s="56">
        <v>5518.1</v>
      </c>
      <c r="I3" s="56">
        <v>5531</v>
      </c>
      <c r="J3" s="56">
        <v>5632.6</v>
      </c>
      <c r="K3" s="56">
        <v>5760.5</v>
      </c>
      <c r="L3" s="56">
        <v>5814.9</v>
      </c>
      <c r="M3" s="56">
        <v>5912.2</v>
      </c>
      <c r="N3" s="56">
        <v>6058.5</v>
      </c>
      <c r="O3" s="56">
        <v>6124.5</v>
      </c>
      <c r="P3" s="56">
        <v>6092.3</v>
      </c>
      <c r="Q3" s="56">
        <v>6150.1</v>
      </c>
      <c r="R3" s="56">
        <v>6097.3</v>
      </c>
      <c r="S3" s="56">
        <v>6111.8</v>
      </c>
      <c r="T3" s="56">
        <v>6054</v>
      </c>
      <c r="U3" s="56">
        <v>6030.5</v>
      </c>
      <c r="V3" s="56">
        <v>5957</v>
      </c>
      <c r="W3" s="56">
        <v>5999.6</v>
      </c>
      <c r="X3" s="56">
        <v>6102.3</v>
      </c>
      <c r="Y3" s="56">
        <v>6184.5</v>
      </c>
      <c r="Z3" s="56">
        <v>6323.6</v>
      </c>
      <c r="AA3" s="56">
        <v>6370</v>
      </c>
      <c r="AB3" s="56">
        <v>6404.9</v>
      </c>
      <c r="AC3" s="56">
        <v>6451.2</v>
      </c>
      <c r="AD3" s="56">
        <v>6527.7</v>
      </c>
      <c r="AE3" s="56">
        <v>6654.5</v>
      </c>
      <c r="AF3" s="56">
        <v>6774.5</v>
      </c>
      <c r="AG3" s="56">
        <v>6774.6</v>
      </c>
      <c r="AH3" s="56">
        <v>6796.3</v>
      </c>
      <c r="AI3" s="56">
        <v>7058.9</v>
      </c>
      <c r="AJ3" s="56">
        <v>7129.9</v>
      </c>
      <c r="AK3" s="56">
        <v>7225.8</v>
      </c>
      <c r="AL3" s="56">
        <v>7238.7</v>
      </c>
      <c r="AM3" s="56">
        <v>7246.5</v>
      </c>
      <c r="AN3" s="56">
        <v>7300.3</v>
      </c>
      <c r="AO3" s="56">
        <v>7318.5</v>
      </c>
      <c r="AP3" s="56">
        <v>7341.6</v>
      </c>
      <c r="AQ3" s="56">
        <v>7190.3</v>
      </c>
      <c r="AR3" s="56">
        <v>7181.7</v>
      </c>
      <c r="AS3" s="56">
        <v>7315.7</v>
      </c>
      <c r="AT3" s="56">
        <v>7459</v>
      </c>
      <c r="AU3" s="56">
        <v>7403.7</v>
      </c>
      <c r="AV3" s="56">
        <v>7492.4</v>
      </c>
      <c r="AW3" s="56">
        <v>7410.8</v>
      </c>
      <c r="AX3" s="56">
        <v>7295.6</v>
      </c>
      <c r="AY3" s="56">
        <v>7328.9</v>
      </c>
      <c r="AZ3" s="56">
        <v>7300.9</v>
      </c>
      <c r="BA3" s="56">
        <v>7303.8</v>
      </c>
      <c r="BB3" s="56">
        <v>7400.1</v>
      </c>
      <c r="BC3" s="56">
        <v>7568.5</v>
      </c>
      <c r="BD3" s="56">
        <v>7719.7</v>
      </c>
      <c r="BE3" s="56">
        <v>7880.8</v>
      </c>
      <c r="BF3" s="56">
        <v>8034.8</v>
      </c>
      <c r="BG3" s="56">
        <v>8173.7</v>
      </c>
      <c r="BH3" s="56">
        <v>8252.5</v>
      </c>
      <c r="BI3" s="56">
        <v>8320.2000000000007</v>
      </c>
      <c r="BJ3" s="56">
        <v>8400.7999999999993</v>
      </c>
      <c r="BK3" s="56">
        <v>8474.7999999999993</v>
      </c>
      <c r="BL3" s="56">
        <v>8604.2000000000007</v>
      </c>
      <c r="BM3" s="56">
        <v>8668.2000000000007</v>
      </c>
      <c r="BN3" s="56">
        <v>8749.1</v>
      </c>
      <c r="BO3" s="56">
        <v>8788.5</v>
      </c>
      <c r="BP3" s="56">
        <v>8872.6</v>
      </c>
      <c r="BQ3" s="56">
        <v>8920.2000000000007</v>
      </c>
      <c r="BR3" s="56">
        <v>8986.4</v>
      </c>
      <c r="BS3" s="56">
        <v>9083.2999999999993</v>
      </c>
      <c r="BT3" s="56">
        <v>9162</v>
      </c>
      <c r="BU3" s="56">
        <v>9319.2999999999993</v>
      </c>
      <c r="BV3" s="56">
        <v>9367.5</v>
      </c>
      <c r="BW3" s="56">
        <v>9490.6</v>
      </c>
      <c r="BX3" s="56">
        <v>9546.2000000000007</v>
      </c>
      <c r="BY3" s="56">
        <v>9673.4</v>
      </c>
      <c r="BZ3" s="56">
        <v>9771.7000000000007</v>
      </c>
      <c r="CA3" s="56">
        <v>9846.2999999999993</v>
      </c>
      <c r="CB3" s="56">
        <v>9919.2000000000007</v>
      </c>
      <c r="CC3" s="56">
        <v>9938.7999999999993</v>
      </c>
      <c r="CD3" s="56">
        <v>10047.4</v>
      </c>
      <c r="CE3" s="56">
        <v>10083.9</v>
      </c>
      <c r="CF3" s="56">
        <v>10090.6</v>
      </c>
      <c r="CG3" s="56">
        <v>9998.7000000000007</v>
      </c>
      <c r="CH3" s="56">
        <v>9951.9</v>
      </c>
      <c r="CI3" s="56">
        <v>10029.5</v>
      </c>
      <c r="CJ3" s="56">
        <v>10080.200000000001</v>
      </c>
      <c r="CK3" s="56">
        <v>10115.299999999999</v>
      </c>
      <c r="CL3" s="56">
        <v>10236.4</v>
      </c>
      <c r="CM3" s="56">
        <v>10347.4</v>
      </c>
      <c r="CN3" s="56">
        <v>10449.700000000001</v>
      </c>
      <c r="CO3" s="56">
        <v>10558.6</v>
      </c>
      <c r="CP3" s="56">
        <v>10576.3</v>
      </c>
      <c r="CQ3" s="56">
        <v>10637.8</v>
      </c>
      <c r="CR3" s="56">
        <v>10688.6</v>
      </c>
      <c r="CS3" s="56">
        <v>10834</v>
      </c>
      <c r="CT3" s="56">
        <v>10939.1</v>
      </c>
      <c r="CU3" s="56">
        <v>11087.4</v>
      </c>
      <c r="CV3" s="56">
        <v>11152.2</v>
      </c>
      <c r="CW3" s="56">
        <v>11279.9</v>
      </c>
      <c r="CX3" s="56">
        <v>11320</v>
      </c>
      <c r="CY3" s="56">
        <v>11353.7</v>
      </c>
      <c r="CZ3" s="56">
        <v>11450.3</v>
      </c>
      <c r="DA3" s="56">
        <v>11528.1</v>
      </c>
      <c r="DB3" s="56">
        <v>11614.4</v>
      </c>
      <c r="DC3" s="56">
        <v>11808.1</v>
      </c>
      <c r="DD3" s="56">
        <v>11914.1</v>
      </c>
      <c r="DE3" s="56">
        <v>12037.8</v>
      </c>
      <c r="DF3" s="56">
        <v>12115.5</v>
      </c>
      <c r="DG3" s="56">
        <v>12317.2</v>
      </c>
      <c r="DH3" s="56">
        <v>12471</v>
      </c>
      <c r="DI3" s="56">
        <v>12577.5</v>
      </c>
      <c r="DJ3" s="56">
        <v>12703.7</v>
      </c>
      <c r="DK3" s="56">
        <v>12821.3</v>
      </c>
      <c r="DL3" s="56">
        <v>12982.8</v>
      </c>
      <c r="DM3" s="56">
        <v>13191.7</v>
      </c>
      <c r="DN3" s="56">
        <v>13315.6</v>
      </c>
      <c r="DO3" s="56">
        <v>13426.7</v>
      </c>
      <c r="DP3" s="56">
        <v>13604.8</v>
      </c>
      <c r="DQ3" s="56">
        <v>13828</v>
      </c>
      <c r="DR3" s="56">
        <v>13878.1</v>
      </c>
      <c r="DS3" s="56">
        <v>14130.9</v>
      </c>
      <c r="DT3" s="56">
        <v>14145.3</v>
      </c>
      <c r="DU3" s="56">
        <v>14229.8</v>
      </c>
      <c r="DV3" s="56">
        <v>14183.1</v>
      </c>
      <c r="DW3" s="56">
        <v>14271.7</v>
      </c>
      <c r="DX3" s="56">
        <v>14214.5</v>
      </c>
      <c r="DY3" s="56">
        <v>14253.6</v>
      </c>
      <c r="DZ3" s="56">
        <v>14372.8</v>
      </c>
      <c r="EA3" s="56">
        <v>14460.8</v>
      </c>
      <c r="EB3" s="56">
        <v>14519.6</v>
      </c>
      <c r="EC3" s="56">
        <v>14537.6</v>
      </c>
      <c r="ED3" s="56">
        <v>14614.1</v>
      </c>
      <c r="EE3" s="56">
        <v>14743.6</v>
      </c>
      <c r="EF3" s="56">
        <v>14988.8</v>
      </c>
      <c r="EG3" s="56">
        <v>15162.8</v>
      </c>
      <c r="EH3" s="56">
        <v>15248.7</v>
      </c>
      <c r="EI3" s="56">
        <v>15366.9</v>
      </c>
      <c r="EJ3" s="56">
        <v>15512.6</v>
      </c>
      <c r="EK3" s="56">
        <v>15670.9</v>
      </c>
      <c r="EL3" s="56">
        <v>15844.7</v>
      </c>
      <c r="EM3" s="56">
        <v>15922.8</v>
      </c>
      <c r="EN3" s="56">
        <v>16047.6</v>
      </c>
      <c r="EO3" s="56">
        <v>16136.7</v>
      </c>
      <c r="EP3" s="56">
        <v>16353.8</v>
      </c>
      <c r="EQ3" s="56">
        <v>16396.2</v>
      </c>
      <c r="ER3" s="56">
        <v>16420.7</v>
      </c>
      <c r="ES3" s="56">
        <v>16561.900000000001</v>
      </c>
      <c r="ET3" s="56">
        <v>16611.7</v>
      </c>
      <c r="EU3" s="56">
        <v>16713.3</v>
      </c>
      <c r="EV3" s="56">
        <v>16809.599999999999</v>
      </c>
      <c r="EW3" s="56">
        <v>16915.2</v>
      </c>
      <c r="EX3" s="56">
        <v>16843</v>
      </c>
      <c r="EY3" s="56">
        <v>16943.3</v>
      </c>
      <c r="EZ3" s="56">
        <v>16854.3</v>
      </c>
      <c r="FA3" s="56">
        <v>16485.400000000001</v>
      </c>
      <c r="FB3" s="56">
        <v>16298.3</v>
      </c>
      <c r="FC3" s="56">
        <v>16269.1</v>
      </c>
      <c r="FD3" s="56">
        <v>16326.3</v>
      </c>
      <c r="FE3" s="56">
        <v>16502.8</v>
      </c>
      <c r="FF3" s="56">
        <v>16582.7</v>
      </c>
      <c r="FG3" s="56">
        <v>16743.2</v>
      </c>
      <c r="FH3" s="56">
        <v>16872.3</v>
      </c>
      <c r="FI3" s="56">
        <v>16960.900000000001</v>
      </c>
      <c r="FJ3" s="56">
        <v>16920.599999999999</v>
      </c>
      <c r="FK3" s="56">
        <v>17035.099999999999</v>
      </c>
      <c r="FL3" s="56">
        <v>17031.3</v>
      </c>
      <c r="FM3" s="56">
        <v>17222.599999999999</v>
      </c>
      <c r="FN3" s="56">
        <v>17367</v>
      </c>
      <c r="FO3" s="56">
        <v>17444.5</v>
      </c>
      <c r="FP3" s="56">
        <v>17469.7</v>
      </c>
      <c r="FQ3" s="56">
        <v>17489.900000000001</v>
      </c>
      <c r="FR3" s="56">
        <v>17662.400000000001</v>
      </c>
      <c r="FS3" s="56">
        <v>17709.7</v>
      </c>
      <c r="FT3" s="56">
        <v>17860.5</v>
      </c>
      <c r="FU3" s="56">
        <v>18016.099999999999</v>
      </c>
      <c r="FV3" s="56">
        <v>17954</v>
      </c>
      <c r="FW3" s="56">
        <v>18185.900000000001</v>
      </c>
      <c r="FX3" s="56">
        <v>18406.900000000001</v>
      </c>
      <c r="FY3" s="56">
        <v>18500</v>
      </c>
      <c r="FZ3" s="56">
        <v>18666.599999999999</v>
      </c>
      <c r="GA3" s="56">
        <v>18782.2</v>
      </c>
      <c r="GB3" s="56">
        <v>18857.400000000001</v>
      </c>
      <c r="GC3" s="56">
        <v>18892.2</v>
      </c>
      <c r="GD3" s="56">
        <v>19001.7</v>
      </c>
      <c r="GE3" s="56">
        <v>19062.7</v>
      </c>
      <c r="GF3" s="56">
        <v>19197.900000000001</v>
      </c>
      <c r="GG3" s="56">
        <v>19304.400000000001</v>
      </c>
      <c r="GH3" s="56">
        <v>19398.3</v>
      </c>
      <c r="GI3" s="56">
        <v>19506.900000000001</v>
      </c>
      <c r="GJ3" s="56">
        <v>19660.8</v>
      </c>
      <c r="GK3" s="56">
        <v>19882.400000000001</v>
      </c>
      <c r="GL3" s="56">
        <v>20044.099999999999</v>
      </c>
      <c r="GM3" s="56">
        <v>20150.5</v>
      </c>
      <c r="GN3" s="56">
        <v>20276.2</v>
      </c>
      <c r="GO3" s="56">
        <v>20304.900000000001</v>
      </c>
      <c r="GP3" s="56">
        <v>20431.599999999999</v>
      </c>
      <c r="GQ3" s="56">
        <v>20602.3</v>
      </c>
      <c r="GR3" s="56">
        <v>20843.3</v>
      </c>
      <c r="GS3" s="56">
        <v>20985.4</v>
      </c>
      <c r="GT3" s="56">
        <v>20693.2</v>
      </c>
      <c r="GU3" s="56">
        <v>19056.599999999999</v>
      </c>
      <c r="GV3" s="56">
        <v>20548.8</v>
      </c>
      <c r="GW3" s="56">
        <v>20771.7</v>
      </c>
      <c r="GX3" s="56">
        <v>21058.400000000001</v>
      </c>
      <c r="GY3" s="56">
        <v>21389</v>
      </c>
      <c r="GZ3" s="56">
        <v>21571.4</v>
      </c>
      <c r="HA3" s="56">
        <v>21960.400000000001</v>
      </c>
      <c r="HB3" s="56">
        <v>21903.9</v>
      </c>
      <c r="HC3">
        <v>21919.200000000001</v>
      </c>
      <c r="HD3">
        <v>22066.799999999999</v>
      </c>
      <c r="HE3">
        <v>22249.5</v>
      </c>
      <c r="HF3">
        <v>22403.4</v>
      </c>
      <c r="HG3">
        <v>22539.4</v>
      </c>
      <c r="HH3">
        <v>22780.9</v>
      </c>
      <c r="HI3">
        <v>22960.6</v>
      </c>
      <c r="HJ3">
        <v>23053.5</v>
      </c>
      <c r="HK3">
        <v>23223.9</v>
      </c>
      <c r="HL3">
        <v>23400.3</v>
      </c>
      <c r="HM3">
        <v>23542.3</v>
      </c>
      <c r="HN3">
        <v>23526.1</v>
      </c>
    </row>
    <row r="4" spans="1:222" x14ac:dyDescent="0.25">
      <c r="A4" s="56" t="s">
        <v>2209</v>
      </c>
      <c r="B4" s="56">
        <v>19.823</v>
      </c>
      <c r="C4" s="56">
        <v>20.109000000000002</v>
      </c>
      <c r="D4" s="56">
        <v>20.274000000000001</v>
      </c>
      <c r="E4" s="56">
        <v>20.539000000000001</v>
      </c>
      <c r="F4" s="56">
        <v>20.85</v>
      </c>
      <c r="G4" s="56">
        <v>21.13</v>
      </c>
      <c r="H4" s="56">
        <v>21.343</v>
      </c>
      <c r="I4" s="56">
        <v>21.52</v>
      </c>
      <c r="J4" s="56">
        <v>21.864999999999998</v>
      </c>
      <c r="K4" s="56">
        <v>21.998999999999999</v>
      </c>
      <c r="L4" s="56">
        <v>22.198</v>
      </c>
      <c r="M4" s="56">
        <v>22.45</v>
      </c>
      <c r="N4" s="56">
        <v>22.734999999999999</v>
      </c>
      <c r="O4" s="56">
        <v>23.111000000000001</v>
      </c>
      <c r="P4" s="56">
        <v>23.553000000000001</v>
      </c>
      <c r="Q4" s="56">
        <v>23.960999999999999</v>
      </c>
      <c r="R4" s="56">
        <v>24.446000000000002</v>
      </c>
      <c r="S4" s="56">
        <v>24.989000000000001</v>
      </c>
      <c r="T4" s="56">
        <v>25.759</v>
      </c>
      <c r="U4" s="56">
        <v>26.541</v>
      </c>
      <c r="V4" s="56">
        <v>27.140999999999998</v>
      </c>
      <c r="W4" s="56">
        <v>27.533999999999999</v>
      </c>
      <c r="X4" s="56">
        <v>28.021000000000001</v>
      </c>
      <c r="Y4" s="56">
        <v>28.489000000000001</v>
      </c>
      <c r="Z4" s="56">
        <v>28.8</v>
      </c>
      <c r="AA4" s="56">
        <v>29.088000000000001</v>
      </c>
      <c r="AB4" s="56">
        <v>29.459</v>
      </c>
      <c r="AC4" s="56">
        <v>29.96</v>
      </c>
      <c r="AD4" s="56">
        <v>30.443000000000001</v>
      </c>
      <c r="AE4" s="56">
        <v>30.925000000000001</v>
      </c>
      <c r="AF4" s="56">
        <v>31.350999999999999</v>
      </c>
      <c r="AG4" s="56">
        <v>31.875</v>
      </c>
      <c r="AH4" s="56">
        <v>32.396999999999998</v>
      </c>
      <c r="AI4" s="56">
        <v>33.042999999999999</v>
      </c>
      <c r="AJ4" s="56">
        <v>33.625999999999998</v>
      </c>
      <c r="AK4" s="56">
        <v>34.290999999999997</v>
      </c>
      <c r="AL4" s="56">
        <v>34.930999999999997</v>
      </c>
      <c r="AM4" s="56">
        <v>35.774999999999999</v>
      </c>
      <c r="AN4" s="56">
        <v>36.521999999999998</v>
      </c>
      <c r="AO4" s="56">
        <v>37.188000000000002</v>
      </c>
      <c r="AP4" s="56">
        <v>38.000999999999998</v>
      </c>
      <c r="AQ4" s="56">
        <v>38.902999999999999</v>
      </c>
      <c r="AR4" s="56">
        <v>39.770000000000003</v>
      </c>
      <c r="AS4" s="56">
        <v>40.825000000000003</v>
      </c>
      <c r="AT4" s="56">
        <v>41.906999999999996</v>
      </c>
      <c r="AU4" s="56">
        <v>42.694000000000003</v>
      </c>
      <c r="AV4" s="56">
        <v>43.524000000000001</v>
      </c>
      <c r="AW4" s="56">
        <v>44.243000000000002</v>
      </c>
      <c r="AX4" s="56">
        <v>44.877000000000002</v>
      </c>
      <c r="AY4" s="56">
        <v>45.472999999999999</v>
      </c>
      <c r="AZ4" s="56">
        <v>46.103999999999999</v>
      </c>
      <c r="BA4" s="56">
        <v>46.570999999999998</v>
      </c>
      <c r="BB4" s="56">
        <v>46.942999999999998</v>
      </c>
      <c r="BC4" s="56">
        <v>47.290999999999997</v>
      </c>
      <c r="BD4" s="56">
        <v>47.793999999999997</v>
      </c>
      <c r="BE4" s="56">
        <v>48.151000000000003</v>
      </c>
      <c r="BF4" s="56">
        <v>48.625999999999998</v>
      </c>
      <c r="BG4" s="56">
        <v>49.063000000000002</v>
      </c>
      <c r="BH4" s="56">
        <v>49.506</v>
      </c>
      <c r="BI4" s="56">
        <v>49.851999999999997</v>
      </c>
      <c r="BJ4" s="56">
        <v>50.363</v>
      </c>
      <c r="BK4" s="56">
        <v>50.66</v>
      </c>
      <c r="BL4" s="56">
        <v>50.997</v>
      </c>
      <c r="BM4" s="56">
        <v>51.262</v>
      </c>
      <c r="BN4" s="56">
        <v>51.515000000000001</v>
      </c>
      <c r="BO4" s="56">
        <v>51.695</v>
      </c>
      <c r="BP4" s="56">
        <v>51.941000000000003</v>
      </c>
      <c r="BQ4" s="56">
        <v>52.25</v>
      </c>
      <c r="BR4" s="56">
        <v>52.554000000000002</v>
      </c>
      <c r="BS4" s="56">
        <v>52.911000000000001</v>
      </c>
      <c r="BT4" s="56">
        <v>53.32</v>
      </c>
      <c r="BU4" s="56">
        <v>53.72</v>
      </c>
      <c r="BV4" s="56">
        <v>54.134999999999998</v>
      </c>
      <c r="BW4" s="56">
        <v>54.676000000000002</v>
      </c>
      <c r="BX4" s="56">
        <v>55.344999999999999</v>
      </c>
      <c r="BY4" s="56">
        <v>55.853999999999999</v>
      </c>
      <c r="BZ4" s="56">
        <v>56.392000000000003</v>
      </c>
      <c r="CA4" s="56">
        <v>57.002000000000002</v>
      </c>
      <c r="CB4" s="56">
        <v>57.424999999999997</v>
      </c>
      <c r="CC4" s="56">
        <v>57.817</v>
      </c>
      <c r="CD4" s="56">
        <v>58.447000000000003</v>
      </c>
      <c r="CE4" s="56">
        <v>59.100999999999999</v>
      </c>
      <c r="CF4" s="56">
        <v>59.612000000000002</v>
      </c>
      <c r="CG4" s="56">
        <v>60.067</v>
      </c>
      <c r="CH4" s="56">
        <v>60.651000000000003</v>
      </c>
      <c r="CI4" s="56">
        <v>61.088000000000001</v>
      </c>
      <c r="CJ4" s="56">
        <v>61.557000000000002</v>
      </c>
      <c r="CK4" s="56">
        <v>61.914999999999999</v>
      </c>
      <c r="CL4" s="56">
        <v>62.161999999999999</v>
      </c>
      <c r="CM4" s="56">
        <v>62.533000000000001</v>
      </c>
      <c r="CN4" s="56">
        <v>62.832999999999998</v>
      </c>
      <c r="CO4" s="56">
        <v>63.274999999999999</v>
      </c>
      <c r="CP4" s="56">
        <v>63.652000000000001</v>
      </c>
      <c r="CQ4" s="56">
        <v>64.027000000000001</v>
      </c>
      <c r="CR4" s="56">
        <v>64.349000000000004</v>
      </c>
      <c r="CS4" s="56">
        <v>64.727000000000004</v>
      </c>
      <c r="CT4" s="56">
        <v>65.058000000000007</v>
      </c>
      <c r="CU4" s="56">
        <v>65.369</v>
      </c>
      <c r="CV4" s="56">
        <v>65.716999999999999</v>
      </c>
      <c r="CW4" s="56">
        <v>66.082999999999998</v>
      </c>
      <c r="CX4" s="56">
        <v>66.459999999999994</v>
      </c>
      <c r="CY4" s="56">
        <v>66.784999999999997</v>
      </c>
      <c r="CZ4" s="56">
        <v>67.084000000000003</v>
      </c>
      <c r="DA4" s="56">
        <v>67.400999999999996</v>
      </c>
      <c r="DB4" s="56">
        <v>67.712000000000003</v>
      </c>
      <c r="DC4" s="56">
        <v>67.988</v>
      </c>
      <c r="DD4" s="56">
        <v>68.317999999999998</v>
      </c>
      <c r="DE4" s="56">
        <v>68.606999999999999</v>
      </c>
      <c r="DF4" s="56">
        <v>68.915000000000006</v>
      </c>
      <c r="DG4" s="56">
        <v>69.257999999999996</v>
      </c>
      <c r="DH4" s="56">
        <v>69.463999999999999</v>
      </c>
      <c r="DI4" s="56">
        <v>69.712999999999994</v>
      </c>
      <c r="DJ4" s="56">
        <v>69.783000000000001</v>
      </c>
      <c r="DK4" s="56">
        <v>69.963999999999999</v>
      </c>
      <c r="DL4" s="56">
        <v>70.234999999999999</v>
      </c>
      <c r="DM4" s="56">
        <v>70.424000000000007</v>
      </c>
      <c r="DN4" s="56">
        <v>70.614999999999995</v>
      </c>
      <c r="DO4" s="56">
        <v>70.933999999999997</v>
      </c>
      <c r="DP4" s="56">
        <v>71.206999999999994</v>
      </c>
      <c r="DQ4" s="56">
        <v>71.581000000000003</v>
      </c>
      <c r="DR4" s="56">
        <v>72.058000000000007</v>
      </c>
      <c r="DS4" s="56">
        <v>72.491</v>
      </c>
      <c r="DT4" s="56">
        <v>72.944999999999993</v>
      </c>
      <c r="DU4" s="56">
        <v>73.340999999999994</v>
      </c>
      <c r="DV4" s="56">
        <v>73.843000000000004</v>
      </c>
      <c r="DW4" s="56">
        <v>74.334999999999994</v>
      </c>
      <c r="DX4" s="56">
        <v>74.56</v>
      </c>
      <c r="DY4" s="56">
        <v>74.801000000000002</v>
      </c>
      <c r="DZ4" s="56">
        <v>74.998000000000005</v>
      </c>
      <c r="EA4" s="56">
        <v>75.295000000000002</v>
      </c>
      <c r="EB4" s="56">
        <v>75.632999999999996</v>
      </c>
      <c r="EC4" s="56">
        <v>76.072999999999993</v>
      </c>
      <c r="ED4" s="56">
        <v>76.481999999999999</v>
      </c>
      <c r="EE4" s="56">
        <v>76.745999999999995</v>
      </c>
      <c r="EF4" s="56">
        <v>77.185000000000002</v>
      </c>
      <c r="EG4" s="56">
        <v>77.632999999999996</v>
      </c>
      <c r="EH4" s="56">
        <v>78.191000000000003</v>
      </c>
      <c r="EI4" s="56">
        <v>78.825000000000003</v>
      </c>
      <c r="EJ4" s="56">
        <v>79.322999999999993</v>
      </c>
      <c r="EK4" s="56">
        <v>79.936000000000007</v>
      </c>
      <c r="EL4" s="56">
        <v>80.55</v>
      </c>
      <c r="EM4" s="56">
        <v>81.137</v>
      </c>
      <c r="EN4" s="56">
        <v>81.905000000000001</v>
      </c>
      <c r="EO4" s="56">
        <v>82.557000000000002</v>
      </c>
      <c r="EP4" s="56">
        <v>83.135000000000005</v>
      </c>
      <c r="EQ4" s="56">
        <v>83.870999999999995</v>
      </c>
      <c r="ER4" s="56">
        <v>84.486000000000004</v>
      </c>
      <c r="ES4" s="56">
        <v>84.805999999999997</v>
      </c>
      <c r="ET4" s="56">
        <v>85.655000000000001</v>
      </c>
      <c r="EU4" s="56">
        <v>86.200999999999993</v>
      </c>
      <c r="EV4" s="56">
        <v>86.567999999999998</v>
      </c>
      <c r="EW4" s="56">
        <v>86.981999999999999</v>
      </c>
      <c r="EX4" s="56">
        <v>87.358999999999995</v>
      </c>
      <c r="EY4" s="56">
        <v>87.677999999999997</v>
      </c>
      <c r="EZ4" s="56">
        <v>88.361000000000004</v>
      </c>
      <c r="FA4" s="56">
        <v>88.510999999999996</v>
      </c>
      <c r="FB4" s="56">
        <v>88.536000000000001</v>
      </c>
      <c r="FC4" s="56">
        <v>88.418000000000006</v>
      </c>
      <c r="FD4" s="56">
        <v>88.474000000000004</v>
      </c>
      <c r="FE4" s="56">
        <v>88.798000000000002</v>
      </c>
      <c r="FF4" s="56">
        <v>89.018000000000001</v>
      </c>
      <c r="FG4" s="56">
        <v>89.430999999999997</v>
      </c>
      <c r="FH4" s="56">
        <v>89.754999999999995</v>
      </c>
      <c r="FI4" s="56">
        <v>90.27</v>
      </c>
      <c r="FJ4" s="56">
        <v>90.71</v>
      </c>
      <c r="FK4" s="56">
        <v>91.363</v>
      </c>
      <c r="FL4" s="56">
        <v>91.84</v>
      </c>
      <c r="FM4" s="56">
        <v>91.950999999999993</v>
      </c>
      <c r="FN4" s="56">
        <v>92.495000000000005</v>
      </c>
      <c r="FO4" s="56">
        <v>92.881</v>
      </c>
      <c r="FP4" s="56">
        <v>93.459000000000003</v>
      </c>
      <c r="FQ4" s="56">
        <v>93.869</v>
      </c>
      <c r="FR4" s="56">
        <v>94.203999999999994</v>
      </c>
      <c r="FS4" s="56">
        <v>94.474000000000004</v>
      </c>
      <c r="FT4" s="56">
        <v>94.989000000000004</v>
      </c>
      <c r="FU4" s="56">
        <v>95.477000000000004</v>
      </c>
      <c r="FV4" s="56">
        <v>95.84</v>
      </c>
      <c r="FW4" s="56">
        <v>96.343000000000004</v>
      </c>
      <c r="FX4" s="56">
        <v>96.762</v>
      </c>
      <c r="FY4" s="56">
        <v>96.8</v>
      </c>
      <c r="FZ4" s="56">
        <v>96.742000000000004</v>
      </c>
      <c r="GA4" s="56">
        <v>97.302000000000007</v>
      </c>
      <c r="GB4" s="56">
        <v>97.536000000000001</v>
      </c>
      <c r="GC4" s="56">
        <v>97.527000000000001</v>
      </c>
      <c r="GD4" s="56">
        <v>97.468000000000004</v>
      </c>
      <c r="GE4" s="56">
        <v>98.108000000000004</v>
      </c>
      <c r="GF4" s="56">
        <v>98.372</v>
      </c>
      <c r="GG4" s="56">
        <v>98.884</v>
      </c>
      <c r="GH4" s="56">
        <v>99.388999999999996</v>
      </c>
      <c r="GI4" s="56">
        <v>99.656000000000006</v>
      </c>
      <c r="GJ4" s="56">
        <v>100.17400000000001</v>
      </c>
      <c r="GK4" s="56">
        <v>100.78</v>
      </c>
      <c r="GL4" s="56">
        <v>101.428</v>
      </c>
      <c r="GM4" s="56">
        <v>102.14</v>
      </c>
      <c r="GN4" s="56">
        <v>102.586</v>
      </c>
      <c r="GO4" s="56">
        <v>103.005</v>
      </c>
      <c r="GP4" s="56">
        <v>103.33199999999999</v>
      </c>
      <c r="GQ4" s="56">
        <v>103.855</v>
      </c>
      <c r="GR4" s="56">
        <v>104.196</v>
      </c>
      <c r="GS4" s="56">
        <v>104.54300000000001</v>
      </c>
      <c r="GT4" s="56">
        <v>105.001</v>
      </c>
      <c r="GU4" s="56">
        <v>104.651</v>
      </c>
      <c r="GV4" s="56">
        <v>105.574</v>
      </c>
      <c r="GW4" s="56">
        <v>106.29300000000001</v>
      </c>
      <c r="GX4" s="56">
        <v>107.645</v>
      </c>
      <c r="GY4" s="56">
        <v>109.27800000000001</v>
      </c>
      <c r="GZ4" s="56">
        <v>110.931</v>
      </c>
      <c r="HA4" s="56">
        <v>112.836</v>
      </c>
      <c r="HB4" s="56">
        <v>115.16</v>
      </c>
      <c r="HC4">
        <v>117.76</v>
      </c>
      <c r="HD4">
        <v>119.07299999999999</v>
      </c>
      <c r="HE4">
        <v>120.173</v>
      </c>
      <c r="HF4">
        <v>121.247</v>
      </c>
      <c r="HG4">
        <v>121.809</v>
      </c>
      <c r="HH4">
        <v>122.785</v>
      </c>
      <c r="HI4">
        <v>123.247</v>
      </c>
      <c r="HJ4">
        <v>124.16800000000001</v>
      </c>
      <c r="HK4">
        <v>124.94199999999999</v>
      </c>
      <c r="HL4">
        <v>125.54300000000001</v>
      </c>
      <c r="HM4">
        <v>126.27</v>
      </c>
      <c r="HN4">
        <v>127.435</v>
      </c>
    </row>
    <row r="5" spans="1:222" x14ac:dyDescent="0.25">
      <c r="A5" s="56" t="s">
        <v>2210</v>
      </c>
      <c r="B5" s="56">
        <v>631.70000000000005</v>
      </c>
      <c r="C5" s="56">
        <v>641.6</v>
      </c>
      <c r="D5" s="56">
        <v>653.5</v>
      </c>
      <c r="E5" s="56">
        <v>660.2</v>
      </c>
      <c r="F5" s="56">
        <v>679.2</v>
      </c>
      <c r="G5" s="56">
        <v>693.2</v>
      </c>
      <c r="H5" s="56">
        <v>705.6</v>
      </c>
      <c r="I5" s="56">
        <v>721.7</v>
      </c>
      <c r="J5" s="56">
        <v>738.9</v>
      </c>
      <c r="K5" s="56">
        <v>757.4</v>
      </c>
      <c r="L5" s="56">
        <v>775.8</v>
      </c>
      <c r="M5" s="56">
        <v>800.5</v>
      </c>
      <c r="N5" s="56">
        <v>825</v>
      </c>
      <c r="O5" s="56">
        <v>840.5</v>
      </c>
      <c r="P5" s="56">
        <v>858.9</v>
      </c>
      <c r="Q5" s="56">
        <v>873.9</v>
      </c>
      <c r="R5" s="56">
        <v>891.9</v>
      </c>
      <c r="S5" s="56">
        <v>920.4</v>
      </c>
      <c r="T5" s="56">
        <v>949.3</v>
      </c>
      <c r="U5" s="56">
        <v>959.1</v>
      </c>
      <c r="V5" s="56">
        <v>985.2</v>
      </c>
      <c r="W5" s="56">
        <v>1013.6</v>
      </c>
      <c r="X5" s="56">
        <v>1047.2</v>
      </c>
      <c r="Y5" s="56">
        <v>1076.2</v>
      </c>
      <c r="Z5" s="56">
        <v>1109.9000000000001</v>
      </c>
      <c r="AA5" s="56">
        <v>1129.5</v>
      </c>
      <c r="AB5" s="56">
        <v>1158.8</v>
      </c>
      <c r="AC5" s="56">
        <v>1192.4000000000001</v>
      </c>
      <c r="AD5" s="56">
        <v>1228.2</v>
      </c>
      <c r="AE5" s="56">
        <v>1256</v>
      </c>
      <c r="AF5" s="56">
        <v>1286.9000000000001</v>
      </c>
      <c r="AG5" s="56">
        <v>1324.8</v>
      </c>
      <c r="AH5" s="56">
        <v>1354.1</v>
      </c>
      <c r="AI5" s="56">
        <v>1411.4</v>
      </c>
      <c r="AJ5" s="56">
        <v>1442.2</v>
      </c>
      <c r="AK5" s="56">
        <v>1481.4</v>
      </c>
      <c r="AL5" s="56">
        <v>1517.1</v>
      </c>
      <c r="AM5" s="56">
        <v>1557.6</v>
      </c>
      <c r="AN5" s="56">
        <v>1611.9</v>
      </c>
      <c r="AO5" s="56">
        <v>1655</v>
      </c>
      <c r="AP5" s="56">
        <v>1702.3</v>
      </c>
      <c r="AQ5" s="56">
        <v>1704.7</v>
      </c>
      <c r="AR5" s="56">
        <v>1763.8</v>
      </c>
      <c r="AS5" s="56">
        <v>1831.9</v>
      </c>
      <c r="AT5" s="56">
        <v>1885.7</v>
      </c>
      <c r="AU5" s="56">
        <v>1917.5</v>
      </c>
      <c r="AV5" s="56">
        <v>1958.1</v>
      </c>
      <c r="AW5" s="56">
        <v>1974.4</v>
      </c>
      <c r="AX5" s="56">
        <v>2014.2</v>
      </c>
      <c r="AY5" s="56">
        <v>2039.6</v>
      </c>
      <c r="AZ5" s="56">
        <v>2085.6999999999998</v>
      </c>
      <c r="BA5" s="56">
        <v>2145.6</v>
      </c>
      <c r="BB5" s="56">
        <v>2184.6</v>
      </c>
      <c r="BC5" s="56">
        <v>2249.4</v>
      </c>
      <c r="BD5" s="56">
        <v>2319.9</v>
      </c>
      <c r="BE5" s="56">
        <v>2372.5</v>
      </c>
      <c r="BF5" s="56">
        <v>2418.1999999999998</v>
      </c>
      <c r="BG5" s="56">
        <v>2475.9</v>
      </c>
      <c r="BH5" s="56">
        <v>2513.5</v>
      </c>
      <c r="BI5" s="56">
        <v>2561.8000000000002</v>
      </c>
      <c r="BJ5" s="56">
        <v>2636</v>
      </c>
      <c r="BK5" s="56">
        <v>2681.8</v>
      </c>
      <c r="BL5" s="56">
        <v>2754.1</v>
      </c>
      <c r="BM5" s="56">
        <v>2779.4</v>
      </c>
      <c r="BN5" s="56">
        <v>2823.6</v>
      </c>
      <c r="BO5" s="56">
        <v>2851.5</v>
      </c>
      <c r="BP5" s="56">
        <v>2917.2</v>
      </c>
      <c r="BQ5" s="56">
        <v>2952.8</v>
      </c>
      <c r="BR5" s="56">
        <v>2983.5</v>
      </c>
      <c r="BS5" s="56">
        <v>3053.3</v>
      </c>
      <c r="BT5" s="56">
        <v>3117.4</v>
      </c>
      <c r="BU5" s="56">
        <v>3150.9</v>
      </c>
      <c r="BV5" s="56">
        <v>3231.9</v>
      </c>
      <c r="BW5" s="56">
        <v>3291.7</v>
      </c>
      <c r="BX5" s="56">
        <v>3361.9</v>
      </c>
      <c r="BY5" s="56">
        <v>3434.5</v>
      </c>
      <c r="BZ5" s="56">
        <v>3490.2</v>
      </c>
      <c r="CA5" s="56">
        <v>3553.8</v>
      </c>
      <c r="CB5" s="56">
        <v>3609.4</v>
      </c>
      <c r="CC5" s="56">
        <v>3653.7</v>
      </c>
      <c r="CD5" s="56">
        <v>3737.9</v>
      </c>
      <c r="CE5" s="56">
        <v>3783.4</v>
      </c>
      <c r="CF5" s="56">
        <v>3846.7</v>
      </c>
      <c r="CG5" s="56">
        <v>3867.9</v>
      </c>
      <c r="CH5" s="56">
        <v>3873.6</v>
      </c>
      <c r="CI5" s="56">
        <v>3926.9</v>
      </c>
      <c r="CJ5" s="56">
        <v>3973.3</v>
      </c>
      <c r="CK5" s="56">
        <v>4000</v>
      </c>
      <c r="CL5" s="56">
        <v>4100.3999999999996</v>
      </c>
      <c r="CM5" s="56">
        <v>4155.7</v>
      </c>
      <c r="CN5" s="56">
        <v>4227</v>
      </c>
      <c r="CO5" s="56">
        <v>4307.2</v>
      </c>
      <c r="CP5" s="56">
        <v>4349.5</v>
      </c>
      <c r="CQ5" s="56">
        <v>4418.6000000000004</v>
      </c>
      <c r="CR5" s="56">
        <v>4487.2</v>
      </c>
      <c r="CS5" s="56">
        <v>4552.7</v>
      </c>
      <c r="CT5" s="56">
        <v>4621.2</v>
      </c>
      <c r="CU5" s="56">
        <v>4683.2</v>
      </c>
      <c r="CV5" s="56">
        <v>4752.8</v>
      </c>
      <c r="CW5" s="56">
        <v>4826.7</v>
      </c>
      <c r="CX5" s="56">
        <v>4862.3999999999996</v>
      </c>
      <c r="CY5" s="56">
        <v>4933.6000000000004</v>
      </c>
      <c r="CZ5" s="56">
        <v>4998.7</v>
      </c>
      <c r="DA5" s="56">
        <v>5055.7</v>
      </c>
      <c r="DB5" s="56">
        <v>5130.6000000000004</v>
      </c>
      <c r="DC5" s="56">
        <v>5220.5</v>
      </c>
      <c r="DD5" s="56">
        <v>5274.5</v>
      </c>
      <c r="DE5" s="56">
        <v>5352.8</v>
      </c>
      <c r="DF5" s="56">
        <v>5433.1</v>
      </c>
      <c r="DG5" s="56">
        <v>5471.3</v>
      </c>
      <c r="DH5" s="56">
        <v>5579.2</v>
      </c>
      <c r="DI5" s="56">
        <v>5663.6</v>
      </c>
      <c r="DJ5" s="56">
        <v>5721.3</v>
      </c>
      <c r="DK5" s="56">
        <v>5832.6</v>
      </c>
      <c r="DL5" s="56">
        <v>5926.8</v>
      </c>
      <c r="DM5" s="56">
        <v>6028.2</v>
      </c>
      <c r="DN5" s="56">
        <v>6102</v>
      </c>
      <c r="DO5" s="56">
        <v>6230.6</v>
      </c>
      <c r="DP5" s="56">
        <v>6335.3</v>
      </c>
      <c r="DQ5" s="56">
        <v>6467</v>
      </c>
      <c r="DR5" s="56">
        <v>6618.2</v>
      </c>
      <c r="DS5" s="56">
        <v>6711.9</v>
      </c>
      <c r="DT5" s="56">
        <v>6820</v>
      </c>
      <c r="DU5" s="56">
        <v>6918.6</v>
      </c>
      <c r="DV5" s="56">
        <v>6995.3</v>
      </c>
      <c r="DW5" s="56">
        <v>7042.3</v>
      </c>
      <c r="DX5" s="56">
        <v>7070.3</v>
      </c>
      <c r="DY5" s="56">
        <v>7187.3</v>
      </c>
      <c r="DZ5" s="56">
        <v>7217.7</v>
      </c>
      <c r="EA5" s="56">
        <v>7308</v>
      </c>
      <c r="EB5" s="56">
        <v>7397.1</v>
      </c>
      <c r="EC5" s="56">
        <v>7473</v>
      </c>
      <c r="ED5" s="56">
        <v>7567.2</v>
      </c>
      <c r="EE5" s="56">
        <v>7661.5</v>
      </c>
      <c r="EF5" s="56">
        <v>7820.9</v>
      </c>
      <c r="EG5" s="56">
        <v>7913.5</v>
      </c>
      <c r="EH5" s="56">
        <v>8048.8</v>
      </c>
      <c r="EI5" s="56">
        <v>8147.1</v>
      </c>
      <c r="EJ5" s="56">
        <v>8283.2999999999993</v>
      </c>
      <c r="EK5" s="56">
        <v>8448.6</v>
      </c>
      <c r="EL5" s="56">
        <v>8551.7000000000007</v>
      </c>
      <c r="EM5" s="56">
        <v>8701.1</v>
      </c>
      <c r="EN5" s="56">
        <v>8868.1</v>
      </c>
      <c r="EO5" s="56">
        <v>8955.2999999999993</v>
      </c>
      <c r="EP5" s="56">
        <v>9100.2000000000007</v>
      </c>
      <c r="EQ5" s="56">
        <v>9227.6</v>
      </c>
      <c r="ER5" s="56">
        <v>9353.7999999999993</v>
      </c>
      <c r="ES5" s="56">
        <v>9427.4</v>
      </c>
      <c r="ET5" s="56">
        <v>9572.1</v>
      </c>
      <c r="EU5" s="56">
        <v>9678.7000000000007</v>
      </c>
      <c r="EV5" s="56">
        <v>9798.4</v>
      </c>
      <c r="EW5" s="56">
        <v>9937.1</v>
      </c>
      <c r="EX5" s="56">
        <v>10004.4</v>
      </c>
      <c r="EY5" s="56">
        <v>10129.9</v>
      </c>
      <c r="EZ5" s="56">
        <v>10159.1</v>
      </c>
      <c r="FA5" s="56">
        <v>9906.9</v>
      </c>
      <c r="FB5" s="56">
        <v>9815</v>
      </c>
      <c r="FC5" s="56">
        <v>9805.5</v>
      </c>
      <c r="FD5" s="56">
        <v>9939.4</v>
      </c>
      <c r="FE5" s="56">
        <v>10005</v>
      </c>
      <c r="FF5" s="56">
        <v>10101.799999999999</v>
      </c>
      <c r="FG5" s="56">
        <v>10208.1</v>
      </c>
      <c r="FH5" s="56">
        <v>10300.799999999999</v>
      </c>
      <c r="FI5" s="56">
        <v>10430.299999999999</v>
      </c>
      <c r="FJ5" s="56">
        <v>10558.2</v>
      </c>
      <c r="FK5" s="56">
        <v>10673</v>
      </c>
      <c r="FL5" s="56">
        <v>10755</v>
      </c>
      <c r="FM5" s="56">
        <v>10809.2</v>
      </c>
      <c r="FN5" s="56">
        <v>10959.3</v>
      </c>
      <c r="FO5" s="56">
        <v>11005.1</v>
      </c>
      <c r="FP5" s="56">
        <v>11059.4</v>
      </c>
      <c r="FQ5" s="56">
        <v>11165.7</v>
      </c>
      <c r="FR5" s="56">
        <v>11277.7</v>
      </c>
      <c r="FS5" s="56">
        <v>11315.7</v>
      </c>
      <c r="FT5" s="56">
        <v>11408.4</v>
      </c>
      <c r="FU5" s="56">
        <v>11551.2</v>
      </c>
      <c r="FV5" s="56">
        <v>11646</v>
      </c>
      <c r="FW5" s="56">
        <v>11810.5</v>
      </c>
      <c r="FX5" s="56">
        <v>11959.8</v>
      </c>
      <c r="FY5" s="56">
        <v>12081.6</v>
      </c>
      <c r="FZ5" s="56">
        <v>12119.8</v>
      </c>
      <c r="GA5" s="56">
        <v>12264.1</v>
      </c>
      <c r="GB5" s="56">
        <v>12382.5</v>
      </c>
      <c r="GC5" s="56">
        <v>12423.4</v>
      </c>
      <c r="GD5" s="56">
        <v>12523.2</v>
      </c>
      <c r="GE5" s="56">
        <v>12665.1</v>
      </c>
      <c r="GF5" s="56">
        <v>12797.1</v>
      </c>
      <c r="GG5" s="56">
        <v>12922</v>
      </c>
      <c r="GH5" s="56">
        <v>13097.3</v>
      </c>
      <c r="GI5" s="56">
        <v>13188.7</v>
      </c>
      <c r="GJ5" s="56">
        <v>13325.1</v>
      </c>
      <c r="GK5" s="56">
        <v>13551.4</v>
      </c>
      <c r="GL5" s="56">
        <v>13745.1</v>
      </c>
      <c r="GM5" s="56">
        <v>13891.3</v>
      </c>
      <c r="GN5" s="56">
        <v>14002.2</v>
      </c>
      <c r="GO5" s="56">
        <v>14099.2</v>
      </c>
      <c r="GP5" s="56">
        <v>14150.2</v>
      </c>
      <c r="GQ5" s="56">
        <v>14350.7</v>
      </c>
      <c r="GR5" s="56">
        <v>14548.3</v>
      </c>
      <c r="GS5" s="56">
        <v>14701</v>
      </c>
      <c r="GT5" s="56">
        <v>14496.2</v>
      </c>
      <c r="GU5" s="56">
        <v>13175.6</v>
      </c>
      <c r="GV5" s="56">
        <v>14478</v>
      </c>
      <c r="GW5" s="56">
        <v>14752.7</v>
      </c>
      <c r="GX5" s="56">
        <v>15259.4</v>
      </c>
      <c r="GY5" s="56">
        <v>16016.3</v>
      </c>
      <c r="GZ5" s="56">
        <v>16363.9</v>
      </c>
      <c r="HA5" s="56">
        <v>16816.099999999999</v>
      </c>
      <c r="HB5" s="56">
        <v>17175.099999999999</v>
      </c>
      <c r="HC5">
        <v>17603.8</v>
      </c>
      <c r="HD5">
        <v>17876.2</v>
      </c>
      <c r="HE5">
        <v>18108.3</v>
      </c>
      <c r="HF5">
        <v>18506.2</v>
      </c>
      <c r="HG5">
        <v>18685.7</v>
      </c>
      <c r="HH5">
        <v>18929</v>
      </c>
      <c r="HI5">
        <v>19170.2</v>
      </c>
      <c r="HJ5">
        <v>19424.8</v>
      </c>
      <c r="HK5">
        <v>19682.7</v>
      </c>
      <c r="HL5">
        <v>19938.400000000001</v>
      </c>
      <c r="HM5">
        <v>20255.5</v>
      </c>
      <c r="HN5">
        <v>20526.3</v>
      </c>
    </row>
    <row r="6" spans="1:222" x14ac:dyDescent="0.25">
      <c r="A6" s="56" t="s">
        <v>2211</v>
      </c>
      <c r="B6" s="56">
        <v>3248.9</v>
      </c>
      <c r="C6" s="56">
        <v>3263.6</v>
      </c>
      <c r="D6" s="56">
        <v>3292.2</v>
      </c>
      <c r="E6" s="56">
        <v>3283.2</v>
      </c>
      <c r="F6" s="56">
        <v>3346.3</v>
      </c>
      <c r="G6" s="56">
        <v>3377</v>
      </c>
      <c r="H6" s="56">
        <v>3403.9</v>
      </c>
      <c r="I6" s="56">
        <v>3460.4</v>
      </c>
      <c r="J6" s="56">
        <v>3506.1</v>
      </c>
      <c r="K6" s="56">
        <v>3572.8</v>
      </c>
      <c r="L6" s="56">
        <v>3627.9</v>
      </c>
      <c r="M6" s="56">
        <v>3713</v>
      </c>
      <c r="N6" s="56">
        <v>3780.8</v>
      </c>
      <c r="O6" s="56">
        <v>3779.1</v>
      </c>
      <c r="P6" s="56">
        <v>3792.4</v>
      </c>
      <c r="Q6" s="56">
        <v>3781.1</v>
      </c>
      <c r="R6" s="56">
        <v>3747.3</v>
      </c>
      <c r="S6" s="56">
        <v>3760.8</v>
      </c>
      <c r="T6" s="56">
        <v>3776.9</v>
      </c>
      <c r="U6" s="56">
        <v>3721.7</v>
      </c>
      <c r="V6" s="56">
        <v>3752.9</v>
      </c>
      <c r="W6" s="56">
        <v>3814.7</v>
      </c>
      <c r="X6" s="56">
        <v>3868.9</v>
      </c>
      <c r="Y6" s="56">
        <v>3910.5</v>
      </c>
      <c r="Z6" s="56">
        <v>3988.7</v>
      </c>
      <c r="AA6" s="56">
        <v>4025.4</v>
      </c>
      <c r="AB6" s="56">
        <v>4067.8</v>
      </c>
      <c r="AC6" s="56">
        <v>4120.5</v>
      </c>
      <c r="AD6" s="56">
        <v>4169.1000000000004</v>
      </c>
      <c r="AE6" s="56">
        <v>4191.7</v>
      </c>
      <c r="AF6" s="56">
        <v>4231.3</v>
      </c>
      <c r="AG6" s="56">
        <v>4295</v>
      </c>
      <c r="AH6" s="56">
        <v>4319.1000000000004</v>
      </c>
      <c r="AI6" s="56">
        <v>4411.3999999999996</v>
      </c>
      <c r="AJ6" s="56">
        <v>4430</v>
      </c>
      <c r="AK6" s="56">
        <v>4465.7</v>
      </c>
      <c r="AL6" s="56">
        <v>4488.8</v>
      </c>
      <c r="AM6" s="56">
        <v>4485.8999999999996</v>
      </c>
      <c r="AN6" s="56">
        <v>4529.6000000000004</v>
      </c>
      <c r="AO6" s="56">
        <v>4540.8</v>
      </c>
      <c r="AP6" s="56">
        <v>4534.3</v>
      </c>
      <c r="AQ6" s="56">
        <v>4432.2</v>
      </c>
      <c r="AR6" s="56">
        <v>4480.8</v>
      </c>
      <c r="AS6" s="56">
        <v>4541.3999999999996</v>
      </c>
      <c r="AT6" s="56">
        <v>4556.6000000000004</v>
      </c>
      <c r="AU6" s="56">
        <v>4556.8999999999996</v>
      </c>
      <c r="AV6" s="56">
        <v>4578</v>
      </c>
      <c r="AW6" s="56">
        <v>4546.7</v>
      </c>
      <c r="AX6" s="56">
        <v>4580.2</v>
      </c>
      <c r="AY6" s="56">
        <v>4594.1000000000004</v>
      </c>
      <c r="AZ6" s="56">
        <v>4624.8999999999996</v>
      </c>
      <c r="BA6" s="56">
        <v>4706</v>
      </c>
      <c r="BB6" s="56">
        <v>4752.5</v>
      </c>
      <c r="BC6" s="56">
        <v>4849.3</v>
      </c>
      <c r="BD6" s="56">
        <v>4936.2</v>
      </c>
      <c r="BE6" s="56">
        <v>5014.8999999999996</v>
      </c>
      <c r="BF6" s="56">
        <v>5056.5</v>
      </c>
      <c r="BG6" s="56">
        <v>5127.3</v>
      </c>
      <c r="BH6" s="56">
        <v>5165.3999999999996</v>
      </c>
      <c r="BI6" s="56">
        <v>5232.3</v>
      </c>
      <c r="BJ6" s="56">
        <v>5321.2</v>
      </c>
      <c r="BK6" s="56">
        <v>5370</v>
      </c>
      <c r="BL6" s="56">
        <v>5472</v>
      </c>
      <c r="BM6" s="56">
        <v>5483.9</v>
      </c>
      <c r="BN6" s="56">
        <v>5531.8</v>
      </c>
      <c r="BO6" s="56">
        <v>5592.1</v>
      </c>
      <c r="BP6" s="56">
        <v>5691</v>
      </c>
      <c r="BQ6" s="56">
        <v>5725.8</v>
      </c>
      <c r="BR6" s="56">
        <v>5731.2</v>
      </c>
      <c r="BS6" s="56">
        <v>5809.4</v>
      </c>
      <c r="BT6" s="56">
        <v>5875.6</v>
      </c>
      <c r="BU6" s="56">
        <v>5888.1</v>
      </c>
      <c r="BV6" s="56">
        <v>5992.1</v>
      </c>
      <c r="BW6" s="56">
        <v>6036.4</v>
      </c>
      <c r="BX6" s="56">
        <v>6090</v>
      </c>
      <c r="BY6" s="56">
        <v>6159.2</v>
      </c>
      <c r="BZ6" s="56">
        <v>6187.8</v>
      </c>
      <c r="CA6" s="56">
        <v>6216.7</v>
      </c>
      <c r="CB6" s="56">
        <v>6276.9</v>
      </c>
      <c r="CC6" s="56">
        <v>6304.2</v>
      </c>
      <c r="CD6" s="56">
        <v>6357.2</v>
      </c>
      <c r="CE6" s="56">
        <v>6376.6</v>
      </c>
      <c r="CF6" s="56">
        <v>6401.8</v>
      </c>
      <c r="CG6" s="56">
        <v>6353.1</v>
      </c>
      <c r="CH6" s="56">
        <v>6329.2</v>
      </c>
      <c r="CI6" s="56">
        <v>6381.7</v>
      </c>
      <c r="CJ6" s="56">
        <v>6413.5</v>
      </c>
      <c r="CK6" s="56">
        <v>6410.3</v>
      </c>
      <c r="CL6" s="56">
        <v>6530.3</v>
      </c>
      <c r="CM6" s="56">
        <v>6574.7</v>
      </c>
      <c r="CN6" s="56">
        <v>6645.1</v>
      </c>
      <c r="CO6" s="56">
        <v>6724.3</v>
      </c>
      <c r="CP6" s="56">
        <v>6750.1</v>
      </c>
      <c r="CQ6" s="56">
        <v>6811.5</v>
      </c>
      <c r="CR6" s="56">
        <v>6887.3</v>
      </c>
      <c r="CS6" s="56">
        <v>6947.8</v>
      </c>
      <c r="CT6" s="56">
        <v>7027.3</v>
      </c>
      <c r="CU6" s="56">
        <v>7081.9</v>
      </c>
      <c r="CV6" s="56">
        <v>7135.9</v>
      </c>
      <c r="CW6" s="56">
        <v>7213.1</v>
      </c>
      <c r="CX6" s="56">
        <v>7231</v>
      </c>
      <c r="CY6" s="56">
        <v>7294.4</v>
      </c>
      <c r="CZ6" s="56">
        <v>7360.5</v>
      </c>
      <c r="DA6" s="56">
        <v>7411.9</v>
      </c>
      <c r="DB6" s="56">
        <v>7480.2</v>
      </c>
      <c r="DC6" s="56">
        <v>7560.7</v>
      </c>
      <c r="DD6" s="56">
        <v>7606.5</v>
      </c>
      <c r="DE6" s="56">
        <v>7667.1</v>
      </c>
      <c r="DF6" s="56">
        <v>7747.9</v>
      </c>
      <c r="DG6" s="56">
        <v>7782.8</v>
      </c>
      <c r="DH6" s="56">
        <v>7915.4</v>
      </c>
      <c r="DI6" s="56">
        <v>8010</v>
      </c>
      <c r="DJ6" s="56">
        <v>8091</v>
      </c>
      <c r="DK6" s="56">
        <v>8233.5</v>
      </c>
      <c r="DL6" s="56">
        <v>8340.7999999999993</v>
      </c>
      <c r="DM6" s="56">
        <v>8461.2999999999993</v>
      </c>
      <c r="DN6" s="56">
        <v>8548.2000000000007</v>
      </c>
      <c r="DO6" s="56">
        <v>8679.1</v>
      </c>
      <c r="DP6" s="56">
        <v>8776.7000000000007</v>
      </c>
      <c r="DQ6" s="56">
        <v>8905.1</v>
      </c>
      <c r="DR6" s="56">
        <v>9039.7000000000007</v>
      </c>
      <c r="DS6" s="56">
        <v>9124.2000000000007</v>
      </c>
      <c r="DT6" s="56">
        <v>9211.6</v>
      </c>
      <c r="DU6" s="56">
        <v>9292.1</v>
      </c>
      <c r="DV6" s="56">
        <v>9325.7999999999993</v>
      </c>
      <c r="DW6" s="56">
        <v>9344.5</v>
      </c>
      <c r="DX6" s="56">
        <v>9377</v>
      </c>
      <c r="DY6" s="56">
        <v>9528.2999999999993</v>
      </c>
      <c r="DZ6" s="56">
        <v>9549.5</v>
      </c>
      <c r="EA6" s="56">
        <v>9597.7999999999993</v>
      </c>
      <c r="EB6" s="56">
        <v>9665</v>
      </c>
      <c r="EC6" s="56">
        <v>9718.7000000000007</v>
      </c>
      <c r="ED6" s="56">
        <v>9766.6</v>
      </c>
      <c r="EE6" s="56">
        <v>9878.4</v>
      </c>
      <c r="EF6" s="56">
        <v>10018.1</v>
      </c>
      <c r="EG6" s="56">
        <v>10087.1</v>
      </c>
      <c r="EH6" s="56">
        <v>10181.1</v>
      </c>
      <c r="EI6" s="56">
        <v>10236.700000000001</v>
      </c>
      <c r="EJ6" s="56">
        <v>10356.9</v>
      </c>
      <c r="EK6" s="56">
        <v>10474.1</v>
      </c>
      <c r="EL6" s="56">
        <v>10540.6</v>
      </c>
      <c r="EM6" s="56">
        <v>10657.4</v>
      </c>
      <c r="EN6" s="56">
        <v>10745.9</v>
      </c>
      <c r="EO6" s="56">
        <v>10765.7</v>
      </c>
      <c r="EP6" s="56">
        <v>10883.1</v>
      </c>
      <c r="EQ6" s="56">
        <v>10939.5</v>
      </c>
      <c r="ER6" s="56">
        <v>11009.7</v>
      </c>
      <c r="ES6" s="56">
        <v>11114.8</v>
      </c>
      <c r="ET6" s="56">
        <v>11183.3</v>
      </c>
      <c r="EU6" s="56">
        <v>11212.7</v>
      </c>
      <c r="EV6" s="56">
        <v>11287.5</v>
      </c>
      <c r="EW6" s="56">
        <v>11331.9</v>
      </c>
      <c r="EX6" s="56">
        <v>11316.4</v>
      </c>
      <c r="EY6" s="56">
        <v>11347.6</v>
      </c>
      <c r="EZ6" s="56">
        <v>11260.1</v>
      </c>
      <c r="FA6" s="56">
        <v>11158.8</v>
      </c>
      <c r="FB6" s="56">
        <v>11130.5</v>
      </c>
      <c r="FC6" s="56">
        <v>11075.7</v>
      </c>
      <c r="FD6" s="56">
        <v>11150.2</v>
      </c>
      <c r="FE6" s="56">
        <v>11137.9</v>
      </c>
      <c r="FF6" s="56">
        <v>11202.5</v>
      </c>
      <c r="FG6" s="56">
        <v>11303</v>
      </c>
      <c r="FH6" s="56">
        <v>11383.6</v>
      </c>
      <c r="FI6" s="56">
        <v>11453.4</v>
      </c>
      <c r="FJ6" s="56">
        <v>11497.1</v>
      </c>
      <c r="FK6" s="56">
        <v>11509</v>
      </c>
      <c r="FL6" s="56">
        <v>11544</v>
      </c>
      <c r="FM6" s="56">
        <v>11563.9</v>
      </c>
      <c r="FN6" s="56">
        <v>11647.3</v>
      </c>
      <c r="FO6" s="56">
        <v>11667.8</v>
      </c>
      <c r="FP6" s="56">
        <v>11691.4</v>
      </c>
      <c r="FQ6" s="56">
        <v>11738</v>
      </c>
      <c r="FR6" s="56">
        <v>11814.3</v>
      </c>
      <c r="FS6" s="56">
        <v>11848.1</v>
      </c>
      <c r="FT6" s="56">
        <v>11896.3</v>
      </c>
      <c r="FU6" s="56">
        <v>12001</v>
      </c>
      <c r="FV6" s="56">
        <v>12044.2</v>
      </c>
      <c r="FW6" s="56">
        <v>12159.9</v>
      </c>
      <c r="FX6" s="56">
        <v>12280.1</v>
      </c>
      <c r="FY6" s="56">
        <v>12421.6</v>
      </c>
      <c r="FZ6" s="56">
        <v>12516.9</v>
      </c>
      <c r="GA6" s="56">
        <v>12603.1</v>
      </c>
      <c r="GB6" s="56">
        <v>12691.8</v>
      </c>
      <c r="GC6" s="56">
        <v>12743.4</v>
      </c>
      <c r="GD6" s="56">
        <v>12839.6</v>
      </c>
      <c r="GE6" s="56">
        <v>12903.3</v>
      </c>
      <c r="GF6" s="56">
        <v>12993.1</v>
      </c>
      <c r="GG6" s="56">
        <v>13060.1</v>
      </c>
      <c r="GH6" s="56">
        <v>13160.5</v>
      </c>
      <c r="GI6" s="56">
        <v>13225.7</v>
      </c>
      <c r="GJ6" s="56">
        <v>13315.4</v>
      </c>
      <c r="GK6" s="56">
        <v>13460.9</v>
      </c>
      <c r="GL6" s="56">
        <v>13558.4</v>
      </c>
      <c r="GM6" s="56">
        <v>13631</v>
      </c>
      <c r="GN6" s="56">
        <v>13693.8</v>
      </c>
      <c r="GO6" s="56">
        <v>13736.6</v>
      </c>
      <c r="GP6" s="56">
        <v>13758.3</v>
      </c>
      <c r="GQ6" s="56">
        <v>13875.7</v>
      </c>
      <c r="GR6" s="56">
        <v>14033.2</v>
      </c>
      <c r="GS6" s="56">
        <v>14125.3</v>
      </c>
      <c r="GT6" s="56">
        <v>13885.9</v>
      </c>
      <c r="GU6" s="56">
        <v>12671.9</v>
      </c>
      <c r="GV6" s="56">
        <v>13813</v>
      </c>
      <c r="GW6" s="56">
        <v>14008.1</v>
      </c>
      <c r="GX6" s="56">
        <v>14328.6</v>
      </c>
      <c r="GY6" s="56">
        <v>14809.1</v>
      </c>
      <c r="GZ6" s="56">
        <v>14924.3</v>
      </c>
      <c r="HA6" s="56">
        <v>15086.9</v>
      </c>
      <c r="HB6" s="56">
        <v>15123.4</v>
      </c>
      <c r="HC6">
        <v>15219.9</v>
      </c>
      <c r="HD6">
        <v>15277.6</v>
      </c>
      <c r="HE6">
        <v>15324</v>
      </c>
      <c r="HF6">
        <v>15510.2</v>
      </c>
      <c r="HG6">
        <v>15548.5</v>
      </c>
      <c r="HH6">
        <v>15646.7</v>
      </c>
      <c r="HI6">
        <v>15781.4</v>
      </c>
      <c r="HJ6">
        <v>15856.9</v>
      </c>
      <c r="HK6">
        <v>15967.3</v>
      </c>
      <c r="HL6">
        <v>16113</v>
      </c>
      <c r="HM6">
        <v>16273.2</v>
      </c>
      <c r="HN6">
        <v>16345.6</v>
      </c>
    </row>
    <row r="7" spans="1:222" x14ac:dyDescent="0.25">
      <c r="A7" s="56" t="s">
        <v>2212</v>
      </c>
      <c r="B7" s="56">
        <v>19.443999999999999</v>
      </c>
      <c r="C7" s="56">
        <v>19.658999999999999</v>
      </c>
      <c r="D7" s="56">
        <v>19.850999999999999</v>
      </c>
      <c r="E7" s="56">
        <v>20.108000000000001</v>
      </c>
      <c r="F7" s="56">
        <v>20.298999999999999</v>
      </c>
      <c r="G7" s="56">
        <v>20.53</v>
      </c>
      <c r="H7" s="56">
        <v>20.731999999999999</v>
      </c>
      <c r="I7" s="56">
        <v>20.86</v>
      </c>
      <c r="J7" s="56">
        <v>21.08</v>
      </c>
      <c r="K7" s="56">
        <v>21.202000000000002</v>
      </c>
      <c r="L7" s="56">
        <v>21.388000000000002</v>
      </c>
      <c r="M7" s="56">
        <v>21.562000000000001</v>
      </c>
      <c r="N7" s="56">
        <v>21.823</v>
      </c>
      <c r="O7" s="56">
        <v>22.242000000000001</v>
      </c>
      <c r="P7" s="56">
        <v>22.646999999999998</v>
      </c>
      <c r="Q7" s="56">
        <v>23.11</v>
      </c>
      <c r="R7" s="56">
        <v>23.797999999999998</v>
      </c>
      <c r="S7" s="56">
        <v>24.472000000000001</v>
      </c>
      <c r="T7" s="56">
        <v>25.132000000000001</v>
      </c>
      <c r="U7" s="56">
        <v>25.771000000000001</v>
      </c>
      <c r="V7" s="56">
        <v>26.256</v>
      </c>
      <c r="W7" s="56">
        <v>26.577999999999999</v>
      </c>
      <c r="X7" s="56">
        <v>27.076000000000001</v>
      </c>
      <c r="Y7" s="56">
        <v>27.53</v>
      </c>
      <c r="Z7" s="56">
        <v>27.832999999999998</v>
      </c>
      <c r="AA7" s="56">
        <v>28.065999999999999</v>
      </c>
      <c r="AB7" s="56">
        <v>28.492000000000001</v>
      </c>
      <c r="AC7" s="56">
        <v>28.942</v>
      </c>
      <c r="AD7" s="56">
        <v>29.465</v>
      </c>
      <c r="AE7" s="56">
        <v>29.969000000000001</v>
      </c>
      <c r="AF7" s="56">
        <v>30.42</v>
      </c>
      <c r="AG7" s="56">
        <v>30.852</v>
      </c>
      <c r="AH7" s="56">
        <v>31.358000000000001</v>
      </c>
      <c r="AI7" s="56">
        <v>32.002000000000002</v>
      </c>
      <c r="AJ7" s="56">
        <v>32.564</v>
      </c>
      <c r="AK7" s="56">
        <v>33.179000000000002</v>
      </c>
      <c r="AL7" s="56">
        <v>33.804000000000002</v>
      </c>
      <c r="AM7" s="56">
        <v>34.728000000000002</v>
      </c>
      <c r="AN7" s="56">
        <v>35.590000000000003</v>
      </c>
      <c r="AO7" s="56">
        <v>36.451000000000001</v>
      </c>
      <c r="AP7" s="56">
        <v>37.545000000000002</v>
      </c>
      <c r="AQ7" s="56">
        <v>38.463999999999999</v>
      </c>
      <c r="AR7" s="56">
        <v>39.363999999999997</v>
      </c>
      <c r="AS7" s="56">
        <v>40.338000000000001</v>
      </c>
      <c r="AT7" s="56">
        <v>41.384</v>
      </c>
      <c r="AU7" s="56">
        <v>42.078000000000003</v>
      </c>
      <c r="AV7" s="56">
        <v>42.771999999999998</v>
      </c>
      <c r="AW7" s="56">
        <v>43.427</v>
      </c>
      <c r="AX7" s="56">
        <v>43.978999999999999</v>
      </c>
      <c r="AY7" s="56">
        <v>44.402000000000001</v>
      </c>
      <c r="AZ7" s="56">
        <v>45.103000000000002</v>
      </c>
      <c r="BA7" s="56">
        <v>45.600999999999999</v>
      </c>
      <c r="BB7" s="56">
        <v>45.978000000000002</v>
      </c>
      <c r="BC7" s="56">
        <v>46.398000000000003</v>
      </c>
      <c r="BD7" s="56">
        <v>47.008000000000003</v>
      </c>
      <c r="BE7" s="56">
        <v>47.317999999999998</v>
      </c>
      <c r="BF7" s="56">
        <v>47.83</v>
      </c>
      <c r="BG7" s="56">
        <v>48.292999999999999</v>
      </c>
      <c r="BH7" s="56">
        <v>48.665999999999997</v>
      </c>
      <c r="BI7" s="56">
        <v>48.966000000000001</v>
      </c>
      <c r="BJ7" s="56">
        <v>49.543999999999997</v>
      </c>
      <c r="BK7" s="56">
        <v>49.945</v>
      </c>
      <c r="BL7" s="56">
        <v>50.337000000000003</v>
      </c>
      <c r="BM7" s="56">
        <v>50.688000000000002</v>
      </c>
      <c r="BN7" s="56">
        <v>51.046999999999997</v>
      </c>
      <c r="BO7" s="56">
        <v>50.993000000000002</v>
      </c>
      <c r="BP7" s="56">
        <v>51.262999999999998</v>
      </c>
      <c r="BQ7" s="56">
        <v>51.573</v>
      </c>
      <c r="BR7" s="56">
        <v>52.061</v>
      </c>
      <c r="BS7" s="56">
        <v>52.564</v>
      </c>
      <c r="BT7" s="56">
        <v>53.061999999999998</v>
      </c>
      <c r="BU7" s="56">
        <v>53.52</v>
      </c>
      <c r="BV7" s="56">
        <v>53.942999999999998</v>
      </c>
      <c r="BW7" s="56">
        <v>54.539000000000001</v>
      </c>
      <c r="BX7" s="56">
        <v>55.210999999999999</v>
      </c>
      <c r="BY7" s="56">
        <v>55.768999999999998</v>
      </c>
      <c r="BZ7" s="56">
        <v>56.41</v>
      </c>
      <c r="CA7" s="56">
        <v>57.17</v>
      </c>
      <c r="CB7" s="56">
        <v>57.506999999999998</v>
      </c>
      <c r="CC7" s="56">
        <v>57.959000000000003</v>
      </c>
      <c r="CD7" s="56">
        <v>58.798999999999999</v>
      </c>
      <c r="CE7" s="56">
        <v>59.332999999999998</v>
      </c>
      <c r="CF7" s="56">
        <v>60.087000000000003</v>
      </c>
      <c r="CG7" s="56">
        <v>60.881999999999998</v>
      </c>
      <c r="CH7" s="56">
        <v>61.201999999999998</v>
      </c>
      <c r="CI7" s="56">
        <v>61.536000000000001</v>
      </c>
      <c r="CJ7" s="56">
        <v>61.954000000000001</v>
      </c>
      <c r="CK7" s="56">
        <v>62.404000000000003</v>
      </c>
      <c r="CL7" s="56">
        <v>62.795000000000002</v>
      </c>
      <c r="CM7" s="56">
        <v>63.212000000000003</v>
      </c>
      <c r="CN7" s="56">
        <v>63.615000000000002</v>
      </c>
      <c r="CO7" s="56">
        <v>64.058999999999997</v>
      </c>
      <c r="CP7" s="56">
        <v>64.441000000000003</v>
      </c>
      <c r="CQ7" s="56">
        <v>64.873999999999995</v>
      </c>
      <c r="CR7" s="56">
        <v>65.155000000000001</v>
      </c>
      <c r="CS7" s="56">
        <v>65.531000000000006</v>
      </c>
      <c r="CT7" s="56">
        <v>65.766000000000005</v>
      </c>
      <c r="CU7" s="56">
        <v>66.132999999999996</v>
      </c>
      <c r="CV7" s="56">
        <v>66.606999999999999</v>
      </c>
      <c r="CW7" s="56">
        <v>66.92</v>
      </c>
      <c r="CX7" s="56">
        <v>67.247</v>
      </c>
      <c r="CY7" s="56">
        <v>67.638999999999996</v>
      </c>
      <c r="CZ7" s="56">
        <v>67.915000000000006</v>
      </c>
      <c r="DA7" s="56">
        <v>68.213999999999999</v>
      </c>
      <c r="DB7" s="56">
        <v>68.593000000000004</v>
      </c>
      <c r="DC7" s="56">
        <v>69.052000000000007</v>
      </c>
      <c r="DD7" s="56">
        <v>69.346000000000004</v>
      </c>
      <c r="DE7" s="56">
        <v>69.819000000000003</v>
      </c>
      <c r="DF7" s="56">
        <v>70.126999999999995</v>
      </c>
      <c r="DG7" s="56">
        <v>70.302999999999997</v>
      </c>
      <c r="DH7" s="56">
        <v>70.488</v>
      </c>
      <c r="DI7" s="56">
        <v>70.709999999999994</v>
      </c>
      <c r="DJ7" s="56">
        <v>70.715000000000003</v>
      </c>
      <c r="DK7" s="56">
        <v>70.843000000000004</v>
      </c>
      <c r="DL7" s="56">
        <v>71.061999999999998</v>
      </c>
      <c r="DM7" s="56">
        <v>71.248999999999995</v>
      </c>
      <c r="DN7" s="56">
        <v>71.39</v>
      </c>
      <c r="DO7" s="56">
        <v>71.796000000000006</v>
      </c>
      <c r="DP7" s="56">
        <v>72.191000000000003</v>
      </c>
      <c r="DQ7" s="56">
        <v>72.629000000000005</v>
      </c>
      <c r="DR7" s="56">
        <v>73.218999999999994</v>
      </c>
      <c r="DS7" s="56">
        <v>73.567999999999998</v>
      </c>
      <c r="DT7" s="56">
        <v>74.042000000000002</v>
      </c>
      <c r="DU7" s="56">
        <v>74.459999999999994</v>
      </c>
      <c r="DV7" s="56">
        <v>75.012</v>
      </c>
      <c r="DW7" s="56">
        <v>75.363</v>
      </c>
      <c r="DX7" s="56">
        <v>75.400999999999996</v>
      </c>
      <c r="DY7" s="56">
        <v>75.432000000000002</v>
      </c>
      <c r="DZ7" s="56">
        <v>75.584000000000003</v>
      </c>
      <c r="EA7" s="56">
        <v>76.144999999999996</v>
      </c>
      <c r="EB7" s="56">
        <v>76.539000000000001</v>
      </c>
      <c r="EC7" s="56">
        <v>76.896000000000001</v>
      </c>
      <c r="ED7" s="56">
        <v>77.483999999999995</v>
      </c>
      <c r="EE7" s="56">
        <v>77.561999999999998</v>
      </c>
      <c r="EF7" s="56">
        <v>78.072999999999993</v>
      </c>
      <c r="EG7" s="56">
        <v>78.456999999999994</v>
      </c>
      <c r="EH7" s="56">
        <v>79.061999999999998</v>
      </c>
      <c r="EI7" s="56">
        <v>79.593999999999994</v>
      </c>
      <c r="EJ7" s="56">
        <v>79.984999999999999</v>
      </c>
      <c r="EK7" s="56">
        <v>80.668999999999997</v>
      </c>
      <c r="EL7" s="56">
        <v>81.138000000000005</v>
      </c>
      <c r="EM7" s="56">
        <v>81.650000000000006</v>
      </c>
      <c r="EN7" s="56">
        <v>82.531999999999996</v>
      </c>
      <c r="EO7" s="56">
        <v>83.188999999999993</v>
      </c>
      <c r="EP7" s="56">
        <v>83.620999999999995</v>
      </c>
      <c r="EQ7" s="56">
        <v>84.355000000000004</v>
      </c>
      <c r="ER7" s="56">
        <v>84.962000000000003</v>
      </c>
      <c r="ES7" s="56">
        <v>84.822000000000003</v>
      </c>
      <c r="ET7" s="56">
        <v>85.596999999999994</v>
      </c>
      <c r="EU7" s="56">
        <v>86.323999999999998</v>
      </c>
      <c r="EV7" s="56">
        <v>86.811999999999998</v>
      </c>
      <c r="EW7" s="56">
        <v>87.694000000000003</v>
      </c>
      <c r="EX7" s="56">
        <v>88.408000000000001</v>
      </c>
      <c r="EY7" s="56">
        <v>89.269000000000005</v>
      </c>
      <c r="EZ7" s="56">
        <v>90.221000000000004</v>
      </c>
      <c r="FA7" s="56">
        <v>88.781000000000006</v>
      </c>
      <c r="FB7" s="56">
        <v>88.180999999999997</v>
      </c>
      <c r="FC7" s="56">
        <v>88.531999999999996</v>
      </c>
      <c r="FD7" s="56">
        <v>89.141999999999996</v>
      </c>
      <c r="FE7" s="56">
        <v>89.83</v>
      </c>
      <c r="FF7" s="56">
        <v>90.177000000000007</v>
      </c>
      <c r="FG7" s="56">
        <v>90.316999999999993</v>
      </c>
      <c r="FH7" s="56">
        <v>90.49</v>
      </c>
      <c r="FI7" s="56">
        <v>91.07</v>
      </c>
      <c r="FJ7" s="56">
        <v>91.834999999999994</v>
      </c>
      <c r="FK7" s="56">
        <v>92.738</v>
      </c>
      <c r="FL7" s="56">
        <v>93.167000000000002</v>
      </c>
      <c r="FM7" s="56">
        <v>93.474999999999994</v>
      </c>
      <c r="FN7" s="56">
        <v>94.093999999999994</v>
      </c>
      <c r="FO7" s="56">
        <v>94.320999999999998</v>
      </c>
      <c r="FP7" s="56">
        <v>94.594999999999999</v>
      </c>
      <c r="FQ7" s="56">
        <v>95.126000000000005</v>
      </c>
      <c r="FR7" s="56">
        <v>95.459000000000003</v>
      </c>
      <c r="FS7" s="56">
        <v>95.507999999999996</v>
      </c>
      <c r="FT7" s="56">
        <v>95.900999999999996</v>
      </c>
      <c r="FU7" s="56">
        <v>96.254000000000005</v>
      </c>
      <c r="FV7" s="56">
        <v>96.695999999999998</v>
      </c>
      <c r="FW7" s="56">
        <v>97.129000000000005</v>
      </c>
      <c r="FX7" s="56">
        <v>97.394000000000005</v>
      </c>
      <c r="FY7" s="56">
        <v>97.265000000000001</v>
      </c>
      <c r="FZ7" s="56">
        <v>96.828999999999994</v>
      </c>
      <c r="GA7" s="56">
        <v>97.311999999999998</v>
      </c>
      <c r="GB7" s="56">
        <v>97.564999999999998</v>
      </c>
      <c r="GC7" s="56">
        <v>97.49</v>
      </c>
      <c r="GD7" s="56">
        <v>97.537999999999997</v>
      </c>
      <c r="GE7" s="56">
        <v>98.156999999999996</v>
      </c>
      <c r="GF7" s="56">
        <v>98.495999999999995</v>
      </c>
      <c r="GG7" s="56">
        <v>98.947000000000003</v>
      </c>
      <c r="GH7" s="56">
        <v>99.524000000000001</v>
      </c>
      <c r="GI7" s="56">
        <v>99.724000000000004</v>
      </c>
      <c r="GJ7" s="56">
        <v>100.07599999999999</v>
      </c>
      <c r="GK7" s="56">
        <v>100.676</v>
      </c>
      <c r="GL7" s="56">
        <v>101.38</v>
      </c>
      <c r="GM7" s="56">
        <v>101.91200000000001</v>
      </c>
      <c r="GN7" s="56">
        <v>102.254</v>
      </c>
      <c r="GO7" s="56">
        <v>102.642</v>
      </c>
      <c r="GP7" s="56">
        <v>102.851</v>
      </c>
      <c r="GQ7" s="56">
        <v>103.426</v>
      </c>
      <c r="GR7" s="56">
        <v>103.675</v>
      </c>
      <c r="GS7" s="56">
        <v>104.083</v>
      </c>
      <c r="GT7" s="56">
        <v>104.404</v>
      </c>
      <c r="GU7" s="56">
        <v>103.988</v>
      </c>
      <c r="GV7" s="56">
        <v>104.83199999999999</v>
      </c>
      <c r="GW7" s="56">
        <v>105.34</v>
      </c>
      <c r="GX7" s="56">
        <v>106.529</v>
      </c>
      <c r="GY7" s="56">
        <v>108.188</v>
      </c>
      <c r="GZ7" s="56">
        <v>109.681</v>
      </c>
      <c r="HA7" s="56">
        <v>111.491</v>
      </c>
      <c r="HB7" s="56">
        <v>113.58499999999999</v>
      </c>
      <c r="HC7">
        <v>115.672</v>
      </c>
      <c r="HD7">
        <v>117.014</v>
      </c>
      <c r="HE7">
        <v>118.172</v>
      </c>
      <c r="HF7">
        <v>119.32</v>
      </c>
      <c r="HG7">
        <v>120.182</v>
      </c>
      <c r="HH7">
        <v>120.983</v>
      </c>
      <c r="HI7">
        <v>121.48</v>
      </c>
      <c r="HJ7">
        <v>122.50700000000001</v>
      </c>
      <c r="HK7">
        <v>123.27500000000001</v>
      </c>
      <c r="HL7">
        <v>123.747</v>
      </c>
      <c r="HM7">
        <v>124.47799999999999</v>
      </c>
      <c r="HN7">
        <v>125.584</v>
      </c>
    </row>
    <row r="8" spans="1:222" x14ac:dyDescent="0.25">
      <c r="A8" s="56" t="s">
        <v>2213</v>
      </c>
      <c r="B8" s="56">
        <v>17.722000000000001</v>
      </c>
      <c r="C8" s="56">
        <v>17.956</v>
      </c>
      <c r="D8" s="56">
        <v>18.263000000000002</v>
      </c>
      <c r="E8" s="56">
        <v>18.495000000000001</v>
      </c>
      <c r="F8" s="56">
        <v>19.081</v>
      </c>
      <c r="G8" s="56">
        <v>19.437000000000001</v>
      </c>
      <c r="H8" s="56">
        <v>19.719000000000001</v>
      </c>
      <c r="I8" s="56">
        <v>20.122</v>
      </c>
      <c r="J8" s="56">
        <v>20.952999999999999</v>
      </c>
      <c r="K8" s="56">
        <v>21.166</v>
      </c>
      <c r="L8" s="56">
        <v>21.34</v>
      </c>
      <c r="M8" s="56">
        <v>21.803999999999998</v>
      </c>
      <c r="N8" s="56">
        <v>22.155000000000001</v>
      </c>
      <c r="O8" s="56">
        <v>22.54</v>
      </c>
      <c r="P8" s="56">
        <v>23.006</v>
      </c>
      <c r="Q8" s="56">
        <v>23.498000000000001</v>
      </c>
      <c r="R8" s="56">
        <v>23.739000000000001</v>
      </c>
      <c r="S8" s="56">
        <v>24.167999999999999</v>
      </c>
      <c r="T8" s="56">
        <v>24.873999999999999</v>
      </c>
      <c r="U8" s="56">
        <v>25.7</v>
      </c>
      <c r="V8" s="56">
        <v>26.167000000000002</v>
      </c>
      <c r="W8" s="56">
        <v>26.545999999999999</v>
      </c>
      <c r="X8" s="56">
        <v>26.904</v>
      </c>
      <c r="Y8" s="56">
        <v>27.521999999999998</v>
      </c>
      <c r="Z8" s="56">
        <v>27.923999999999999</v>
      </c>
      <c r="AA8" s="56">
        <v>28.158000000000001</v>
      </c>
      <c r="AB8" s="56">
        <v>28.481000000000002</v>
      </c>
      <c r="AC8" s="56">
        <v>29.242000000000001</v>
      </c>
      <c r="AD8" s="56">
        <v>29.655999999999999</v>
      </c>
      <c r="AE8" s="56">
        <v>29.992999999999999</v>
      </c>
      <c r="AF8" s="56">
        <v>30.140999999999998</v>
      </c>
      <c r="AG8" s="56">
        <v>31.013999999999999</v>
      </c>
      <c r="AH8" s="56">
        <v>31.369</v>
      </c>
      <c r="AI8" s="56">
        <v>31.984999999999999</v>
      </c>
      <c r="AJ8" s="56">
        <v>32.520000000000003</v>
      </c>
      <c r="AK8" s="56">
        <v>33.081000000000003</v>
      </c>
      <c r="AL8" s="56">
        <v>33.691000000000003</v>
      </c>
      <c r="AM8" s="56">
        <v>34.200000000000003</v>
      </c>
      <c r="AN8" s="56">
        <v>34.997999999999998</v>
      </c>
      <c r="AO8" s="56">
        <v>35.768000000000001</v>
      </c>
      <c r="AP8" s="56">
        <v>36.475000000000001</v>
      </c>
      <c r="AQ8" s="56">
        <v>37.884999999999998</v>
      </c>
      <c r="AR8" s="56">
        <v>38.268999999999998</v>
      </c>
      <c r="AS8" s="56">
        <v>39.420999999999999</v>
      </c>
      <c r="AT8" s="56">
        <v>40.209000000000003</v>
      </c>
      <c r="AU8" s="56">
        <v>41.143999999999998</v>
      </c>
      <c r="AV8" s="56">
        <v>42.045999999999999</v>
      </c>
      <c r="AW8" s="56">
        <v>42.851999999999997</v>
      </c>
      <c r="AX8" s="56">
        <v>43.536000000000001</v>
      </c>
      <c r="AY8" s="56">
        <v>44.399000000000001</v>
      </c>
      <c r="AZ8" s="56">
        <v>44.771000000000001</v>
      </c>
      <c r="BA8" s="56">
        <v>45.3</v>
      </c>
      <c r="BB8" s="56">
        <v>45.384999999999998</v>
      </c>
      <c r="BC8" s="56">
        <v>45.734999999999999</v>
      </c>
      <c r="BD8" s="56">
        <v>46.241999999999997</v>
      </c>
      <c r="BE8" s="56">
        <v>46.543999999999997</v>
      </c>
      <c r="BF8" s="56">
        <v>47.146999999999998</v>
      </c>
      <c r="BG8" s="56">
        <v>47.616999999999997</v>
      </c>
      <c r="BH8" s="56">
        <v>48.325000000000003</v>
      </c>
      <c r="BI8" s="56">
        <v>48.92</v>
      </c>
      <c r="BJ8" s="56">
        <v>48.725000000000001</v>
      </c>
      <c r="BK8" s="56">
        <v>48.84</v>
      </c>
      <c r="BL8" s="56">
        <v>49.100999999999999</v>
      </c>
      <c r="BM8" s="56">
        <v>49.423000000000002</v>
      </c>
      <c r="BN8" s="56">
        <v>49.298000000000002</v>
      </c>
      <c r="BO8" s="56">
        <v>49.174999999999997</v>
      </c>
      <c r="BP8" s="56">
        <v>49.244999999999997</v>
      </c>
      <c r="BQ8" s="56">
        <v>49.3</v>
      </c>
      <c r="BR8" s="56">
        <v>49.216999999999999</v>
      </c>
      <c r="BS8" s="56">
        <v>49.45</v>
      </c>
      <c r="BT8" s="56">
        <v>49.808</v>
      </c>
      <c r="BU8" s="56">
        <v>49.911999999999999</v>
      </c>
      <c r="BV8" s="56">
        <v>50.593000000000004</v>
      </c>
      <c r="BW8" s="56">
        <v>51.09</v>
      </c>
      <c r="BX8" s="56">
        <v>51.381999999999998</v>
      </c>
      <c r="BY8" s="56">
        <v>51.795999999999999</v>
      </c>
      <c r="BZ8" s="56">
        <v>52.18</v>
      </c>
      <c r="CA8" s="56">
        <v>52.563000000000002</v>
      </c>
      <c r="CB8" s="56">
        <v>52.825000000000003</v>
      </c>
      <c r="CC8" s="56">
        <v>53.014000000000003</v>
      </c>
      <c r="CD8" s="56">
        <v>53.386000000000003</v>
      </c>
      <c r="CE8" s="56">
        <v>54.302999999999997</v>
      </c>
      <c r="CF8" s="56">
        <v>54.375999999999998</v>
      </c>
      <c r="CG8" s="56">
        <v>55.023000000000003</v>
      </c>
      <c r="CH8" s="56">
        <v>55.517000000000003</v>
      </c>
      <c r="CI8" s="56">
        <v>55.79</v>
      </c>
      <c r="CJ8" s="56">
        <v>56.508000000000003</v>
      </c>
      <c r="CK8" s="56">
        <v>57.079000000000001</v>
      </c>
      <c r="CL8" s="56">
        <v>57.162999999999997</v>
      </c>
      <c r="CM8" s="56">
        <v>57.371000000000002</v>
      </c>
      <c r="CN8" s="56">
        <v>57.872</v>
      </c>
      <c r="CO8" s="56">
        <v>58.234999999999999</v>
      </c>
      <c r="CP8" s="56">
        <v>58.381</v>
      </c>
      <c r="CQ8" s="56">
        <v>58.637</v>
      </c>
      <c r="CR8" s="56">
        <v>59.061999999999998</v>
      </c>
      <c r="CS8" s="56">
        <v>59.591000000000001</v>
      </c>
      <c r="CT8" s="56">
        <v>59.865000000000002</v>
      </c>
      <c r="CU8" s="56">
        <v>60.366999999999997</v>
      </c>
      <c r="CV8" s="56">
        <v>60.713000000000001</v>
      </c>
      <c r="CW8" s="56">
        <v>61.212000000000003</v>
      </c>
      <c r="CX8" s="56">
        <v>61.728000000000002</v>
      </c>
      <c r="CY8" s="56">
        <v>62.139000000000003</v>
      </c>
      <c r="CZ8" s="56">
        <v>62.460999999999999</v>
      </c>
      <c r="DA8" s="56">
        <v>63.323</v>
      </c>
      <c r="DB8" s="56">
        <v>63.472000000000001</v>
      </c>
      <c r="DC8" s="56">
        <v>63.131999999999998</v>
      </c>
      <c r="DD8" s="56">
        <v>63.499000000000002</v>
      </c>
      <c r="DE8" s="56">
        <v>63.716000000000001</v>
      </c>
      <c r="DF8" s="56">
        <v>63.933999999999997</v>
      </c>
      <c r="DG8" s="56">
        <v>64.353999999999999</v>
      </c>
      <c r="DH8" s="56">
        <v>64.503</v>
      </c>
      <c r="DI8" s="56">
        <v>64.953999999999994</v>
      </c>
      <c r="DJ8" s="56">
        <v>64.682000000000002</v>
      </c>
      <c r="DK8" s="56">
        <v>65.099000000000004</v>
      </c>
      <c r="DL8" s="56">
        <v>65.524000000000001</v>
      </c>
      <c r="DM8" s="56">
        <v>65.734999999999999</v>
      </c>
      <c r="DN8" s="56">
        <v>65.947000000000003</v>
      </c>
      <c r="DO8" s="56">
        <v>66.503</v>
      </c>
      <c r="DP8" s="56">
        <v>67.105999999999995</v>
      </c>
      <c r="DQ8" s="56">
        <v>67.930999999999997</v>
      </c>
      <c r="DR8" s="56">
        <v>68.593000000000004</v>
      </c>
      <c r="DS8" s="56">
        <v>68.855999999999995</v>
      </c>
      <c r="DT8" s="56">
        <v>69.349000000000004</v>
      </c>
      <c r="DU8" s="56">
        <v>69.662000000000006</v>
      </c>
      <c r="DV8" s="56">
        <v>69.781999999999996</v>
      </c>
      <c r="DW8" s="56">
        <v>70.147999999999996</v>
      </c>
      <c r="DX8" s="56">
        <v>70.596999999999994</v>
      </c>
      <c r="DY8" s="56">
        <v>71.055000000000007</v>
      </c>
      <c r="DZ8" s="56">
        <v>71.515000000000001</v>
      </c>
      <c r="EA8" s="56">
        <v>72.191000000000003</v>
      </c>
      <c r="EB8" s="56">
        <v>72.811000000000007</v>
      </c>
      <c r="EC8" s="56">
        <v>74.161000000000001</v>
      </c>
      <c r="ED8" s="56">
        <v>74.965000000000003</v>
      </c>
      <c r="EE8" s="56">
        <v>75.498999999999995</v>
      </c>
      <c r="EF8" s="56">
        <v>76.182000000000002</v>
      </c>
      <c r="EG8" s="56">
        <v>76.751999999999995</v>
      </c>
      <c r="EH8" s="56">
        <v>77.405000000000001</v>
      </c>
      <c r="EI8" s="56">
        <v>78.076999999999998</v>
      </c>
      <c r="EJ8" s="56">
        <v>78.792000000000002</v>
      </c>
      <c r="EK8" s="56">
        <v>79.558999999999997</v>
      </c>
      <c r="EL8" s="56">
        <v>80.605999999999995</v>
      </c>
      <c r="EM8" s="56">
        <v>81.332999999999998</v>
      </c>
      <c r="EN8" s="56">
        <v>82.182000000000002</v>
      </c>
      <c r="EO8" s="56">
        <v>82.772000000000006</v>
      </c>
      <c r="EP8" s="56">
        <v>83.468999999999994</v>
      </c>
      <c r="EQ8" s="56">
        <v>84.051000000000002</v>
      </c>
      <c r="ER8" s="56">
        <v>84.673000000000002</v>
      </c>
      <c r="ES8" s="56">
        <v>85.114000000000004</v>
      </c>
      <c r="ET8" s="56">
        <v>85.841999999999999</v>
      </c>
      <c r="EU8" s="56">
        <v>86.528000000000006</v>
      </c>
      <c r="EV8" s="56">
        <v>87.123999999999995</v>
      </c>
      <c r="EW8" s="56">
        <v>87.822000000000003</v>
      </c>
      <c r="EX8" s="56">
        <v>88.563000000000002</v>
      </c>
      <c r="EY8" s="56">
        <v>89.47</v>
      </c>
      <c r="EZ8" s="56">
        <v>90.141000000000005</v>
      </c>
      <c r="FA8" s="56">
        <v>89.712000000000003</v>
      </c>
      <c r="FB8" s="56">
        <v>88.959000000000003</v>
      </c>
      <c r="FC8" s="56">
        <v>88.974999999999994</v>
      </c>
      <c r="FD8" s="56">
        <v>89.247</v>
      </c>
      <c r="FE8" s="56">
        <v>89.933000000000007</v>
      </c>
      <c r="FF8" s="56">
        <v>90.506</v>
      </c>
      <c r="FG8" s="56">
        <v>91.2</v>
      </c>
      <c r="FH8" s="56">
        <v>91.561999999999998</v>
      </c>
      <c r="FI8" s="56">
        <v>92.307000000000002</v>
      </c>
      <c r="FJ8" s="56">
        <v>93.135999999999996</v>
      </c>
      <c r="FK8" s="56">
        <v>93.978999999999999</v>
      </c>
      <c r="FL8" s="56">
        <v>94.305999999999997</v>
      </c>
      <c r="FM8" s="56">
        <v>94.18</v>
      </c>
      <c r="FN8" s="56">
        <v>94.506</v>
      </c>
      <c r="FO8" s="56">
        <v>94.715000000000003</v>
      </c>
      <c r="FP8" s="56">
        <v>94.897000000000006</v>
      </c>
      <c r="FQ8" s="56">
        <v>95.013000000000005</v>
      </c>
      <c r="FR8" s="56">
        <v>94.947000000000003</v>
      </c>
      <c r="FS8" s="56">
        <v>95.102000000000004</v>
      </c>
      <c r="FT8" s="56">
        <v>95.436000000000007</v>
      </c>
      <c r="FU8" s="56">
        <v>96.903999999999996</v>
      </c>
      <c r="FV8" s="56">
        <v>96.649000000000001</v>
      </c>
      <c r="FW8" s="56">
        <v>97.057000000000002</v>
      </c>
      <c r="FX8" s="56">
        <v>97.513000000000005</v>
      </c>
      <c r="FY8" s="56">
        <v>97.641999999999996</v>
      </c>
      <c r="FZ8" s="56">
        <v>97.451999999999998</v>
      </c>
      <c r="GA8" s="56">
        <v>97.641000000000005</v>
      </c>
      <c r="GB8" s="56">
        <v>97.73</v>
      </c>
      <c r="GC8" s="56">
        <v>97.611000000000004</v>
      </c>
      <c r="GD8" s="56">
        <v>97.503</v>
      </c>
      <c r="GE8" s="56">
        <v>98.022000000000006</v>
      </c>
      <c r="GF8" s="56">
        <v>98.403999999999996</v>
      </c>
      <c r="GG8" s="56">
        <v>98.891000000000005</v>
      </c>
      <c r="GH8" s="56">
        <v>99.36</v>
      </c>
      <c r="GI8" s="56">
        <v>99.682000000000002</v>
      </c>
      <c r="GJ8" s="56">
        <v>100.12</v>
      </c>
      <c r="GK8" s="56">
        <v>100.83799999999999</v>
      </c>
      <c r="GL8" s="56">
        <v>101.798</v>
      </c>
      <c r="GM8" s="56">
        <v>102.497</v>
      </c>
      <c r="GN8" s="56">
        <v>103.027</v>
      </c>
      <c r="GO8" s="56">
        <v>103.77800000000001</v>
      </c>
      <c r="GP8" s="56">
        <v>104.73099999999999</v>
      </c>
      <c r="GQ8" s="56">
        <v>104.03400000000001</v>
      </c>
      <c r="GR8" s="56">
        <v>104.131</v>
      </c>
      <c r="GS8" s="56">
        <v>104.51</v>
      </c>
      <c r="GT8" s="56">
        <v>104.82599999999999</v>
      </c>
      <c r="GU8" s="56">
        <v>104.893</v>
      </c>
      <c r="GV8" s="56">
        <v>105.46599999999999</v>
      </c>
      <c r="GW8" s="56">
        <v>106.253</v>
      </c>
      <c r="GX8" s="56">
        <v>107.069</v>
      </c>
      <c r="GY8" s="56">
        <v>108.223</v>
      </c>
      <c r="GZ8" s="56">
        <v>109.501</v>
      </c>
      <c r="HA8" s="56">
        <v>110.85599999999999</v>
      </c>
      <c r="HB8" s="56">
        <v>112.633</v>
      </c>
      <c r="HC8">
        <v>114.685</v>
      </c>
      <c r="HD8">
        <v>116.184</v>
      </c>
      <c r="HE8">
        <v>117.371</v>
      </c>
      <c r="HF8">
        <v>118.61</v>
      </c>
      <c r="HG8">
        <v>119.63500000000001</v>
      </c>
      <c r="HH8">
        <v>120.759</v>
      </c>
      <c r="HI8">
        <v>121.899</v>
      </c>
      <c r="HJ8">
        <v>122.967</v>
      </c>
      <c r="HK8">
        <v>123.825</v>
      </c>
      <c r="HL8">
        <v>124.57599999999999</v>
      </c>
      <c r="HM8">
        <v>125.398</v>
      </c>
      <c r="HN8">
        <v>127.075</v>
      </c>
    </row>
    <row r="9" spans="1:222" x14ac:dyDescent="0.25">
      <c r="A9" s="56" t="s">
        <v>2214</v>
      </c>
      <c r="B9" s="56">
        <v>12.676</v>
      </c>
      <c r="C9" s="56">
        <v>12.944000000000001</v>
      </c>
      <c r="D9" s="56">
        <v>13.178000000000001</v>
      </c>
      <c r="E9" s="56">
        <v>13.428000000000001</v>
      </c>
      <c r="F9" s="56">
        <v>13.733000000000001</v>
      </c>
      <c r="G9" s="56">
        <v>13.981</v>
      </c>
      <c r="H9" s="56">
        <v>14.178000000000001</v>
      </c>
      <c r="I9" s="56">
        <v>14.333</v>
      </c>
      <c r="J9" s="56">
        <v>14.654</v>
      </c>
      <c r="K9" s="56">
        <v>14.827</v>
      </c>
      <c r="L9" s="56">
        <v>15.052</v>
      </c>
      <c r="M9" s="56">
        <v>15.259</v>
      </c>
      <c r="N9" s="56">
        <v>15.558999999999999</v>
      </c>
      <c r="O9" s="56">
        <v>15.836</v>
      </c>
      <c r="P9" s="56">
        <v>16.048999999999999</v>
      </c>
      <c r="Q9" s="56">
        <v>16.353000000000002</v>
      </c>
      <c r="R9" s="56">
        <v>16.827999999999999</v>
      </c>
      <c r="S9" s="56">
        <v>17.413</v>
      </c>
      <c r="T9" s="56">
        <v>18.047999999999998</v>
      </c>
      <c r="U9" s="56">
        <v>18.579000000000001</v>
      </c>
      <c r="V9" s="56">
        <v>18.952999999999999</v>
      </c>
      <c r="W9" s="56">
        <v>19.329000000000001</v>
      </c>
      <c r="X9" s="56">
        <v>19.576000000000001</v>
      </c>
      <c r="Y9" s="56">
        <v>19.826000000000001</v>
      </c>
      <c r="Z9" s="56">
        <v>20.05</v>
      </c>
      <c r="AA9" s="56">
        <v>20.292999999999999</v>
      </c>
      <c r="AB9" s="56">
        <v>20.443999999999999</v>
      </c>
      <c r="AC9" s="56">
        <v>20.689</v>
      </c>
      <c r="AD9" s="56">
        <v>21.079000000000001</v>
      </c>
      <c r="AE9" s="56">
        <v>21.456</v>
      </c>
      <c r="AF9" s="56">
        <v>21.821000000000002</v>
      </c>
      <c r="AG9" s="56">
        <v>22.189</v>
      </c>
      <c r="AH9" s="56">
        <v>22.503</v>
      </c>
      <c r="AI9" s="56">
        <v>22.879000000000001</v>
      </c>
      <c r="AJ9" s="56">
        <v>23.227</v>
      </c>
      <c r="AK9" s="56">
        <v>23.56</v>
      </c>
      <c r="AL9" s="56">
        <v>24.120999999999999</v>
      </c>
      <c r="AM9" s="56">
        <v>24.672999999999998</v>
      </c>
      <c r="AN9" s="56">
        <v>25.509</v>
      </c>
      <c r="AO9" s="56">
        <v>26.007000000000001</v>
      </c>
      <c r="AP9" s="56">
        <v>26.684000000000001</v>
      </c>
      <c r="AQ9" s="56">
        <v>27.417000000000002</v>
      </c>
      <c r="AR9" s="56">
        <v>28.207999999999998</v>
      </c>
      <c r="AS9" s="56">
        <v>28.975999999999999</v>
      </c>
      <c r="AT9" s="56">
        <v>29.917000000000002</v>
      </c>
      <c r="AU9" s="56">
        <v>30.562000000000001</v>
      </c>
      <c r="AV9" s="56">
        <v>30.977</v>
      </c>
      <c r="AW9" s="56">
        <v>31.466000000000001</v>
      </c>
      <c r="AX9" s="56">
        <v>31.997</v>
      </c>
      <c r="AY9" s="56">
        <v>32.511000000000003</v>
      </c>
      <c r="AZ9" s="56">
        <v>33.021000000000001</v>
      </c>
      <c r="BA9" s="56">
        <v>33.441000000000003</v>
      </c>
      <c r="BB9" s="56">
        <v>33.680999999999997</v>
      </c>
      <c r="BC9" s="56">
        <v>34.051000000000002</v>
      </c>
      <c r="BD9" s="56">
        <v>34.381</v>
      </c>
      <c r="BE9" s="56">
        <v>34.642000000000003</v>
      </c>
      <c r="BF9" s="56">
        <v>35.145000000000003</v>
      </c>
      <c r="BG9" s="56">
        <v>35.478999999999999</v>
      </c>
      <c r="BH9" s="56">
        <v>35.81</v>
      </c>
      <c r="BI9" s="56">
        <v>36.165999999999997</v>
      </c>
      <c r="BJ9" s="56">
        <v>36.593000000000004</v>
      </c>
      <c r="BK9" s="56">
        <v>36.953000000000003</v>
      </c>
      <c r="BL9" s="56">
        <v>37.259</v>
      </c>
      <c r="BM9" s="56">
        <v>37.603999999999999</v>
      </c>
      <c r="BN9" s="56">
        <v>37.76</v>
      </c>
      <c r="BO9" s="56">
        <v>37.927</v>
      </c>
      <c r="BP9" s="56">
        <v>38.255000000000003</v>
      </c>
      <c r="BQ9" s="56">
        <v>38.741</v>
      </c>
      <c r="BR9" s="56">
        <v>39.295000000000002</v>
      </c>
      <c r="BS9" s="56">
        <v>39.776000000000003</v>
      </c>
      <c r="BT9" s="56">
        <v>40.252000000000002</v>
      </c>
      <c r="BU9" s="56">
        <v>40.491</v>
      </c>
      <c r="BV9" s="56">
        <v>40.698999999999998</v>
      </c>
      <c r="BW9" s="56">
        <v>41.095999999999997</v>
      </c>
      <c r="BX9" s="56">
        <v>41.442999999999998</v>
      </c>
      <c r="BY9" s="56">
        <v>41.917999999999999</v>
      </c>
      <c r="BZ9" s="56">
        <v>42.469000000000001</v>
      </c>
      <c r="CA9" s="56">
        <v>43.045999999999999</v>
      </c>
      <c r="CB9" s="56">
        <v>43.45</v>
      </c>
      <c r="CC9" s="56">
        <v>44.011000000000003</v>
      </c>
      <c r="CD9" s="56">
        <v>44.634</v>
      </c>
      <c r="CE9" s="56">
        <v>45.094000000000001</v>
      </c>
      <c r="CF9" s="56">
        <v>45.707000000000001</v>
      </c>
      <c r="CG9" s="56">
        <v>46.427</v>
      </c>
      <c r="CH9" s="56">
        <v>46.622</v>
      </c>
      <c r="CI9" s="56">
        <v>46.904000000000003</v>
      </c>
      <c r="CJ9" s="56">
        <v>47.29</v>
      </c>
      <c r="CK9" s="56">
        <v>47.703000000000003</v>
      </c>
      <c r="CL9" s="56">
        <v>48.042999999999999</v>
      </c>
      <c r="CM9" s="56">
        <v>48.616999999999997</v>
      </c>
      <c r="CN9" s="56">
        <v>48.975000000000001</v>
      </c>
      <c r="CO9" s="56">
        <v>49.31</v>
      </c>
      <c r="CP9" s="56">
        <v>49.597000000000001</v>
      </c>
      <c r="CQ9" s="56">
        <v>49.889000000000003</v>
      </c>
      <c r="CR9" s="56">
        <v>50.030999999999999</v>
      </c>
      <c r="CS9" s="56">
        <v>50.283000000000001</v>
      </c>
      <c r="CT9" s="56">
        <v>50.694000000000003</v>
      </c>
      <c r="CU9" s="56">
        <v>50.975000000000001</v>
      </c>
      <c r="CV9" s="56">
        <v>51.420999999999999</v>
      </c>
      <c r="CW9" s="56">
        <v>51.856999999999999</v>
      </c>
      <c r="CX9" s="56">
        <v>52.146000000000001</v>
      </c>
      <c r="CY9" s="56">
        <v>52.542000000000002</v>
      </c>
      <c r="CZ9" s="56">
        <v>52.758000000000003</v>
      </c>
      <c r="DA9" s="56">
        <v>52.96</v>
      </c>
      <c r="DB9" s="56">
        <v>53.488999999999997</v>
      </c>
      <c r="DC9" s="56">
        <v>53.561</v>
      </c>
      <c r="DD9" s="56">
        <v>53.899000000000001</v>
      </c>
      <c r="DE9" s="56">
        <v>54.286000000000001</v>
      </c>
      <c r="DF9" s="56">
        <v>54.646000000000001</v>
      </c>
      <c r="DG9" s="56">
        <v>54.823</v>
      </c>
      <c r="DH9" s="56">
        <v>55.061</v>
      </c>
      <c r="DI9" s="56">
        <v>55.493000000000002</v>
      </c>
      <c r="DJ9" s="56">
        <v>55.567</v>
      </c>
      <c r="DK9" s="56">
        <v>55.813000000000002</v>
      </c>
      <c r="DL9" s="56">
        <v>56.231000000000002</v>
      </c>
      <c r="DM9" s="56">
        <v>56.701000000000001</v>
      </c>
      <c r="DN9" s="56">
        <v>57.134999999999998</v>
      </c>
      <c r="DO9" s="56">
        <v>57.908999999999999</v>
      </c>
      <c r="DP9" s="56">
        <v>58.603999999999999</v>
      </c>
      <c r="DQ9" s="56">
        <v>59.277000000000001</v>
      </c>
      <c r="DR9" s="56">
        <v>60.033999999999999</v>
      </c>
      <c r="DS9" s="56">
        <v>60.671999999999997</v>
      </c>
      <c r="DT9" s="56">
        <v>61.323999999999998</v>
      </c>
      <c r="DU9" s="56">
        <v>62.09</v>
      </c>
      <c r="DV9" s="56">
        <v>62.832000000000001</v>
      </c>
      <c r="DW9" s="56">
        <v>63.076999999999998</v>
      </c>
      <c r="DX9" s="56">
        <v>63.241</v>
      </c>
      <c r="DY9" s="56">
        <v>63.363</v>
      </c>
      <c r="DZ9" s="56">
        <v>63.735999999999997</v>
      </c>
      <c r="EA9" s="56">
        <v>64.311000000000007</v>
      </c>
      <c r="EB9" s="56">
        <v>64.778000000000006</v>
      </c>
      <c r="EC9" s="56">
        <v>65.325000000000003</v>
      </c>
      <c r="ED9" s="56">
        <v>66.256</v>
      </c>
      <c r="EE9" s="56">
        <v>66.307000000000002</v>
      </c>
      <c r="EF9" s="56">
        <v>66.747</v>
      </c>
      <c r="EG9" s="56">
        <v>67.272999999999996</v>
      </c>
      <c r="EH9" s="56">
        <v>68.131</v>
      </c>
      <c r="EI9" s="56">
        <v>69.108000000000004</v>
      </c>
      <c r="EJ9" s="56">
        <v>70.224000000000004</v>
      </c>
      <c r="EK9" s="56">
        <v>71.438999999999993</v>
      </c>
      <c r="EL9" s="56">
        <v>72.085999999999999</v>
      </c>
      <c r="EM9" s="56">
        <v>73.010000000000005</v>
      </c>
      <c r="EN9" s="56">
        <v>74.180000000000007</v>
      </c>
      <c r="EO9" s="56">
        <v>75.391000000000005</v>
      </c>
      <c r="EP9" s="56">
        <v>75.930000000000007</v>
      </c>
      <c r="EQ9" s="56">
        <v>77.102999999999994</v>
      </c>
      <c r="ER9" s="56">
        <v>77.885999999999996</v>
      </c>
      <c r="ES9" s="56">
        <v>78.707999999999998</v>
      </c>
      <c r="ET9" s="56">
        <v>80.213999999999999</v>
      </c>
      <c r="EU9" s="56">
        <v>81.082999999999998</v>
      </c>
      <c r="EV9" s="56">
        <v>81.971000000000004</v>
      </c>
      <c r="EW9" s="56">
        <v>83.146000000000001</v>
      </c>
      <c r="EX9" s="56">
        <v>84.486000000000004</v>
      </c>
      <c r="EY9" s="56">
        <v>85.668999999999997</v>
      </c>
      <c r="EZ9" s="56">
        <v>86.826999999999998</v>
      </c>
      <c r="FA9" s="56">
        <v>85.784000000000006</v>
      </c>
      <c r="FB9" s="56">
        <v>84.68</v>
      </c>
      <c r="FC9" s="56">
        <v>84.875</v>
      </c>
      <c r="FD9" s="56">
        <v>85.316999999999993</v>
      </c>
      <c r="FE9" s="56">
        <v>85.932000000000002</v>
      </c>
      <c r="FF9" s="56">
        <v>86.789000000000001</v>
      </c>
      <c r="FG9" s="56">
        <v>87.373000000000005</v>
      </c>
      <c r="FH9" s="56">
        <v>87.834000000000003</v>
      </c>
      <c r="FI9" s="56">
        <v>88.572999999999993</v>
      </c>
      <c r="FJ9" s="56">
        <v>89.474000000000004</v>
      </c>
      <c r="FK9" s="56">
        <v>90.561999999999998</v>
      </c>
      <c r="FL9" s="56">
        <v>91.025000000000006</v>
      </c>
      <c r="FM9" s="56">
        <v>90.912999999999997</v>
      </c>
      <c r="FN9" s="56">
        <v>92.015000000000001</v>
      </c>
      <c r="FO9" s="56">
        <v>92.024000000000001</v>
      </c>
      <c r="FP9" s="56">
        <v>92.572000000000003</v>
      </c>
      <c r="FQ9" s="56">
        <v>93.706000000000003</v>
      </c>
      <c r="FR9" s="56">
        <v>94.775000000000006</v>
      </c>
      <c r="FS9" s="56">
        <v>95.259</v>
      </c>
      <c r="FT9" s="56">
        <v>96.013000000000005</v>
      </c>
      <c r="FU9" s="56">
        <v>96.567999999999998</v>
      </c>
      <c r="FV9" s="56">
        <v>97.34</v>
      </c>
      <c r="FW9" s="56">
        <v>97.641999999999996</v>
      </c>
      <c r="FX9" s="56">
        <v>98.161000000000001</v>
      </c>
      <c r="FY9" s="56">
        <v>98.075000000000003</v>
      </c>
      <c r="FZ9" s="56">
        <v>97.174000000000007</v>
      </c>
      <c r="GA9" s="56">
        <v>97.783000000000001</v>
      </c>
      <c r="GB9" s="56">
        <v>97.844999999999999</v>
      </c>
      <c r="GC9" s="56">
        <v>97.466999999999999</v>
      </c>
      <c r="GD9" s="56">
        <v>96.685000000000002</v>
      </c>
      <c r="GE9" s="56">
        <v>97.415999999999997</v>
      </c>
      <c r="GF9" s="56">
        <v>97.721999999999994</v>
      </c>
      <c r="GG9" s="56">
        <v>98.197999999999993</v>
      </c>
      <c r="GH9" s="56">
        <v>99.103999999999999</v>
      </c>
      <c r="GI9" s="56">
        <v>99.283000000000001</v>
      </c>
      <c r="GJ9" s="56">
        <v>100.164</v>
      </c>
      <c r="GK9" s="56">
        <v>101.44799999999999</v>
      </c>
      <c r="GL9" s="56">
        <v>102.759</v>
      </c>
      <c r="GM9" s="56">
        <v>103.807</v>
      </c>
      <c r="GN9" s="56">
        <v>104.739</v>
      </c>
      <c r="GO9" s="56">
        <v>105.197</v>
      </c>
      <c r="GP9" s="56">
        <v>104.68600000000001</v>
      </c>
      <c r="GQ9" s="56">
        <v>105.473</v>
      </c>
      <c r="GR9" s="56">
        <v>105.887</v>
      </c>
      <c r="GS9" s="56">
        <v>106.506</v>
      </c>
      <c r="GT9" s="56">
        <v>107.881</v>
      </c>
      <c r="GU9" s="56">
        <v>107.74</v>
      </c>
      <c r="GV9" s="56">
        <v>109.033</v>
      </c>
      <c r="GW9" s="56">
        <v>110.37</v>
      </c>
      <c r="GX9" s="56">
        <v>112.819</v>
      </c>
      <c r="GY9" s="56">
        <v>115.044</v>
      </c>
      <c r="GZ9" s="56">
        <v>116.893</v>
      </c>
      <c r="HA9" s="56">
        <v>119.203</v>
      </c>
      <c r="HB9" s="56">
        <v>121.961</v>
      </c>
      <c r="HC9">
        <v>126.102</v>
      </c>
      <c r="HD9">
        <v>126.283</v>
      </c>
      <c r="HE9">
        <v>126.64</v>
      </c>
      <c r="HF9">
        <v>125.974</v>
      </c>
      <c r="HG9">
        <v>124.8</v>
      </c>
      <c r="HH9">
        <v>126.041</v>
      </c>
      <c r="HI9">
        <v>126.006</v>
      </c>
      <c r="HJ9">
        <v>127.205</v>
      </c>
      <c r="HK9">
        <v>127.72</v>
      </c>
      <c r="HL9">
        <v>128.476</v>
      </c>
      <c r="HM9">
        <v>129.04400000000001</v>
      </c>
      <c r="HN9">
        <v>130.41800000000001</v>
      </c>
    </row>
    <row r="10" spans="1:222" x14ac:dyDescent="0.25">
      <c r="A10" s="56" t="s">
        <v>2215</v>
      </c>
      <c r="B10" s="56">
        <v>12.117000000000001</v>
      </c>
      <c r="C10" s="56">
        <v>12.358000000000001</v>
      </c>
      <c r="D10" s="56">
        <v>12.576000000000001</v>
      </c>
      <c r="E10" s="56">
        <v>12.788</v>
      </c>
      <c r="F10" s="56">
        <v>13.102</v>
      </c>
      <c r="G10" s="56">
        <v>13.348000000000001</v>
      </c>
      <c r="H10" s="56">
        <v>13.548999999999999</v>
      </c>
      <c r="I10" s="56">
        <v>13.672000000000001</v>
      </c>
      <c r="J10" s="56">
        <v>14.016999999999999</v>
      </c>
      <c r="K10" s="56">
        <v>14.201000000000001</v>
      </c>
      <c r="L10" s="56">
        <v>14.422000000000001</v>
      </c>
      <c r="M10" s="56">
        <v>14.601000000000001</v>
      </c>
      <c r="N10" s="56">
        <v>14.888999999999999</v>
      </c>
      <c r="O10" s="56">
        <v>15.141</v>
      </c>
      <c r="P10" s="56">
        <v>15.316000000000001</v>
      </c>
      <c r="Q10" s="56">
        <v>15.573</v>
      </c>
      <c r="R10" s="56">
        <v>15.951000000000001</v>
      </c>
      <c r="S10" s="56">
        <v>16.38</v>
      </c>
      <c r="T10" s="56">
        <v>16.850999999999999</v>
      </c>
      <c r="U10" s="56">
        <v>17.292000000000002</v>
      </c>
      <c r="V10" s="56">
        <v>17.637</v>
      </c>
      <c r="W10" s="56">
        <v>18.062000000000001</v>
      </c>
      <c r="X10" s="56">
        <v>18.34</v>
      </c>
      <c r="Y10" s="56">
        <v>18.606999999999999</v>
      </c>
      <c r="Z10" s="56">
        <v>18.849</v>
      </c>
      <c r="AA10" s="56">
        <v>19.094999999999999</v>
      </c>
      <c r="AB10" s="56">
        <v>19.262</v>
      </c>
      <c r="AC10" s="56">
        <v>19.516999999999999</v>
      </c>
      <c r="AD10" s="56">
        <v>19.913</v>
      </c>
      <c r="AE10" s="56">
        <v>20.309000000000001</v>
      </c>
      <c r="AF10" s="56">
        <v>20.672000000000001</v>
      </c>
      <c r="AG10" s="56">
        <v>21.050999999999998</v>
      </c>
      <c r="AH10" s="56">
        <v>21.356999999999999</v>
      </c>
      <c r="AI10" s="56">
        <v>21.7</v>
      </c>
      <c r="AJ10" s="56">
        <v>22.01</v>
      </c>
      <c r="AK10" s="56">
        <v>22.305</v>
      </c>
      <c r="AL10" s="56">
        <v>22.853000000000002</v>
      </c>
      <c r="AM10" s="56">
        <v>23.352</v>
      </c>
      <c r="AN10" s="56">
        <v>24.172999999999998</v>
      </c>
      <c r="AO10" s="56">
        <v>24.588000000000001</v>
      </c>
      <c r="AP10" s="56">
        <v>25.22</v>
      </c>
      <c r="AQ10" s="56">
        <v>25.905000000000001</v>
      </c>
      <c r="AR10" s="56">
        <v>26.625</v>
      </c>
      <c r="AS10" s="56">
        <v>27.332999999999998</v>
      </c>
      <c r="AT10" s="56">
        <v>28.25</v>
      </c>
      <c r="AU10" s="56">
        <v>28.84</v>
      </c>
      <c r="AV10" s="56">
        <v>29.184999999999999</v>
      </c>
      <c r="AW10" s="56">
        <v>29.632999999999999</v>
      </c>
      <c r="AX10" s="56">
        <v>30.152000000000001</v>
      </c>
      <c r="AY10" s="56">
        <v>30.632999999999999</v>
      </c>
      <c r="AZ10" s="56">
        <v>31.141999999999999</v>
      </c>
      <c r="BA10" s="56">
        <v>31.609000000000002</v>
      </c>
      <c r="BB10" s="56">
        <v>31.881</v>
      </c>
      <c r="BC10" s="56">
        <v>32.316000000000003</v>
      </c>
      <c r="BD10" s="56">
        <v>32.694000000000003</v>
      </c>
      <c r="BE10" s="56">
        <v>33.000999999999998</v>
      </c>
      <c r="BF10" s="56">
        <v>33.579000000000001</v>
      </c>
      <c r="BG10" s="56">
        <v>33.945</v>
      </c>
      <c r="BH10" s="56">
        <v>34.31</v>
      </c>
      <c r="BI10" s="56">
        <v>34.715000000000003</v>
      </c>
      <c r="BJ10" s="56">
        <v>35.173999999999999</v>
      </c>
      <c r="BK10" s="56">
        <v>35.576000000000001</v>
      </c>
      <c r="BL10" s="56">
        <v>35.905999999999999</v>
      </c>
      <c r="BM10" s="56">
        <v>36.268000000000001</v>
      </c>
      <c r="BN10" s="56">
        <v>36.4</v>
      </c>
      <c r="BO10" s="56">
        <v>36.51</v>
      </c>
      <c r="BP10" s="56">
        <v>36.822000000000003</v>
      </c>
      <c r="BQ10" s="56">
        <v>37.307000000000002</v>
      </c>
      <c r="BR10" s="56">
        <v>37.911999999999999</v>
      </c>
      <c r="BS10" s="56">
        <v>38.409999999999997</v>
      </c>
      <c r="BT10" s="56">
        <v>38.898000000000003</v>
      </c>
      <c r="BU10" s="56">
        <v>39.136000000000003</v>
      </c>
      <c r="BV10" s="56">
        <v>39.308999999999997</v>
      </c>
      <c r="BW10" s="56">
        <v>39.732999999999997</v>
      </c>
      <c r="BX10" s="56">
        <v>40.087000000000003</v>
      </c>
      <c r="BY10" s="56">
        <v>40.606000000000002</v>
      </c>
      <c r="BZ10" s="56">
        <v>41.222000000000001</v>
      </c>
      <c r="CA10" s="56">
        <v>41.835999999999999</v>
      </c>
      <c r="CB10" s="56">
        <v>42.247999999999998</v>
      </c>
      <c r="CC10" s="56">
        <v>42.869</v>
      </c>
      <c r="CD10" s="56">
        <v>43.548000000000002</v>
      </c>
      <c r="CE10" s="56">
        <v>44.012999999999998</v>
      </c>
      <c r="CF10" s="56">
        <v>44.652000000000001</v>
      </c>
      <c r="CG10" s="56">
        <v>45.497999999999998</v>
      </c>
      <c r="CH10" s="56">
        <v>45.713999999999999</v>
      </c>
      <c r="CI10" s="56">
        <v>46.000999999999998</v>
      </c>
      <c r="CJ10" s="56">
        <v>46.44</v>
      </c>
      <c r="CK10" s="56">
        <v>46.969000000000001</v>
      </c>
      <c r="CL10" s="56">
        <v>47.411000000000001</v>
      </c>
      <c r="CM10" s="56">
        <v>48.055999999999997</v>
      </c>
      <c r="CN10" s="56">
        <v>48.466999999999999</v>
      </c>
      <c r="CO10" s="56">
        <v>48.822000000000003</v>
      </c>
      <c r="CP10" s="56">
        <v>49.088999999999999</v>
      </c>
      <c r="CQ10" s="56">
        <v>49.378999999999998</v>
      </c>
      <c r="CR10" s="56">
        <v>49.54</v>
      </c>
      <c r="CS10" s="56">
        <v>49.792999999999999</v>
      </c>
      <c r="CT10" s="56">
        <v>50.21</v>
      </c>
      <c r="CU10" s="56">
        <v>50.502000000000002</v>
      </c>
      <c r="CV10" s="56">
        <v>50.942999999999998</v>
      </c>
      <c r="CW10" s="56">
        <v>51.378</v>
      </c>
      <c r="CX10" s="56">
        <v>51.613999999999997</v>
      </c>
      <c r="CY10" s="56">
        <v>52.011000000000003</v>
      </c>
      <c r="CZ10" s="56">
        <v>52.207999999999998</v>
      </c>
      <c r="DA10" s="56">
        <v>52.384999999999998</v>
      </c>
      <c r="DB10" s="56">
        <v>52.962000000000003</v>
      </c>
      <c r="DC10" s="56">
        <v>53.036999999999999</v>
      </c>
      <c r="DD10" s="56">
        <v>53.387999999999998</v>
      </c>
      <c r="DE10" s="56">
        <v>53.820999999999998</v>
      </c>
      <c r="DF10" s="56">
        <v>54.19</v>
      </c>
      <c r="DG10" s="56">
        <v>54.32</v>
      </c>
      <c r="DH10" s="56">
        <v>54.579000000000001</v>
      </c>
      <c r="DI10" s="56">
        <v>55.024999999999999</v>
      </c>
      <c r="DJ10" s="56">
        <v>55.112000000000002</v>
      </c>
      <c r="DK10" s="56">
        <v>55.405000000000001</v>
      </c>
      <c r="DL10" s="56">
        <v>55.837000000000003</v>
      </c>
      <c r="DM10" s="56">
        <v>56.34</v>
      </c>
      <c r="DN10" s="56">
        <v>56.820999999999998</v>
      </c>
      <c r="DO10" s="56">
        <v>57.673000000000002</v>
      </c>
      <c r="DP10" s="56">
        <v>58.472000000000001</v>
      </c>
      <c r="DQ10" s="56">
        <v>59.185000000000002</v>
      </c>
      <c r="DR10" s="56">
        <v>60.011000000000003</v>
      </c>
      <c r="DS10" s="56">
        <v>60.637999999999998</v>
      </c>
      <c r="DT10" s="56">
        <v>61.35</v>
      </c>
      <c r="DU10" s="56">
        <v>62.213999999999999</v>
      </c>
      <c r="DV10" s="56">
        <v>63.045000000000002</v>
      </c>
      <c r="DW10" s="56">
        <v>63.311</v>
      </c>
      <c r="DX10" s="56">
        <v>63.468000000000004</v>
      </c>
      <c r="DY10" s="56">
        <v>63.537999999999997</v>
      </c>
      <c r="DZ10" s="56">
        <v>63.935000000000002</v>
      </c>
      <c r="EA10" s="56">
        <v>64.566999999999993</v>
      </c>
      <c r="EB10" s="56">
        <v>65.099999999999994</v>
      </c>
      <c r="EC10" s="56">
        <v>65.754999999999995</v>
      </c>
      <c r="ED10" s="56">
        <v>66.789000000000001</v>
      </c>
      <c r="EE10" s="56">
        <v>66.835999999999999</v>
      </c>
      <c r="EF10" s="56">
        <v>67.364999999999995</v>
      </c>
      <c r="EG10" s="56">
        <v>67.98</v>
      </c>
      <c r="EH10" s="56">
        <v>68.947000000000003</v>
      </c>
      <c r="EI10" s="56">
        <v>69.87</v>
      </c>
      <c r="EJ10" s="56">
        <v>70.819000000000003</v>
      </c>
      <c r="EK10" s="56">
        <v>71.933000000000007</v>
      </c>
      <c r="EL10" s="56">
        <v>72.594999999999999</v>
      </c>
      <c r="EM10" s="56">
        <v>73.424000000000007</v>
      </c>
      <c r="EN10" s="56">
        <v>74.492000000000004</v>
      </c>
      <c r="EO10" s="56">
        <v>75.751000000000005</v>
      </c>
      <c r="EP10" s="56">
        <v>76.31</v>
      </c>
      <c r="EQ10" s="56">
        <v>77.367000000000004</v>
      </c>
      <c r="ER10" s="56">
        <v>78.082999999999998</v>
      </c>
      <c r="ES10" s="56">
        <v>78.665999999999997</v>
      </c>
      <c r="ET10" s="56">
        <v>80.055000000000007</v>
      </c>
      <c r="EU10" s="56">
        <v>80.929000000000002</v>
      </c>
      <c r="EV10" s="56">
        <v>81.84</v>
      </c>
      <c r="EW10" s="56">
        <v>83.063999999999993</v>
      </c>
      <c r="EX10" s="56">
        <v>84.537000000000006</v>
      </c>
      <c r="EY10" s="56">
        <v>85.850999999999999</v>
      </c>
      <c r="EZ10" s="56">
        <v>87.024000000000001</v>
      </c>
      <c r="FA10" s="56">
        <v>85.35</v>
      </c>
      <c r="FB10" s="56">
        <v>83.858999999999995</v>
      </c>
      <c r="FC10" s="56">
        <v>84.284000000000006</v>
      </c>
      <c r="FD10" s="56">
        <v>85.016000000000005</v>
      </c>
      <c r="FE10" s="56">
        <v>85.792000000000002</v>
      </c>
      <c r="FF10" s="56">
        <v>86.787999999999997</v>
      </c>
      <c r="FG10" s="56">
        <v>87.418999999999997</v>
      </c>
      <c r="FH10" s="56">
        <v>87.921999999999997</v>
      </c>
      <c r="FI10" s="56">
        <v>88.741</v>
      </c>
      <c r="FJ10" s="56">
        <v>89.727000000000004</v>
      </c>
      <c r="FK10" s="56">
        <v>90.858999999999995</v>
      </c>
      <c r="FL10" s="56">
        <v>91.197999999999993</v>
      </c>
      <c r="FM10" s="56">
        <v>90.867000000000004</v>
      </c>
      <c r="FN10" s="56">
        <v>92.066999999999993</v>
      </c>
      <c r="FO10" s="56">
        <v>91.918999999999997</v>
      </c>
      <c r="FP10" s="56">
        <v>92.477000000000004</v>
      </c>
      <c r="FQ10" s="56">
        <v>93.82</v>
      </c>
      <c r="FR10" s="56">
        <v>95.039000000000001</v>
      </c>
      <c r="FS10" s="56">
        <v>95.528000000000006</v>
      </c>
      <c r="FT10" s="56">
        <v>96.335999999999999</v>
      </c>
      <c r="FU10" s="56">
        <v>96.86</v>
      </c>
      <c r="FV10" s="56">
        <v>97.683000000000007</v>
      </c>
      <c r="FW10" s="56">
        <v>97.96</v>
      </c>
      <c r="FX10" s="56">
        <v>98.494</v>
      </c>
      <c r="FY10" s="56">
        <v>98.355000000000004</v>
      </c>
      <c r="FZ10" s="56">
        <v>97.266999999999996</v>
      </c>
      <c r="GA10" s="56">
        <v>97.921000000000006</v>
      </c>
      <c r="GB10" s="56">
        <v>97.936999999999998</v>
      </c>
      <c r="GC10" s="56">
        <v>97.49</v>
      </c>
      <c r="GD10" s="56">
        <v>96.588999999999999</v>
      </c>
      <c r="GE10" s="56">
        <v>97.31</v>
      </c>
      <c r="GF10" s="56">
        <v>97.668999999999997</v>
      </c>
      <c r="GG10" s="56">
        <v>98.147000000000006</v>
      </c>
      <c r="GH10" s="56">
        <v>99.114999999999995</v>
      </c>
      <c r="GI10" s="56">
        <v>99.218000000000004</v>
      </c>
      <c r="GJ10" s="56">
        <v>100.108</v>
      </c>
      <c r="GK10" s="56">
        <v>101.559</v>
      </c>
      <c r="GL10" s="56">
        <v>102.955</v>
      </c>
      <c r="GM10" s="56">
        <v>103.943</v>
      </c>
      <c r="GN10" s="56">
        <v>104.932</v>
      </c>
      <c r="GO10" s="56">
        <v>105.254</v>
      </c>
      <c r="GP10" s="56">
        <v>104.536</v>
      </c>
      <c r="GQ10" s="56">
        <v>105.249</v>
      </c>
      <c r="GR10" s="56">
        <v>105.65300000000001</v>
      </c>
      <c r="GS10" s="56">
        <v>106.367</v>
      </c>
      <c r="GT10" s="56">
        <v>107.99299999999999</v>
      </c>
      <c r="GU10" s="56">
        <v>107.90900000000001</v>
      </c>
      <c r="GV10" s="56">
        <v>109.255</v>
      </c>
      <c r="GW10" s="56">
        <v>110.767</v>
      </c>
      <c r="GX10" s="56">
        <v>113.40300000000001</v>
      </c>
      <c r="GY10" s="56">
        <v>115.55200000000001</v>
      </c>
      <c r="GZ10" s="56">
        <v>117.274</v>
      </c>
      <c r="HA10" s="56">
        <v>119.352</v>
      </c>
      <c r="HB10" s="56">
        <v>121.953</v>
      </c>
      <c r="HC10">
        <v>126.116</v>
      </c>
      <c r="HD10">
        <v>125.744</v>
      </c>
      <c r="HE10">
        <v>125.813</v>
      </c>
      <c r="HF10">
        <v>124.678</v>
      </c>
      <c r="HG10">
        <v>123.242</v>
      </c>
      <c r="HH10">
        <v>124.699</v>
      </c>
      <c r="HI10">
        <v>124.566</v>
      </c>
      <c r="HJ10">
        <v>125.85899999999999</v>
      </c>
      <c r="HK10">
        <v>126.467</v>
      </c>
      <c r="HL10">
        <v>127.15300000000001</v>
      </c>
      <c r="HM10">
        <v>127.755</v>
      </c>
      <c r="HN10">
        <v>129.255</v>
      </c>
    </row>
    <row r="11" spans="1:222" x14ac:dyDescent="0.25">
      <c r="A11" s="56" t="s">
        <v>2216</v>
      </c>
      <c r="B11" s="56">
        <v>15.584</v>
      </c>
      <c r="C11" s="56">
        <v>15.976000000000001</v>
      </c>
      <c r="D11" s="56">
        <v>16.285</v>
      </c>
      <c r="E11" s="56">
        <v>16.699000000000002</v>
      </c>
      <c r="F11" s="56">
        <v>16.98</v>
      </c>
      <c r="G11" s="56">
        <v>17.251000000000001</v>
      </c>
      <c r="H11" s="56">
        <v>17.439</v>
      </c>
      <c r="I11" s="56">
        <v>17.741</v>
      </c>
      <c r="J11" s="56">
        <v>17.968</v>
      </c>
      <c r="K11" s="56">
        <v>18.094000000000001</v>
      </c>
      <c r="L11" s="56">
        <v>18.344999999999999</v>
      </c>
      <c r="M11" s="56">
        <v>18.687999999999999</v>
      </c>
      <c r="N11" s="56">
        <v>19.047999999999998</v>
      </c>
      <c r="O11" s="56">
        <v>19.449000000000002</v>
      </c>
      <c r="P11" s="56">
        <v>19.844999999999999</v>
      </c>
      <c r="Q11" s="56">
        <v>20.378</v>
      </c>
      <c r="R11" s="56">
        <v>21.323</v>
      </c>
      <c r="S11" s="56">
        <v>22.663</v>
      </c>
      <c r="T11" s="56">
        <v>24.111000000000001</v>
      </c>
      <c r="U11" s="56">
        <v>25.113</v>
      </c>
      <c r="V11" s="56">
        <v>25.648</v>
      </c>
      <c r="W11" s="56">
        <v>25.774000000000001</v>
      </c>
      <c r="X11" s="56">
        <v>25.856000000000002</v>
      </c>
      <c r="Y11" s="56">
        <v>26.013000000000002</v>
      </c>
      <c r="Z11" s="56">
        <v>26.140999999999998</v>
      </c>
      <c r="AA11" s="56">
        <v>26.364999999999998</v>
      </c>
      <c r="AB11" s="56">
        <v>26.422999999999998</v>
      </c>
      <c r="AC11" s="56">
        <v>26.602</v>
      </c>
      <c r="AD11" s="56">
        <v>26.946000000000002</v>
      </c>
      <c r="AE11" s="56">
        <v>27.212</v>
      </c>
      <c r="AF11" s="56">
        <v>27.577999999999999</v>
      </c>
      <c r="AG11" s="56">
        <v>27.873000000000001</v>
      </c>
      <c r="AH11" s="56">
        <v>28.219000000000001</v>
      </c>
      <c r="AI11" s="56">
        <v>28.773</v>
      </c>
      <c r="AJ11" s="56">
        <v>29.324000000000002</v>
      </c>
      <c r="AK11" s="56">
        <v>29.847999999999999</v>
      </c>
      <c r="AL11" s="56">
        <v>30.463000000000001</v>
      </c>
      <c r="AM11" s="56">
        <v>31.29</v>
      </c>
      <c r="AN11" s="56">
        <v>32.204000000000001</v>
      </c>
      <c r="AO11" s="56">
        <v>33.118000000000002</v>
      </c>
      <c r="AP11" s="56">
        <v>34.021999999999998</v>
      </c>
      <c r="AQ11" s="56">
        <v>34.999000000000002</v>
      </c>
      <c r="AR11" s="56">
        <v>36.149000000000001</v>
      </c>
      <c r="AS11" s="56">
        <v>37.219000000000001</v>
      </c>
      <c r="AT11" s="56">
        <v>38.273000000000003</v>
      </c>
      <c r="AU11" s="56">
        <v>39.188000000000002</v>
      </c>
      <c r="AV11" s="56">
        <v>39.991</v>
      </c>
      <c r="AW11" s="56">
        <v>40.703000000000003</v>
      </c>
      <c r="AX11" s="56">
        <v>41.274000000000001</v>
      </c>
      <c r="AY11" s="56">
        <v>41.965000000000003</v>
      </c>
      <c r="AZ11" s="56">
        <v>42.46</v>
      </c>
      <c r="BA11" s="56">
        <v>42.567999999999998</v>
      </c>
      <c r="BB11" s="56">
        <v>42.606999999999999</v>
      </c>
      <c r="BC11" s="56">
        <v>42.55</v>
      </c>
      <c r="BD11" s="56">
        <v>42.573999999999998</v>
      </c>
      <c r="BE11" s="56">
        <v>42.561999999999998</v>
      </c>
      <c r="BF11" s="56">
        <v>42.607999999999997</v>
      </c>
      <c r="BG11" s="56">
        <v>42.759</v>
      </c>
      <c r="BH11" s="56">
        <v>42.896999999999998</v>
      </c>
      <c r="BI11" s="56">
        <v>42.984000000000002</v>
      </c>
      <c r="BJ11" s="56">
        <v>43.222999999999999</v>
      </c>
      <c r="BK11" s="56">
        <v>43.356999999999999</v>
      </c>
      <c r="BL11" s="56">
        <v>43.533999999999999</v>
      </c>
      <c r="BM11" s="56">
        <v>43.793999999999997</v>
      </c>
      <c r="BN11" s="56">
        <v>44.066000000000003</v>
      </c>
      <c r="BO11" s="56">
        <v>44.52</v>
      </c>
      <c r="BP11" s="56">
        <v>44.924999999999997</v>
      </c>
      <c r="BQ11" s="56">
        <v>45.411000000000001</v>
      </c>
      <c r="BR11" s="56">
        <v>45.701999999999998</v>
      </c>
      <c r="BS11" s="56">
        <v>46.087000000000003</v>
      </c>
      <c r="BT11" s="56">
        <v>46.497</v>
      </c>
      <c r="BU11" s="56">
        <v>46.743000000000002</v>
      </c>
      <c r="BV11" s="56">
        <v>47.119</v>
      </c>
      <c r="BW11" s="56">
        <v>47.378999999999998</v>
      </c>
      <c r="BX11" s="56">
        <v>47.685000000000002</v>
      </c>
      <c r="BY11" s="56">
        <v>47.936</v>
      </c>
      <c r="BZ11" s="56">
        <v>48.167999999999999</v>
      </c>
      <c r="CA11" s="56">
        <v>48.558999999999997</v>
      </c>
      <c r="CB11" s="56">
        <v>48.918999999999997</v>
      </c>
      <c r="CC11" s="56">
        <v>49.19</v>
      </c>
      <c r="CD11" s="56">
        <v>49.543999999999997</v>
      </c>
      <c r="CE11" s="56">
        <v>49.981000000000002</v>
      </c>
      <c r="CF11" s="56">
        <v>50.466000000000001</v>
      </c>
      <c r="CG11" s="56">
        <v>50.600999999999999</v>
      </c>
      <c r="CH11" s="56">
        <v>50.7</v>
      </c>
      <c r="CI11" s="56">
        <v>50.960999999999999</v>
      </c>
      <c r="CJ11" s="56">
        <v>51.097000000000001</v>
      </c>
      <c r="CK11" s="56">
        <v>50.969000000000001</v>
      </c>
      <c r="CL11" s="56">
        <v>50.835999999999999</v>
      </c>
      <c r="CM11" s="56">
        <v>51.076000000000001</v>
      </c>
      <c r="CN11" s="56">
        <v>51.180999999999997</v>
      </c>
      <c r="CO11" s="56">
        <v>51.414000000000001</v>
      </c>
      <c r="CP11" s="56">
        <v>51.795999999999999</v>
      </c>
      <c r="CQ11" s="56">
        <v>52.097999999999999</v>
      </c>
      <c r="CR11" s="56">
        <v>52.151000000000003</v>
      </c>
      <c r="CS11" s="56">
        <v>52.395000000000003</v>
      </c>
      <c r="CT11" s="56">
        <v>52.777000000000001</v>
      </c>
      <c r="CU11" s="56">
        <v>53.006</v>
      </c>
      <c r="CV11" s="56">
        <v>53.47</v>
      </c>
      <c r="CW11" s="56">
        <v>53.914999999999999</v>
      </c>
      <c r="CX11" s="56">
        <v>54.453000000000003</v>
      </c>
      <c r="CY11" s="56">
        <v>54.843000000000004</v>
      </c>
      <c r="CZ11" s="56">
        <v>55.145000000000003</v>
      </c>
      <c r="DA11" s="56">
        <v>55.463000000000001</v>
      </c>
      <c r="DB11" s="56">
        <v>55.761000000000003</v>
      </c>
      <c r="DC11" s="56">
        <v>55.822000000000003</v>
      </c>
      <c r="DD11" s="56">
        <v>56.1</v>
      </c>
      <c r="DE11" s="56">
        <v>56.280999999999999</v>
      </c>
      <c r="DF11" s="56">
        <v>56.598999999999997</v>
      </c>
      <c r="DG11" s="56">
        <v>56.984999999999999</v>
      </c>
      <c r="DH11" s="56">
        <v>57.13</v>
      </c>
      <c r="DI11" s="56">
        <v>57.497</v>
      </c>
      <c r="DJ11" s="56">
        <v>57.517000000000003</v>
      </c>
      <c r="DK11" s="56">
        <v>57.552</v>
      </c>
      <c r="DL11" s="56">
        <v>57.908000000000001</v>
      </c>
      <c r="DM11" s="56">
        <v>58.234000000000002</v>
      </c>
      <c r="DN11" s="56">
        <v>58.468000000000004</v>
      </c>
      <c r="DO11" s="56">
        <v>58.901000000000003</v>
      </c>
      <c r="DP11" s="56">
        <v>59.15</v>
      </c>
      <c r="DQ11" s="56">
        <v>59.654000000000003</v>
      </c>
      <c r="DR11" s="56">
        <v>60.125999999999998</v>
      </c>
      <c r="DS11" s="56">
        <v>60.811</v>
      </c>
      <c r="DT11" s="56">
        <v>61.209000000000003</v>
      </c>
      <c r="DU11" s="56">
        <v>61.569000000000003</v>
      </c>
      <c r="DV11" s="56">
        <v>61.948999999999998</v>
      </c>
      <c r="DW11" s="56">
        <v>62.107999999999997</v>
      </c>
      <c r="DX11" s="56">
        <v>62.302999999999997</v>
      </c>
      <c r="DY11" s="56">
        <v>62.637999999999998</v>
      </c>
      <c r="DZ11" s="56">
        <v>62.912999999999997</v>
      </c>
      <c r="EA11" s="56">
        <v>63.255000000000003</v>
      </c>
      <c r="EB11" s="56">
        <v>63.448999999999998</v>
      </c>
      <c r="EC11" s="56">
        <v>63.558999999999997</v>
      </c>
      <c r="ED11" s="56">
        <v>64.085999999999999</v>
      </c>
      <c r="EE11" s="56">
        <v>64.153000000000006</v>
      </c>
      <c r="EF11" s="56">
        <v>64.233999999999995</v>
      </c>
      <c r="EG11" s="56">
        <v>64.412000000000006</v>
      </c>
      <c r="EH11" s="56">
        <v>64.831000000000003</v>
      </c>
      <c r="EI11" s="56">
        <v>66.022000000000006</v>
      </c>
      <c r="EJ11" s="56">
        <v>67.8</v>
      </c>
      <c r="EK11" s="56">
        <v>69.427999999999997</v>
      </c>
      <c r="EL11" s="56">
        <v>70.015000000000001</v>
      </c>
      <c r="EM11" s="56">
        <v>71.331999999999994</v>
      </c>
      <c r="EN11" s="56">
        <v>72.921000000000006</v>
      </c>
      <c r="EO11" s="56">
        <v>73.938000000000002</v>
      </c>
      <c r="EP11" s="56">
        <v>74.397000000000006</v>
      </c>
      <c r="EQ11" s="56">
        <v>76.037000000000006</v>
      </c>
      <c r="ER11" s="56">
        <v>77.094999999999999</v>
      </c>
      <c r="ES11" s="56">
        <v>78.903000000000006</v>
      </c>
      <c r="ET11" s="56">
        <v>80.894000000000005</v>
      </c>
      <c r="EU11" s="56">
        <v>81.739999999999995</v>
      </c>
      <c r="EV11" s="56">
        <v>82.527000000000001</v>
      </c>
      <c r="EW11" s="56">
        <v>83.498000000000005</v>
      </c>
      <c r="EX11" s="56">
        <v>84.29</v>
      </c>
      <c r="EY11" s="56">
        <v>84.938000000000002</v>
      </c>
      <c r="EZ11" s="56">
        <v>86.036000000000001</v>
      </c>
      <c r="FA11" s="56">
        <v>87.611999999999995</v>
      </c>
      <c r="FB11" s="56">
        <v>88.159000000000006</v>
      </c>
      <c r="FC11" s="56">
        <v>87.385000000000005</v>
      </c>
      <c r="FD11" s="56">
        <v>86.596999999999994</v>
      </c>
      <c r="FE11" s="56">
        <v>86.53</v>
      </c>
      <c r="FF11" s="56">
        <v>86.775000000000006</v>
      </c>
      <c r="FG11" s="56">
        <v>87.153000000000006</v>
      </c>
      <c r="FH11" s="56">
        <v>87.427000000000007</v>
      </c>
      <c r="FI11" s="56">
        <v>87.82</v>
      </c>
      <c r="FJ11" s="56">
        <v>88.35</v>
      </c>
      <c r="FK11" s="56">
        <v>89.242999999999995</v>
      </c>
      <c r="FL11" s="56">
        <v>90.251999999999995</v>
      </c>
      <c r="FM11" s="56">
        <v>91.1</v>
      </c>
      <c r="FN11" s="56">
        <v>91.778000000000006</v>
      </c>
      <c r="FO11" s="56">
        <v>92.497</v>
      </c>
      <c r="FP11" s="56">
        <v>93.001999999999995</v>
      </c>
      <c r="FQ11" s="56">
        <v>93.183000000000007</v>
      </c>
      <c r="FR11" s="56">
        <v>93.552000000000007</v>
      </c>
      <c r="FS11" s="56">
        <v>94.016000000000005</v>
      </c>
      <c r="FT11" s="56">
        <v>94.519000000000005</v>
      </c>
      <c r="FU11" s="56">
        <v>95.221999999999994</v>
      </c>
      <c r="FV11" s="56">
        <v>95.751000000000005</v>
      </c>
      <c r="FW11" s="56">
        <v>96.174999999999997</v>
      </c>
      <c r="FX11" s="56">
        <v>96.62</v>
      </c>
      <c r="FY11" s="56">
        <v>96.778999999999996</v>
      </c>
      <c r="FZ11" s="56">
        <v>96.742000000000004</v>
      </c>
      <c r="GA11" s="56">
        <v>97.147999999999996</v>
      </c>
      <c r="GB11" s="56">
        <v>97.418000000000006</v>
      </c>
      <c r="GC11" s="56">
        <v>97.352999999999994</v>
      </c>
      <c r="GD11" s="56">
        <v>97.113</v>
      </c>
      <c r="GE11" s="56">
        <v>97.894000000000005</v>
      </c>
      <c r="GF11" s="56">
        <v>97.953000000000003</v>
      </c>
      <c r="GG11" s="56">
        <v>98.42</v>
      </c>
      <c r="GH11" s="56">
        <v>99.05</v>
      </c>
      <c r="GI11" s="56">
        <v>99.57</v>
      </c>
      <c r="GJ11" s="56">
        <v>100.41200000000001</v>
      </c>
      <c r="GK11" s="56">
        <v>100.968</v>
      </c>
      <c r="GL11" s="56">
        <v>101.911</v>
      </c>
      <c r="GM11" s="56">
        <v>103.214</v>
      </c>
      <c r="GN11" s="56">
        <v>103.89700000000001</v>
      </c>
      <c r="GO11" s="56">
        <v>104.94499999999999</v>
      </c>
      <c r="GP11" s="56">
        <v>105.34099999999999</v>
      </c>
      <c r="GQ11" s="56">
        <v>106.44799999999999</v>
      </c>
      <c r="GR11" s="56">
        <v>106.91200000000001</v>
      </c>
      <c r="GS11" s="56">
        <v>107.11499999999999</v>
      </c>
      <c r="GT11" s="56">
        <v>107.38500000000001</v>
      </c>
      <c r="GU11" s="56">
        <v>106.998</v>
      </c>
      <c r="GV11" s="56">
        <v>108.047</v>
      </c>
      <c r="GW11" s="56">
        <v>108.592</v>
      </c>
      <c r="GX11" s="56">
        <v>110.17700000000001</v>
      </c>
      <c r="GY11" s="56">
        <v>112.726</v>
      </c>
      <c r="GZ11" s="56">
        <v>115.161</v>
      </c>
      <c r="HA11" s="56">
        <v>118.59099999999999</v>
      </c>
      <c r="HB11" s="56">
        <v>122.117</v>
      </c>
      <c r="HC11">
        <v>126.14100000000001</v>
      </c>
      <c r="HD11">
        <v>129.05099999999999</v>
      </c>
      <c r="HE11">
        <v>130.79499999999999</v>
      </c>
      <c r="HF11">
        <v>132.404</v>
      </c>
      <c r="HG11">
        <v>132.47399999999999</v>
      </c>
      <c r="HH11">
        <v>132.66800000000001</v>
      </c>
      <c r="HI11">
        <v>133.06700000000001</v>
      </c>
      <c r="HJ11">
        <v>133.852</v>
      </c>
      <c r="HK11">
        <v>133.96299999999999</v>
      </c>
      <c r="HL11">
        <v>135.02699999999999</v>
      </c>
      <c r="HM11">
        <v>135.45599999999999</v>
      </c>
      <c r="HN11">
        <v>136.285</v>
      </c>
    </row>
    <row r="12" spans="1:222" x14ac:dyDescent="0.25">
      <c r="A12" s="56" t="s">
        <v>2217</v>
      </c>
      <c r="B12" s="56">
        <v>7</v>
      </c>
      <c r="C12" s="56">
        <v>7.2</v>
      </c>
      <c r="D12" s="56">
        <v>7.3</v>
      </c>
      <c r="E12" s="56">
        <v>7.5</v>
      </c>
      <c r="F12" s="56">
        <v>7.8</v>
      </c>
      <c r="G12" s="56">
        <v>8</v>
      </c>
      <c r="H12" s="56">
        <v>8.1</v>
      </c>
      <c r="I12" s="56">
        <v>8.3000000000000007</v>
      </c>
      <c r="J12" s="56">
        <v>8.5</v>
      </c>
      <c r="K12" s="56">
        <v>8.6999999999999993</v>
      </c>
      <c r="L12" s="56">
        <v>8.9</v>
      </c>
      <c r="M12" s="56">
        <v>9.1999999999999993</v>
      </c>
      <c r="N12" s="56">
        <v>9.5</v>
      </c>
      <c r="O12" s="56">
        <v>10</v>
      </c>
      <c r="P12" s="56">
        <v>10.5</v>
      </c>
      <c r="Q12" s="56">
        <v>11</v>
      </c>
      <c r="R12" s="56">
        <v>11.7</v>
      </c>
      <c r="S12" s="56">
        <v>12.4</v>
      </c>
      <c r="T12" s="56">
        <v>13.1</v>
      </c>
      <c r="U12" s="56">
        <v>13.8</v>
      </c>
      <c r="V12" s="56">
        <v>14.5</v>
      </c>
      <c r="W12" s="56">
        <v>15.2</v>
      </c>
      <c r="X12" s="56">
        <v>16</v>
      </c>
      <c r="Y12" s="56">
        <v>16.8</v>
      </c>
      <c r="Z12" s="56">
        <v>17.600000000000001</v>
      </c>
      <c r="AA12" s="56">
        <v>18.399999999999999</v>
      </c>
      <c r="AB12" s="56">
        <v>19.2</v>
      </c>
      <c r="AC12" s="56">
        <v>20</v>
      </c>
      <c r="AD12" s="56">
        <v>20.9</v>
      </c>
      <c r="AE12" s="56">
        <v>21.7</v>
      </c>
      <c r="AF12" s="56">
        <v>22.5</v>
      </c>
      <c r="AG12" s="56">
        <v>23.3</v>
      </c>
      <c r="AH12" s="56">
        <v>24.2</v>
      </c>
      <c r="AI12" s="56">
        <v>25</v>
      </c>
      <c r="AJ12" s="56">
        <v>26</v>
      </c>
      <c r="AK12" s="56">
        <v>27</v>
      </c>
      <c r="AL12" s="56">
        <v>28</v>
      </c>
      <c r="AM12" s="56">
        <v>29.2</v>
      </c>
      <c r="AN12" s="56">
        <v>30.5</v>
      </c>
      <c r="AO12" s="56">
        <v>32</v>
      </c>
      <c r="AP12" s="56">
        <v>33.6</v>
      </c>
      <c r="AQ12" s="56">
        <v>35.299999999999997</v>
      </c>
      <c r="AR12" s="56">
        <v>37</v>
      </c>
      <c r="AS12" s="56">
        <v>38.799999999999997</v>
      </c>
      <c r="AT12" s="56">
        <v>40.700000000000003</v>
      </c>
      <c r="AU12" s="56">
        <v>42.6</v>
      </c>
      <c r="AV12" s="56">
        <v>44.4</v>
      </c>
      <c r="AW12" s="56">
        <v>46.3</v>
      </c>
      <c r="AX12" s="56">
        <v>48.2</v>
      </c>
      <c r="AY12" s="56">
        <v>50.1</v>
      </c>
      <c r="AZ12" s="56">
        <v>51.8</v>
      </c>
      <c r="BA12" s="56">
        <v>53.6</v>
      </c>
      <c r="BB12" s="56">
        <v>55.2</v>
      </c>
      <c r="BC12" s="56">
        <v>56.9</v>
      </c>
      <c r="BD12" s="56">
        <v>58.7</v>
      </c>
      <c r="BE12" s="56">
        <v>60.4</v>
      </c>
      <c r="BF12" s="56">
        <v>62.5</v>
      </c>
      <c r="BG12" s="56">
        <v>64.099999999999994</v>
      </c>
      <c r="BH12" s="56">
        <v>65.599999999999994</v>
      </c>
      <c r="BI12" s="56">
        <v>66.900000000000006</v>
      </c>
      <c r="BJ12" s="56">
        <v>67.900000000000006</v>
      </c>
      <c r="BK12" s="56">
        <v>69.099999999999994</v>
      </c>
      <c r="BL12" s="56">
        <v>70.3</v>
      </c>
      <c r="BM12" s="56">
        <v>71.599999999999994</v>
      </c>
      <c r="BN12" s="56">
        <v>73</v>
      </c>
      <c r="BO12" s="56">
        <v>74.5</v>
      </c>
      <c r="BP12" s="56">
        <v>76</v>
      </c>
      <c r="BQ12" s="56">
        <v>77.599999999999994</v>
      </c>
      <c r="BR12" s="56">
        <v>79.599999999999994</v>
      </c>
      <c r="BS12" s="56">
        <v>81.099999999999994</v>
      </c>
      <c r="BT12" s="56">
        <v>82.3</v>
      </c>
      <c r="BU12" s="56">
        <v>83.3</v>
      </c>
      <c r="BV12" s="56">
        <v>83.4</v>
      </c>
      <c r="BW12" s="56">
        <v>85</v>
      </c>
      <c r="BX12" s="56">
        <v>87</v>
      </c>
      <c r="BY12" s="56">
        <v>89.7</v>
      </c>
      <c r="BZ12" s="56">
        <v>93.8</v>
      </c>
      <c r="CA12" s="56">
        <v>96.9</v>
      </c>
      <c r="CB12" s="56">
        <v>99.7</v>
      </c>
      <c r="CC12" s="56">
        <v>102.3</v>
      </c>
      <c r="CD12" s="56">
        <v>104.3</v>
      </c>
      <c r="CE12" s="56">
        <v>106.5</v>
      </c>
      <c r="CF12" s="56">
        <v>108.7</v>
      </c>
      <c r="CG12" s="56">
        <v>111</v>
      </c>
      <c r="CH12" s="56">
        <v>112.9</v>
      </c>
      <c r="CI12" s="56">
        <v>115.7</v>
      </c>
      <c r="CJ12" s="56">
        <v>118.9</v>
      </c>
      <c r="CK12" s="56">
        <v>122.5</v>
      </c>
      <c r="CL12" s="56">
        <v>127.2</v>
      </c>
      <c r="CM12" s="56">
        <v>131</v>
      </c>
      <c r="CN12" s="56">
        <v>134.5</v>
      </c>
      <c r="CO12" s="56">
        <v>137.69999999999999</v>
      </c>
      <c r="CP12" s="56">
        <v>143.4</v>
      </c>
      <c r="CQ12" s="56">
        <v>144.69999999999999</v>
      </c>
      <c r="CR12" s="56">
        <v>147.5</v>
      </c>
      <c r="CS12" s="56">
        <v>151.6</v>
      </c>
      <c r="CT12" s="56">
        <v>156.9</v>
      </c>
      <c r="CU12" s="56">
        <v>162.19999999999999</v>
      </c>
      <c r="CV12" s="56">
        <v>167.1</v>
      </c>
      <c r="CW12" s="56">
        <v>171.6</v>
      </c>
      <c r="CX12" s="56">
        <v>175.7</v>
      </c>
      <c r="CY12" s="56">
        <v>179.6</v>
      </c>
      <c r="CZ12" s="56">
        <v>183.2</v>
      </c>
      <c r="DA12" s="56">
        <v>186.5</v>
      </c>
      <c r="DB12" s="56">
        <v>189.6</v>
      </c>
      <c r="DC12" s="56">
        <v>192.9</v>
      </c>
      <c r="DD12" s="56">
        <v>196.5</v>
      </c>
      <c r="DE12" s="56">
        <v>200.4</v>
      </c>
      <c r="DF12" s="56">
        <v>204.4</v>
      </c>
      <c r="DG12" s="56">
        <v>207.1</v>
      </c>
      <c r="DH12" s="56">
        <v>208.3</v>
      </c>
      <c r="DI12" s="56">
        <v>207.9</v>
      </c>
      <c r="DJ12" s="56">
        <v>206.4</v>
      </c>
      <c r="DK12" s="56">
        <v>205.3</v>
      </c>
      <c r="DL12" s="56">
        <v>205</v>
      </c>
      <c r="DM12" s="56">
        <v>205.5</v>
      </c>
      <c r="DN12" s="56">
        <v>206.6</v>
      </c>
      <c r="DO12" s="56">
        <v>207.9</v>
      </c>
      <c r="DP12" s="56">
        <v>209.4</v>
      </c>
      <c r="DQ12" s="56">
        <v>211</v>
      </c>
      <c r="DR12" s="56">
        <v>213</v>
      </c>
      <c r="DS12" s="56">
        <v>216.1</v>
      </c>
      <c r="DT12" s="56">
        <v>220.7</v>
      </c>
      <c r="DU12" s="56">
        <v>226.7</v>
      </c>
      <c r="DV12" s="56">
        <v>233.8</v>
      </c>
      <c r="DW12" s="56">
        <v>240.4</v>
      </c>
      <c r="DX12" s="56">
        <v>245.8</v>
      </c>
      <c r="DY12" s="56">
        <v>250.3</v>
      </c>
      <c r="DZ12" s="56">
        <v>254.1</v>
      </c>
      <c r="EA12" s="56">
        <v>257.89999999999998</v>
      </c>
      <c r="EB12" s="56">
        <v>261.60000000000002</v>
      </c>
      <c r="EC12" s="56">
        <v>265.2</v>
      </c>
      <c r="ED12" s="56">
        <v>268.89999999999998</v>
      </c>
      <c r="EE12" s="56">
        <v>273.39999999999998</v>
      </c>
      <c r="EF12" s="56">
        <v>279</v>
      </c>
      <c r="EG12" s="56">
        <v>285.5</v>
      </c>
      <c r="EH12" s="56">
        <v>293</v>
      </c>
      <c r="EI12" s="56">
        <v>300.39999999999998</v>
      </c>
      <c r="EJ12" s="56">
        <v>308.60000000000002</v>
      </c>
      <c r="EK12" s="56">
        <v>315.39999999999998</v>
      </c>
      <c r="EL12" s="56">
        <v>323.2</v>
      </c>
      <c r="EM12" s="56">
        <v>329.2</v>
      </c>
      <c r="EN12" s="56">
        <v>335.1</v>
      </c>
      <c r="EO12" s="56">
        <v>341</v>
      </c>
      <c r="EP12" s="56">
        <v>389.6</v>
      </c>
      <c r="EQ12" s="56">
        <v>395.6</v>
      </c>
      <c r="ER12" s="56">
        <v>402.1</v>
      </c>
      <c r="ES12" s="56">
        <v>409.1</v>
      </c>
      <c r="ET12" s="56">
        <v>416.4</v>
      </c>
      <c r="EU12" s="56">
        <v>424.1</v>
      </c>
      <c r="EV12" s="56">
        <v>432</v>
      </c>
      <c r="EW12" s="56">
        <v>440.3</v>
      </c>
      <c r="EX12" s="56">
        <v>448.8</v>
      </c>
      <c r="EY12" s="56">
        <v>457.3</v>
      </c>
      <c r="EZ12" s="56">
        <v>465.9</v>
      </c>
      <c r="FA12" s="56">
        <v>474.5</v>
      </c>
      <c r="FB12" s="56">
        <v>482.9</v>
      </c>
      <c r="FC12" s="56">
        <v>490.4</v>
      </c>
      <c r="FD12" s="56">
        <v>496.7</v>
      </c>
      <c r="FE12" s="56">
        <v>501.8</v>
      </c>
      <c r="FF12" s="56">
        <v>506</v>
      </c>
      <c r="FG12" s="56">
        <v>510.5</v>
      </c>
      <c r="FH12" s="56">
        <v>515.70000000000005</v>
      </c>
      <c r="FI12" s="56">
        <v>521.4</v>
      </c>
      <c r="FJ12" s="56">
        <v>527.6</v>
      </c>
      <c r="FK12" s="56">
        <v>533.4</v>
      </c>
      <c r="FL12" s="56">
        <v>538.5</v>
      </c>
      <c r="FM12" s="56">
        <v>542.9</v>
      </c>
      <c r="FN12" s="56">
        <v>547</v>
      </c>
      <c r="FO12" s="56">
        <v>551.6</v>
      </c>
      <c r="FP12" s="56">
        <v>557.1</v>
      </c>
      <c r="FQ12" s="56">
        <v>563.4</v>
      </c>
      <c r="FR12" s="56">
        <v>570.29999999999995</v>
      </c>
      <c r="FS12" s="56">
        <v>567.1</v>
      </c>
      <c r="FT12" s="56">
        <v>573.70000000000005</v>
      </c>
      <c r="FU12" s="56">
        <v>580.20000000000005</v>
      </c>
      <c r="FV12" s="56">
        <v>587.5</v>
      </c>
      <c r="FW12" s="56">
        <v>595.6</v>
      </c>
      <c r="FX12" s="56">
        <v>604</v>
      </c>
      <c r="FY12" s="56">
        <v>612.79999999999995</v>
      </c>
      <c r="FZ12" s="56">
        <v>622.4</v>
      </c>
      <c r="GA12" s="56">
        <v>631.5</v>
      </c>
      <c r="GB12" s="56">
        <v>639.5</v>
      </c>
      <c r="GC12" s="56">
        <v>646.4</v>
      </c>
      <c r="GD12" s="56">
        <v>652.4</v>
      </c>
      <c r="GE12" s="56">
        <v>658.6</v>
      </c>
      <c r="GF12" s="56">
        <v>665.2</v>
      </c>
      <c r="GG12" s="56">
        <v>672.2</v>
      </c>
      <c r="GH12" s="56">
        <v>678.5</v>
      </c>
      <c r="GI12" s="56">
        <v>687.4</v>
      </c>
      <c r="GJ12" s="56">
        <v>696.3</v>
      </c>
      <c r="GK12" s="56">
        <v>705.1</v>
      </c>
      <c r="GL12" s="56">
        <v>714.4</v>
      </c>
      <c r="GM12" s="56">
        <v>725.7</v>
      </c>
      <c r="GN12" s="56">
        <v>739.2</v>
      </c>
      <c r="GO12" s="56">
        <v>755</v>
      </c>
      <c r="GP12" s="56">
        <v>773.5</v>
      </c>
      <c r="GQ12" s="56">
        <v>788.5</v>
      </c>
      <c r="GR12" s="56">
        <v>798</v>
      </c>
      <c r="GS12" s="56">
        <v>802</v>
      </c>
      <c r="GT12" s="56">
        <v>801.9</v>
      </c>
      <c r="GU12" s="56">
        <v>814.3</v>
      </c>
      <c r="GV12" s="56">
        <v>826.6</v>
      </c>
      <c r="GW12" s="56">
        <v>838.8</v>
      </c>
      <c r="GX12" s="56">
        <v>854.9</v>
      </c>
      <c r="GY12" s="56">
        <v>871.2</v>
      </c>
      <c r="GZ12" s="56">
        <v>887.1</v>
      </c>
      <c r="HA12" s="56">
        <v>902.4</v>
      </c>
      <c r="HB12" s="56">
        <v>917.6</v>
      </c>
      <c r="HC12">
        <v>926.6</v>
      </c>
      <c r="HD12">
        <v>937.4</v>
      </c>
      <c r="HE12">
        <v>958.5</v>
      </c>
      <c r="HF12">
        <v>981.1</v>
      </c>
      <c r="HG12">
        <v>1001.8</v>
      </c>
      <c r="HH12">
        <v>1019.9</v>
      </c>
      <c r="HI12">
        <v>1035.3</v>
      </c>
      <c r="HJ12">
        <v>1049.2</v>
      </c>
      <c r="HK12">
        <v>1067.0999999999999</v>
      </c>
      <c r="HL12">
        <v>1090.2</v>
      </c>
      <c r="HM12">
        <v>1118.5</v>
      </c>
      <c r="HN12">
        <v>1150.3</v>
      </c>
    </row>
    <row r="13" spans="1:222" x14ac:dyDescent="0.25">
      <c r="A13" s="56" t="s">
        <v>2218</v>
      </c>
      <c r="B13" s="56">
        <v>5</v>
      </c>
      <c r="C13" s="56">
        <v>5.3</v>
      </c>
      <c r="D13" s="56">
        <v>5.6</v>
      </c>
      <c r="E13" s="56">
        <v>5.9</v>
      </c>
      <c r="F13" s="56">
        <v>6.2</v>
      </c>
      <c r="G13" s="56">
        <v>6.6</v>
      </c>
      <c r="H13" s="56">
        <v>6.9</v>
      </c>
      <c r="I13" s="56">
        <v>7.3</v>
      </c>
      <c r="J13" s="56">
        <v>7.8</v>
      </c>
      <c r="K13" s="56">
        <v>8</v>
      </c>
      <c r="L13" s="56">
        <v>8.6</v>
      </c>
      <c r="M13" s="56">
        <v>8.5</v>
      </c>
      <c r="N13" s="56">
        <v>9</v>
      </c>
      <c r="O13" s="56">
        <v>9.6</v>
      </c>
      <c r="P13" s="56">
        <v>9.6999999999999993</v>
      </c>
      <c r="Q13" s="56">
        <v>10.1</v>
      </c>
      <c r="R13" s="56">
        <v>10.199999999999999</v>
      </c>
      <c r="S13" s="56">
        <v>11.1</v>
      </c>
      <c r="T13" s="56">
        <v>11.4</v>
      </c>
      <c r="U13" s="56">
        <v>12</v>
      </c>
      <c r="V13" s="56">
        <v>13.3</v>
      </c>
      <c r="W13" s="56">
        <v>13.8</v>
      </c>
      <c r="X13" s="56">
        <v>13.8</v>
      </c>
      <c r="Y13" s="56">
        <v>14.6</v>
      </c>
      <c r="Z13" s="56">
        <v>15.2</v>
      </c>
      <c r="AA13" s="56">
        <v>14.9</v>
      </c>
      <c r="AB13" s="56">
        <v>15.9</v>
      </c>
      <c r="AC13" s="56">
        <v>15.9</v>
      </c>
      <c r="AD13" s="56">
        <v>16.2</v>
      </c>
      <c r="AE13" s="56">
        <v>17.5</v>
      </c>
      <c r="AF13" s="56">
        <v>16.7</v>
      </c>
      <c r="AG13" s="56">
        <v>16.5</v>
      </c>
      <c r="AH13" s="56">
        <v>17.5</v>
      </c>
      <c r="AI13" s="56">
        <v>18.600000000000001</v>
      </c>
      <c r="AJ13" s="56">
        <v>18.899999999999999</v>
      </c>
      <c r="AK13" s="56">
        <v>19.5</v>
      </c>
      <c r="AL13" s="56">
        <v>20</v>
      </c>
      <c r="AM13" s="56">
        <v>20.8</v>
      </c>
      <c r="AN13" s="56">
        <v>21.1</v>
      </c>
      <c r="AO13" s="56">
        <v>22.4</v>
      </c>
      <c r="AP13" s="56">
        <v>23.4</v>
      </c>
      <c r="AQ13" s="56">
        <v>22.2</v>
      </c>
      <c r="AR13" s="56">
        <v>24.2</v>
      </c>
      <c r="AS13" s="56">
        <v>25.6</v>
      </c>
      <c r="AT13" s="56">
        <v>26.5</v>
      </c>
      <c r="AU13" s="56">
        <v>28.1</v>
      </c>
      <c r="AV13" s="56">
        <v>28.3</v>
      </c>
      <c r="AW13" s="56">
        <v>28</v>
      </c>
      <c r="AX13" s="56">
        <v>28.8</v>
      </c>
      <c r="AY13" s="56">
        <v>30.2</v>
      </c>
      <c r="AZ13" s="56">
        <v>30.8</v>
      </c>
      <c r="BA13" s="56">
        <v>30.8</v>
      </c>
      <c r="BB13" s="56">
        <v>33.200000000000003</v>
      </c>
      <c r="BC13" s="56">
        <v>33.4</v>
      </c>
      <c r="BD13" s="56">
        <v>34</v>
      </c>
      <c r="BE13" s="56">
        <v>34.9</v>
      </c>
      <c r="BF13" s="56">
        <v>35.700000000000003</v>
      </c>
      <c r="BG13" s="56">
        <v>36.200000000000003</v>
      </c>
      <c r="BH13" s="56">
        <v>36.799999999999997</v>
      </c>
      <c r="BI13" s="56">
        <v>37.6</v>
      </c>
      <c r="BJ13" s="56">
        <v>38.4</v>
      </c>
      <c r="BK13" s="56">
        <v>39.200000000000003</v>
      </c>
      <c r="BL13" s="56">
        <v>40.1</v>
      </c>
      <c r="BM13" s="56">
        <v>41.1</v>
      </c>
      <c r="BN13" s="56">
        <v>42.1</v>
      </c>
      <c r="BO13" s="56">
        <v>43.1</v>
      </c>
      <c r="BP13" s="56">
        <v>44.1</v>
      </c>
      <c r="BQ13" s="56">
        <v>45.2</v>
      </c>
      <c r="BR13" s="56">
        <v>46.2</v>
      </c>
      <c r="BS13" s="56">
        <v>47.3</v>
      </c>
      <c r="BT13" s="56">
        <v>48.4</v>
      </c>
      <c r="BU13" s="56">
        <v>49.4</v>
      </c>
      <c r="BV13" s="56">
        <v>50.9</v>
      </c>
      <c r="BW13" s="56">
        <v>52.2</v>
      </c>
      <c r="BX13" s="56">
        <v>53.7</v>
      </c>
      <c r="BY13" s="56">
        <v>55.4</v>
      </c>
      <c r="BZ13" s="56">
        <v>57.4</v>
      </c>
      <c r="CA13" s="56">
        <v>59.6</v>
      </c>
      <c r="CB13" s="56">
        <v>61.9</v>
      </c>
      <c r="CC13" s="56">
        <v>64.400000000000006</v>
      </c>
      <c r="CD13" s="56">
        <v>66.599999999999994</v>
      </c>
      <c r="CE13" s="56">
        <v>70.3</v>
      </c>
      <c r="CF13" s="56">
        <v>74.900000000000006</v>
      </c>
      <c r="CG13" s="56">
        <v>80.7</v>
      </c>
      <c r="CH13" s="56">
        <v>83.7</v>
      </c>
      <c r="CI13" s="56">
        <v>93.1</v>
      </c>
      <c r="CJ13" s="56">
        <v>98.4</v>
      </c>
      <c r="CK13" s="56">
        <v>112.5</v>
      </c>
      <c r="CL13" s="56">
        <v>108.3</v>
      </c>
      <c r="CM13" s="56">
        <v>115.4</v>
      </c>
      <c r="CN13" s="56">
        <v>120.6</v>
      </c>
      <c r="CO13" s="56">
        <v>120.8</v>
      </c>
      <c r="CP13" s="56">
        <v>124.4</v>
      </c>
      <c r="CQ13" s="56">
        <v>124.8</v>
      </c>
      <c r="CR13" s="56">
        <v>135.19999999999999</v>
      </c>
      <c r="CS13" s="56">
        <v>136</v>
      </c>
      <c r="CT13" s="56">
        <v>136.6</v>
      </c>
      <c r="CU13" s="56">
        <v>137.1</v>
      </c>
      <c r="CV13" s="56">
        <v>136.19999999999999</v>
      </c>
      <c r="CW13" s="56">
        <v>147.80000000000001</v>
      </c>
      <c r="CX13" s="56">
        <v>152.5</v>
      </c>
      <c r="CY13" s="56">
        <v>152.5</v>
      </c>
      <c r="CZ13" s="56">
        <v>152.69999999999999</v>
      </c>
      <c r="DA13" s="56">
        <v>140.69999999999999</v>
      </c>
      <c r="DB13" s="56">
        <v>151.30000000000001</v>
      </c>
      <c r="DC13" s="56">
        <v>165.8</v>
      </c>
      <c r="DD13" s="56">
        <v>158.80000000000001</v>
      </c>
      <c r="DE13" s="56">
        <v>156.9</v>
      </c>
      <c r="DF13" s="56">
        <v>161.4</v>
      </c>
      <c r="DG13" s="56">
        <v>159.4</v>
      </c>
      <c r="DH13" s="56">
        <v>163.69999999999999</v>
      </c>
      <c r="DI13" s="56">
        <v>168</v>
      </c>
      <c r="DJ13" s="56">
        <v>167.2</v>
      </c>
      <c r="DK13" s="56">
        <v>170</v>
      </c>
      <c r="DL13" s="56">
        <v>168.1</v>
      </c>
      <c r="DM13" s="56">
        <v>175.4</v>
      </c>
      <c r="DN13" s="56">
        <v>181.1</v>
      </c>
      <c r="DO13" s="56">
        <v>179.1</v>
      </c>
      <c r="DP13" s="56">
        <v>186.7</v>
      </c>
      <c r="DQ13" s="56">
        <v>191.3</v>
      </c>
      <c r="DR13" s="56">
        <v>190.2</v>
      </c>
      <c r="DS13" s="56">
        <v>198.3</v>
      </c>
      <c r="DT13" s="56">
        <v>204.8</v>
      </c>
      <c r="DU13" s="56">
        <v>204.8</v>
      </c>
      <c r="DV13" s="56">
        <v>215</v>
      </c>
      <c r="DW13" s="56">
        <v>230.1</v>
      </c>
      <c r="DX13" s="56">
        <v>217.4</v>
      </c>
      <c r="DY13" s="56">
        <v>246.5</v>
      </c>
      <c r="DZ13" s="56">
        <v>244.9</v>
      </c>
      <c r="EA13" s="56">
        <v>243.8</v>
      </c>
      <c r="EB13" s="56">
        <v>251.1</v>
      </c>
      <c r="EC13" s="56">
        <v>260.3</v>
      </c>
      <c r="ED13" s="56">
        <v>260.7</v>
      </c>
      <c r="EE13" s="56">
        <v>260.10000000000002</v>
      </c>
      <c r="EF13" s="56">
        <v>271.7</v>
      </c>
      <c r="EG13" s="56">
        <v>265.7</v>
      </c>
      <c r="EH13" s="56">
        <v>283.39999999999998</v>
      </c>
      <c r="EI13" s="56">
        <v>293</v>
      </c>
      <c r="EJ13" s="56">
        <v>288.3</v>
      </c>
      <c r="EK13" s="56">
        <v>294.5</v>
      </c>
      <c r="EL13" s="56">
        <v>301.3</v>
      </c>
      <c r="EM13" s="56">
        <v>310.8</v>
      </c>
      <c r="EN13" s="56">
        <v>300.10000000000002</v>
      </c>
      <c r="EO13" s="56">
        <v>305.39999999999998</v>
      </c>
      <c r="EP13" s="56">
        <v>291.3</v>
      </c>
      <c r="EQ13" s="56">
        <v>294.89999999999998</v>
      </c>
      <c r="ER13" s="56">
        <v>308.7</v>
      </c>
      <c r="ES13" s="56">
        <v>301.39999999999998</v>
      </c>
      <c r="ET13" s="56">
        <v>332.5</v>
      </c>
      <c r="EU13" s="56">
        <v>314.7</v>
      </c>
      <c r="EV13" s="56">
        <v>319.60000000000002</v>
      </c>
      <c r="EW13" s="56">
        <v>329.9</v>
      </c>
      <c r="EX13" s="56">
        <v>331.6</v>
      </c>
      <c r="EY13" s="56">
        <v>339.2</v>
      </c>
      <c r="EZ13" s="56">
        <v>340.8</v>
      </c>
      <c r="FA13" s="56">
        <v>341.8</v>
      </c>
      <c r="FB13" s="56">
        <v>358.4</v>
      </c>
      <c r="FC13" s="56">
        <v>368.9</v>
      </c>
      <c r="FD13" s="56">
        <v>378.2</v>
      </c>
      <c r="FE13" s="56">
        <v>372.8</v>
      </c>
      <c r="FF13" s="56">
        <v>382.1</v>
      </c>
      <c r="FG13" s="56">
        <v>385.7</v>
      </c>
      <c r="FH13" s="56">
        <v>405.6</v>
      </c>
      <c r="FI13" s="56">
        <v>414.1</v>
      </c>
      <c r="FJ13" s="56">
        <v>418.8</v>
      </c>
      <c r="FK13" s="56">
        <v>409.7</v>
      </c>
      <c r="FL13" s="56">
        <v>396.4</v>
      </c>
      <c r="FM13" s="56">
        <v>399.3</v>
      </c>
      <c r="FN13" s="56">
        <v>400.6</v>
      </c>
      <c r="FO13" s="56">
        <v>421.7</v>
      </c>
      <c r="FP13" s="56">
        <v>419</v>
      </c>
      <c r="FQ13" s="56">
        <v>428.9</v>
      </c>
      <c r="FR13" s="56">
        <v>424.8</v>
      </c>
      <c r="FS13" s="56">
        <v>438.4</v>
      </c>
      <c r="FT13" s="56">
        <v>448.2</v>
      </c>
      <c r="FU13" s="56">
        <v>448.6</v>
      </c>
      <c r="FV13" s="56">
        <v>459.5</v>
      </c>
      <c r="FW13" s="56">
        <v>481.5</v>
      </c>
      <c r="FX13" s="56">
        <v>507.2</v>
      </c>
      <c r="FY13" s="56">
        <v>515.29999999999995</v>
      </c>
      <c r="FZ13" s="56">
        <v>523.6</v>
      </c>
      <c r="GA13" s="56">
        <v>537.9</v>
      </c>
      <c r="GB13" s="56">
        <v>540.4</v>
      </c>
      <c r="GC13" s="56">
        <v>541.79999999999995</v>
      </c>
      <c r="GD13" s="56">
        <v>550.5</v>
      </c>
      <c r="GE13" s="56">
        <v>558.79999999999995</v>
      </c>
      <c r="GF13" s="56">
        <v>566.5</v>
      </c>
      <c r="GG13" s="56">
        <v>575.29999999999995</v>
      </c>
      <c r="GH13" s="56">
        <v>572.4</v>
      </c>
      <c r="GI13" s="56">
        <v>567.9</v>
      </c>
      <c r="GJ13" s="56">
        <v>578.79999999999995</v>
      </c>
      <c r="GK13" s="56">
        <v>575.79999999999995</v>
      </c>
      <c r="GL13" s="56">
        <v>581.9</v>
      </c>
      <c r="GM13" s="56">
        <v>592.6</v>
      </c>
      <c r="GN13" s="56">
        <v>595</v>
      </c>
      <c r="GO13" s="56">
        <v>589.5</v>
      </c>
      <c r="GP13" s="56">
        <v>598.70000000000005</v>
      </c>
      <c r="GQ13" s="56">
        <v>614.4</v>
      </c>
      <c r="GR13" s="56">
        <v>622.4</v>
      </c>
      <c r="GS13" s="56">
        <v>620.6</v>
      </c>
      <c r="GT13" s="56">
        <v>606.5</v>
      </c>
      <c r="GU13" s="56">
        <v>654.6</v>
      </c>
      <c r="GV13" s="56">
        <v>690.8</v>
      </c>
      <c r="GW13" s="56">
        <v>678.6</v>
      </c>
      <c r="GX13" s="56">
        <v>704.9</v>
      </c>
      <c r="GY13" s="56">
        <v>745.6</v>
      </c>
      <c r="GZ13" s="56">
        <v>749.2</v>
      </c>
      <c r="HA13" s="56">
        <v>746.3</v>
      </c>
      <c r="HB13" s="56">
        <v>791.9</v>
      </c>
      <c r="HC13">
        <v>819.2</v>
      </c>
      <c r="HD13">
        <v>819</v>
      </c>
      <c r="HE13">
        <v>827.5</v>
      </c>
      <c r="HF13">
        <v>877.6</v>
      </c>
      <c r="HG13">
        <v>911.6</v>
      </c>
      <c r="HH13">
        <v>867.2</v>
      </c>
      <c r="HI13">
        <v>856.2</v>
      </c>
      <c r="HJ13">
        <v>904.8</v>
      </c>
      <c r="HK13">
        <v>924.7</v>
      </c>
      <c r="HL13">
        <v>932.4</v>
      </c>
      <c r="HM13">
        <v>944.8</v>
      </c>
      <c r="HN13">
        <v>966.6</v>
      </c>
    </row>
    <row r="14" spans="1:222" x14ac:dyDescent="0.25">
      <c r="A14" s="56" t="s">
        <v>2219</v>
      </c>
      <c r="B14" s="56">
        <v>2.9</v>
      </c>
      <c r="C14" s="56">
        <v>3.9</v>
      </c>
      <c r="D14" s="56">
        <v>4.5999999999999996</v>
      </c>
      <c r="E14" s="56">
        <v>5.4</v>
      </c>
      <c r="F14" s="56">
        <v>5.7</v>
      </c>
      <c r="G14" s="56">
        <v>6.3</v>
      </c>
      <c r="H14" s="56">
        <v>6.3</v>
      </c>
      <c r="I14" s="56">
        <v>6.3</v>
      </c>
      <c r="J14" s="56">
        <v>6.5</v>
      </c>
      <c r="K14" s="56">
        <v>6.9</v>
      </c>
      <c r="L14" s="56">
        <v>5.8</v>
      </c>
      <c r="M14" s="56">
        <v>5</v>
      </c>
      <c r="N14" s="56">
        <v>4.5999999999999996</v>
      </c>
      <c r="O14" s="56">
        <v>4.5</v>
      </c>
      <c r="P14" s="56">
        <v>4.5</v>
      </c>
      <c r="Q14" s="56">
        <v>4.7</v>
      </c>
      <c r="R14" s="56">
        <v>5.8</v>
      </c>
      <c r="S14" s="56">
        <v>6.7</v>
      </c>
      <c r="T14" s="56">
        <v>6.9</v>
      </c>
      <c r="U14" s="56">
        <v>8.6</v>
      </c>
      <c r="V14" s="56">
        <v>14.2</v>
      </c>
      <c r="W14" s="56">
        <v>19.399999999999999</v>
      </c>
      <c r="X14" s="56">
        <v>20.2</v>
      </c>
      <c r="Y14" s="56">
        <v>18.8</v>
      </c>
      <c r="Z14" s="56">
        <v>17.7</v>
      </c>
      <c r="AA14" s="56">
        <v>16.3</v>
      </c>
      <c r="AB14" s="56">
        <v>16.100000000000001</v>
      </c>
      <c r="AC14" s="56">
        <v>15.5</v>
      </c>
      <c r="AD14" s="56">
        <v>15.5</v>
      </c>
      <c r="AE14" s="56">
        <v>13.3</v>
      </c>
      <c r="AF14" s="56">
        <v>11.9</v>
      </c>
      <c r="AG14" s="56">
        <v>11.8</v>
      </c>
      <c r="AH14" s="56">
        <v>10.8</v>
      </c>
      <c r="AI14" s="56">
        <v>9.4</v>
      </c>
      <c r="AJ14" s="56">
        <v>9</v>
      </c>
      <c r="AK14" s="56">
        <v>8.5</v>
      </c>
      <c r="AL14" s="56">
        <v>9.4</v>
      </c>
      <c r="AM14" s="56">
        <v>9.1999999999999993</v>
      </c>
      <c r="AN14" s="56">
        <v>9.6</v>
      </c>
      <c r="AO14" s="56">
        <v>10.6</v>
      </c>
      <c r="AP14" s="56">
        <v>12</v>
      </c>
      <c r="AQ14" s="56">
        <v>15.7</v>
      </c>
      <c r="AR14" s="56">
        <v>19</v>
      </c>
      <c r="AS14" s="56">
        <v>17.8</v>
      </c>
      <c r="AT14" s="56">
        <v>16.399999999999999</v>
      </c>
      <c r="AU14" s="56">
        <v>15.5</v>
      </c>
      <c r="AV14" s="56">
        <v>15</v>
      </c>
      <c r="AW14" s="56">
        <v>16.600000000000001</v>
      </c>
      <c r="AX14" s="56">
        <v>19.100000000000001</v>
      </c>
      <c r="AY14" s="56">
        <v>23.9</v>
      </c>
      <c r="AZ14" s="56">
        <v>26.1</v>
      </c>
      <c r="BA14" s="56">
        <v>31.8</v>
      </c>
      <c r="BB14" s="56">
        <v>30.3</v>
      </c>
      <c r="BC14" s="56">
        <v>32.1</v>
      </c>
      <c r="BD14" s="56">
        <v>23.3</v>
      </c>
      <c r="BE14" s="56">
        <v>20</v>
      </c>
      <c r="BF14" s="56">
        <v>17.3</v>
      </c>
      <c r="BG14" s="56">
        <v>15.7</v>
      </c>
      <c r="BH14" s="56">
        <v>15.1</v>
      </c>
      <c r="BI14" s="56">
        <v>15.9</v>
      </c>
      <c r="BJ14" s="56">
        <v>16.899999999999999</v>
      </c>
      <c r="BK14" s="56">
        <v>16</v>
      </c>
      <c r="BL14" s="56">
        <v>15</v>
      </c>
      <c r="BM14" s="56">
        <v>15.6</v>
      </c>
      <c r="BN14" s="56">
        <v>15.6</v>
      </c>
      <c r="BO14" s="56">
        <v>16.399999999999999</v>
      </c>
      <c r="BP14" s="56">
        <v>17</v>
      </c>
      <c r="BQ14" s="56">
        <v>16.899999999999999</v>
      </c>
      <c r="BR14" s="56">
        <v>15.5</v>
      </c>
      <c r="BS14" s="56">
        <v>15.1</v>
      </c>
      <c r="BT14" s="56">
        <v>14.4</v>
      </c>
      <c r="BU14" s="56">
        <v>13.5</v>
      </c>
      <c r="BV14" s="56">
        <v>13.9</v>
      </c>
      <c r="BW14" s="56">
        <v>13.2</v>
      </c>
      <c r="BX14" s="56">
        <v>13.2</v>
      </c>
      <c r="BY14" s="56">
        <v>13</v>
      </c>
      <c r="BZ14" s="56">
        <v>13.6</v>
      </c>
      <c r="CA14" s="56">
        <v>13.7</v>
      </c>
      <c r="CB14" s="56">
        <v>14.6</v>
      </c>
      <c r="CC14" s="56">
        <v>15.8</v>
      </c>
      <c r="CD14" s="56">
        <v>16.399999999999999</v>
      </c>
      <c r="CE14" s="56">
        <v>17.100000000000001</v>
      </c>
      <c r="CF14" s="56">
        <v>18.2</v>
      </c>
      <c r="CG14" s="56">
        <v>21</v>
      </c>
      <c r="CH14" s="56">
        <v>24.3</v>
      </c>
      <c r="CI14" s="56">
        <v>27.5</v>
      </c>
      <c r="CJ14" s="56">
        <v>25.9</v>
      </c>
      <c r="CK14" s="56">
        <v>29.4</v>
      </c>
      <c r="CL14" s="56">
        <v>39.700000000000003</v>
      </c>
      <c r="CM14" s="56">
        <v>41.2</v>
      </c>
      <c r="CN14" s="56">
        <v>39.6</v>
      </c>
      <c r="CO14" s="56">
        <v>38</v>
      </c>
      <c r="CP14" s="56">
        <v>35.1</v>
      </c>
      <c r="CQ14" s="56">
        <v>35.5</v>
      </c>
      <c r="CR14" s="56">
        <v>35.5</v>
      </c>
      <c r="CS14" s="56">
        <v>33.200000000000003</v>
      </c>
      <c r="CT14" s="56">
        <v>28</v>
      </c>
      <c r="CU14" s="56">
        <v>24.4</v>
      </c>
      <c r="CV14" s="56">
        <v>22.1</v>
      </c>
      <c r="CW14" s="56">
        <v>21.3</v>
      </c>
      <c r="CX14" s="56">
        <v>20.9</v>
      </c>
      <c r="CY14" s="56">
        <v>21.6</v>
      </c>
      <c r="CZ14" s="56">
        <v>22</v>
      </c>
      <c r="DA14" s="56">
        <v>22.5</v>
      </c>
      <c r="DB14" s="56">
        <v>23</v>
      </c>
      <c r="DC14" s="56">
        <v>22.7</v>
      </c>
      <c r="DD14" s="56">
        <v>21.6</v>
      </c>
      <c r="DE14" s="56">
        <v>21.7</v>
      </c>
      <c r="DF14" s="56">
        <v>21</v>
      </c>
      <c r="DG14" s="56">
        <v>20.399999999999999</v>
      </c>
      <c r="DH14" s="56">
        <v>19.600000000000001</v>
      </c>
      <c r="DI14" s="56">
        <v>19.399999999999999</v>
      </c>
      <c r="DJ14" s="56">
        <v>19.399999999999999</v>
      </c>
      <c r="DK14" s="56">
        <v>19.3</v>
      </c>
      <c r="DL14" s="56">
        <v>20.3</v>
      </c>
      <c r="DM14" s="56">
        <v>19.8</v>
      </c>
      <c r="DN14" s="56">
        <v>20.8</v>
      </c>
      <c r="DO14" s="56">
        <v>20.9</v>
      </c>
      <c r="DP14" s="56">
        <v>20.3</v>
      </c>
      <c r="DQ14" s="56">
        <v>20</v>
      </c>
      <c r="DR14" s="56">
        <v>20.5</v>
      </c>
      <c r="DS14" s="56">
        <v>20</v>
      </c>
      <c r="DT14" s="56">
        <v>20.6</v>
      </c>
      <c r="DU14" s="56">
        <v>21.9</v>
      </c>
      <c r="DV14" s="56">
        <v>25.5</v>
      </c>
      <c r="DW14" s="56">
        <v>28.4</v>
      </c>
      <c r="DX14" s="56">
        <v>33.1</v>
      </c>
      <c r="DY14" s="56">
        <v>40.6</v>
      </c>
      <c r="DZ14" s="56">
        <v>42.8</v>
      </c>
      <c r="EA14" s="56">
        <v>60.5</v>
      </c>
      <c r="EB14" s="56">
        <v>56.9</v>
      </c>
      <c r="EC14" s="56">
        <v>53.7</v>
      </c>
      <c r="ED14" s="56">
        <v>51.8</v>
      </c>
      <c r="EE14" s="56">
        <v>55.2</v>
      </c>
      <c r="EF14" s="56">
        <v>54.2</v>
      </c>
      <c r="EG14" s="56">
        <v>51.5</v>
      </c>
      <c r="EH14" s="56">
        <v>42.3</v>
      </c>
      <c r="EI14" s="56">
        <v>35.9</v>
      </c>
      <c r="EJ14" s="56">
        <v>34.700000000000003</v>
      </c>
      <c r="EK14" s="56">
        <v>32.9</v>
      </c>
      <c r="EL14" s="56">
        <v>32.1</v>
      </c>
      <c r="EM14" s="56">
        <v>30.9</v>
      </c>
      <c r="EN14" s="56">
        <v>31.6</v>
      </c>
      <c r="EO14" s="56">
        <v>32.5</v>
      </c>
      <c r="EP14" s="56">
        <v>30.3</v>
      </c>
      <c r="EQ14" s="56">
        <v>29.5</v>
      </c>
      <c r="ER14" s="56">
        <v>30.6</v>
      </c>
      <c r="ES14" s="56">
        <v>31.1</v>
      </c>
      <c r="ET14" s="56">
        <v>32.299999999999997</v>
      </c>
      <c r="EU14" s="56">
        <v>31.8</v>
      </c>
      <c r="EV14" s="56">
        <v>32.799999999999997</v>
      </c>
      <c r="EW14" s="56">
        <v>34</v>
      </c>
      <c r="EX14" s="56">
        <v>36.299999999999997</v>
      </c>
      <c r="EY14" s="56">
        <v>38.200000000000003</v>
      </c>
      <c r="EZ14" s="56">
        <v>58.2</v>
      </c>
      <c r="FA14" s="56">
        <v>71.900000000000006</v>
      </c>
      <c r="FB14" s="56">
        <v>101.6</v>
      </c>
      <c r="FC14" s="56">
        <v>130.30000000000001</v>
      </c>
      <c r="FD14" s="56">
        <v>144.4</v>
      </c>
      <c r="FE14" s="56">
        <v>148.6</v>
      </c>
      <c r="FF14" s="56">
        <v>159.30000000000001</v>
      </c>
      <c r="FG14" s="56">
        <v>141.19999999999999</v>
      </c>
      <c r="FH14" s="56">
        <v>131</v>
      </c>
      <c r="FI14" s="56">
        <v>123.9</v>
      </c>
      <c r="FJ14" s="56">
        <v>116.7</v>
      </c>
      <c r="FK14" s="56">
        <v>109.3</v>
      </c>
      <c r="FL14" s="56">
        <v>102.9</v>
      </c>
      <c r="FM14" s="56">
        <v>99.8</v>
      </c>
      <c r="FN14" s="56">
        <v>94.6</v>
      </c>
      <c r="FO14" s="56">
        <v>86.3</v>
      </c>
      <c r="FP14" s="56">
        <v>78.400000000000006</v>
      </c>
      <c r="FQ14" s="56">
        <v>75.099999999999994</v>
      </c>
      <c r="FR14" s="56">
        <v>69</v>
      </c>
      <c r="FS14" s="56">
        <v>64.8</v>
      </c>
      <c r="FT14" s="56">
        <v>59.1</v>
      </c>
      <c r="FU14" s="56">
        <v>57.1</v>
      </c>
      <c r="FV14" s="56">
        <v>39</v>
      </c>
      <c r="FW14" s="56">
        <v>35.799999999999997</v>
      </c>
      <c r="FX14" s="56">
        <v>34</v>
      </c>
      <c r="FY14" s="56">
        <v>33</v>
      </c>
      <c r="FZ14" s="56">
        <v>32.9</v>
      </c>
      <c r="GA14" s="56">
        <v>32.4</v>
      </c>
      <c r="GB14" s="56">
        <v>32.5</v>
      </c>
      <c r="GC14" s="56">
        <v>32.4</v>
      </c>
      <c r="GD14" s="56">
        <v>32.4</v>
      </c>
      <c r="GE14" s="56">
        <v>32.299999999999997</v>
      </c>
      <c r="GF14" s="56">
        <v>32.1</v>
      </c>
      <c r="GG14" s="56">
        <v>31.3</v>
      </c>
      <c r="GH14" s="56">
        <v>31.3</v>
      </c>
      <c r="GI14" s="56">
        <v>29.6</v>
      </c>
      <c r="GJ14" s="56">
        <v>29.6</v>
      </c>
      <c r="GK14" s="56">
        <v>30.3</v>
      </c>
      <c r="GL14" s="56">
        <v>30.5</v>
      </c>
      <c r="GM14" s="56">
        <v>27.5</v>
      </c>
      <c r="GN14" s="56">
        <v>25.3</v>
      </c>
      <c r="GO14" s="56">
        <v>27.1</v>
      </c>
      <c r="GP14" s="56">
        <v>29.6</v>
      </c>
      <c r="GQ14" s="56">
        <v>27.3</v>
      </c>
      <c r="GR14" s="56">
        <v>26.4</v>
      </c>
      <c r="GS14" s="56">
        <v>26.7</v>
      </c>
      <c r="GT14" s="56">
        <v>40.1</v>
      </c>
      <c r="GU14" s="56">
        <v>951.5</v>
      </c>
      <c r="GV14" s="56">
        <v>800</v>
      </c>
      <c r="GW14" s="56">
        <v>322.7</v>
      </c>
      <c r="GX14" s="56">
        <v>583.79999999999995</v>
      </c>
      <c r="GY14" s="56">
        <v>440.8</v>
      </c>
      <c r="GZ14" s="56">
        <v>212.8</v>
      </c>
      <c r="HA14" s="56">
        <v>31.8</v>
      </c>
      <c r="HB14" s="56">
        <v>24.5</v>
      </c>
      <c r="HC14">
        <v>21.7</v>
      </c>
      <c r="HD14">
        <v>23.1</v>
      </c>
      <c r="HE14">
        <v>25.9</v>
      </c>
      <c r="HF14">
        <v>30.1</v>
      </c>
      <c r="HG14">
        <v>32.700000000000003</v>
      </c>
      <c r="HH14">
        <v>34.700000000000003</v>
      </c>
      <c r="HI14">
        <v>35.299999999999997</v>
      </c>
      <c r="HJ14">
        <v>34.9</v>
      </c>
      <c r="HK14">
        <v>34.9</v>
      </c>
      <c r="HL14">
        <v>35.700000000000003</v>
      </c>
      <c r="HM14">
        <v>36.1</v>
      </c>
      <c r="HN14">
        <v>35.799999999999997</v>
      </c>
    </row>
    <row r="15" spans="1:222" x14ac:dyDescent="0.25">
      <c r="A15" s="56" t="s">
        <v>2220</v>
      </c>
      <c r="B15" s="56">
        <v>63</v>
      </c>
      <c r="C15" s="56">
        <v>73.099999999999994</v>
      </c>
      <c r="D15" s="56">
        <v>73.5</v>
      </c>
      <c r="E15" s="56">
        <v>77.400000000000006</v>
      </c>
      <c r="F15" s="56">
        <v>79.3</v>
      </c>
      <c r="G15" s="56">
        <v>86.9</v>
      </c>
      <c r="H15" s="56">
        <v>86.9</v>
      </c>
      <c r="I15" s="56">
        <v>88.5</v>
      </c>
      <c r="J15" s="56">
        <v>91.4</v>
      </c>
      <c r="K15" s="56">
        <v>91.9</v>
      </c>
      <c r="L15" s="56">
        <v>92.9</v>
      </c>
      <c r="M15" s="56">
        <v>103.1</v>
      </c>
      <c r="N15" s="56">
        <v>105.4</v>
      </c>
      <c r="O15" s="56">
        <v>107.6</v>
      </c>
      <c r="P15" s="56">
        <v>109.2</v>
      </c>
      <c r="Q15" s="56">
        <v>112.3</v>
      </c>
      <c r="R15" s="56">
        <v>117.5</v>
      </c>
      <c r="S15" s="56">
        <v>125.4</v>
      </c>
      <c r="T15" s="56">
        <v>132.19999999999999</v>
      </c>
      <c r="U15" s="56">
        <v>139.1</v>
      </c>
      <c r="V15" s="56">
        <v>149.80000000000001</v>
      </c>
      <c r="W15" s="56">
        <v>164.6</v>
      </c>
      <c r="X15" s="56">
        <v>167.7</v>
      </c>
      <c r="Y15" s="56">
        <v>170.4</v>
      </c>
      <c r="Z15" s="56">
        <v>174.7</v>
      </c>
      <c r="AA15" s="56">
        <v>173.1</v>
      </c>
      <c r="AB15" s="56">
        <v>180.1</v>
      </c>
      <c r="AC15" s="56">
        <v>182.7</v>
      </c>
      <c r="AD15" s="56">
        <v>185.5</v>
      </c>
      <c r="AE15" s="56">
        <v>186.4</v>
      </c>
      <c r="AF15" s="56">
        <v>191.7</v>
      </c>
      <c r="AG15" s="56">
        <v>194.3</v>
      </c>
      <c r="AH15" s="56">
        <v>197.7</v>
      </c>
      <c r="AI15" s="56">
        <v>199</v>
      </c>
      <c r="AJ15" s="56">
        <v>207.1</v>
      </c>
      <c r="AK15" s="56">
        <v>209.9</v>
      </c>
      <c r="AL15" s="56">
        <v>214.9</v>
      </c>
      <c r="AM15" s="56">
        <v>219.2</v>
      </c>
      <c r="AN15" s="56">
        <v>234.6</v>
      </c>
      <c r="AO15" s="56">
        <v>240.7</v>
      </c>
      <c r="AP15" s="56">
        <v>251.2</v>
      </c>
      <c r="AQ15" s="56">
        <v>256.2</v>
      </c>
      <c r="AR15" s="56">
        <v>287.89999999999998</v>
      </c>
      <c r="AS15" s="56">
        <v>290.7</v>
      </c>
      <c r="AT15" s="56">
        <v>296.10000000000002</v>
      </c>
      <c r="AU15" s="56">
        <v>299</v>
      </c>
      <c r="AV15" s="56">
        <v>317</v>
      </c>
      <c r="AW15" s="56">
        <v>319.2</v>
      </c>
      <c r="AX15" s="56">
        <v>324.3</v>
      </c>
      <c r="AY15" s="56">
        <v>333.2</v>
      </c>
      <c r="AZ15" s="56">
        <v>349.7</v>
      </c>
      <c r="BA15" s="56">
        <v>365.2</v>
      </c>
      <c r="BB15" s="56">
        <v>368</v>
      </c>
      <c r="BC15" s="56">
        <v>373.7</v>
      </c>
      <c r="BD15" s="56">
        <v>368.5</v>
      </c>
      <c r="BE15" s="56">
        <v>371.8</v>
      </c>
      <c r="BF15" s="56">
        <v>376.3</v>
      </c>
      <c r="BG15" s="56">
        <v>379</v>
      </c>
      <c r="BH15" s="56">
        <v>380.4</v>
      </c>
      <c r="BI15" s="56">
        <v>387.9</v>
      </c>
      <c r="BJ15" s="56">
        <v>398.1</v>
      </c>
      <c r="BK15" s="56">
        <v>400.5</v>
      </c>
      <c r="BL15" s="56">
        <v>405.6</v>
      </c>
      <c r="BM15" s="56">
        <v>408.3</v>
      </c>
      <c r="BN15" s="56">
        <v>419.9</v>
      </c>
      <c r="BO15" s="56">
        <v>425.6</v>
      </c>
      <c r="BP15" s="56">
        <v>433.1</v>
      </c>
      <c r="BQ15" s="56">
        <v>435.8</v>
      </c>
      <c r="BR15" s="56">
        <v>441.9</v>
      </c>
      <c r="BS15" s="56">
        <v>447.5</v>
      </c>
      <c r="BT15" s="56">
        <v>449.4</v>
      </c>
      <c r="BU15" s="56">
        <v>452.8</v>
      </c>
      <c r="BV15" s="56">
        <v>470.3</v>
      </c>
      <c r="BW15" s="56">
        <v>473.4</v>
      </c>
      <c r="BX15" s="56">
        <v>478.8</v>
      </c>
      <c r="BY15" s="56">
        <v>484.9</v>
      </c>
      <c r="BZ15" s="56">
        <v>508.2</v>
      </c>
      <c r="CA15" s="56">
        <v>515.70000000000005</v>
      </c>
      <c r="CB15" s="56">
        <v>524.70000000000005</v>
      </c>
      <c r="CC15" s="56">
        <v>535.79999999999995</v>
      </c>
      <c r="CD15" s="56">
        <v>556.20000000000005</v>
      </c>
      <c r="CE15" s="56">
        <v>567.5</v>
      </c>
      <c r="CF15" s="56">
        <v>578.1</v>
      </c>
      <c r="CG15" s="56">
        <v>596.79999999999995</v>
      </c>
      <c r="CH15" s="56">
        <v>622.5</v>
      </c>
      <c r="CI15" s="56">
        <v>643.5</v>
      </c>
      <c r="CJ15" s="56">
        <v>653.79999999999995</v>
      </c>
      <c r="CK15" s="56">
        <v>682.3</v>
      </c>
      <c r="CL15" s="56">
        <v>710.5</v>
      </c>
      <c r="CM15" s="56">
        <v>729.1</v>
      </c>
      <c r="CN15" s="56">
        <v>741.3</v>
      </c>
      <c r="CO15" s="56">
        <v>746</v>
      </c>
      <c r="CP15" s="56">
        <v>766.5</v>
      </c>
      <c r="CQ15" s="56">
        <v>771.7</v>
      </c>
      <c r="CR15" s="56">
        <v>786.3</v>
      </c>
      <c r="CS15" s="56">
        <v>791.3</v>
      </c>
      <c r="CT15" s="56">
        <v>805.3</v>
      </c>
      <c r="CU15" s="56">
        <v>810.1</v>
      </c>
      <c r="CV15" s="56">
        <v>813.6</v>
      </c>
      <c r="CW15" s="56">
        <v>833.8</v>
      </c>
      <c r="CX15" s="56">
        <v>857.9</v>
      </c>
      <c r="CY15" s="56">
        <v>865.6</v>
      </c>
      <c r="CZ15" s="56">
        <v>870.7</v>
      </c>
      <c r="DA15" s="56">
        <v>864.6</v>
      </c>
      <c r="DB15" s="56">
        <v>893.2</v>
      </c>
      <c r="DC15" s="56">
        <v>912.9</v>
      </c>
      <c r="DD15" s="56">
        <v>908.5</v>
      </c>
      <c r="DE15" s="56">
        <v>910.7</v>
      </c>
      <c r="DF15" s="56">
        <v>930.5</v>
      </c>
      <c r="DG15" s="56">
        <v>931.3</v>
      </c>
      <c r="DH15" s="56">
        <v>937.2</v>
      </c>
      <c r="DI15" s="56">
        <v>942.7</v>
      </c>
      <c r="DJ15" s="56">
        <v>951.8</v>
      </c>
      <c r="DK15" s="56">
        <v>956</v>
      </c>
      <c r="DL15" s="56">
        <v>957.4</v>
      </c>
      <c r="DM15" s="56">
        <v>966.4</v>
      </c>
      <c r="DN15" s="56">
        <v>983.4</v>
      </c>
      <c r="DO15" s="56">
        <v>985</v>
      </c>
      <c r="DP15" s="56">
        <v>996.1</v>
      </c>
      <c r="DQ15" s="56">
        <v>1004.3</v>
      </c>
      <c r="DR15" s="56">
        <v>1016.9</v>
      </c>
      <c r="DS15" s="56">
        <v>1042.3</v>
      </c>
      <c r="DT15" s="56">
        <v>1054.7</v>
      </c>
      <c r="DU15" s="56">
        <v>1065.5999999999999</v>
      </c>
      <c r="DV15" s="56">
        <v>1107.8</v>
      </c>
      <c r="DW15" s="56">
        <v>1139.0999999999999</v>
      </c>
      <c r="DX15" s="56">
        <v>1145.2</v>
      </c>
      <c r="DY15" s="56">
        <v>1191.2</v>
      </c>
      <c r="DZ15" s="56">
        <v>1221</v>
      </c>
      <c r="EA15" s="56">
        <v>1247.0999999999999</v>
      </c>
      <c r="EB15" s="56">
        <v>1259.9000000000001</v>
      </c>
      <c r="EC15" s="56">
        <v>1276.2</v>
      </c>
      <c r="ED15" s="56">
        <v>1294.5999999999999</v>
      </c>
      <c r="EE15" s="56">
        <v>1312.6</v>
      </c>
      <c r="EF15" s="56">
        <v>1335.5</v>
      </c>
      <c r="EG15" s="56">
        <v>1341.2</v>
      </c>
      <c r="EH15" s="56">
        <v>1379.6</v>
      </c>
      <c r="EI15" s="56">
        <v>1400.6</v>
      </c>
      <c r="EJ15" s="56">
        <v>1409.8</v>
      </c>
      <c r="EK15" s="56">
        <v>1427.9</v>
      </c>
      <c r="EL15" s="56">
        <v>1464.4</v>
      </c>
      <c r="EM15" s="56">
        <v>1486</v>
      </c>
      <c r="EN15" s="56">
        <v>1501</v>
      </c>
      <c r="EO15" s="56">
        <v>1512.3</v>
      </c>
      <c r="EP15" s="56">
        <v>1566.7</v>
      </c>
      <c r="EQ15" s="56">
        <v>1583.2</v>
      </c>
      <c r="ER15" s="56">
        <v>1608.5</v>
      </c>
      <c r="ES15" s="56">
        <v>1613.8</v>
      </c>
      <c r="ET15" s="56">
        <v>1680.2</v>
      </c>
      <c r="EU15" s="56">
        <v>1680.4</v>
      </c>
      <c r="EV15" s="56">
        <v>1700.2</v>
      </c>
      <c r="EW15" s="56">
        <v>1728.6</v>
      </c>
      <c r="EX15" s="56">
        <v>1768.2</v>
      </c>
      <c r="EY15" s="56">
        <v>2113</v>
      </c>
      <c r="EZ15" s="56">
        <v>1905.3</v>
      </c>
      <c r="FA15" s="56">
        <v>1890.8</v>
      </c>
      <c r="FB15" s="56">
        <v>2001.9</v>
      </c>
      <c r="FC15" s="56">
        <v>2140</v>
      </c>
      <c r="FD15" s="56">
        <v>2136.9</v>
      </c>
      <c r="FE15" s="56">
        <v>2152.1</v>
      </c>
      <c r="FF15" s="56">
        <v>2262.1999999999998</v>
      </c>
      <c r="FG15" s="56">
        <v>2268.6999999999998</v>
      </c>
      <c r="FH15" s="56">
        <v>2292</v>
      </c>
      <c r="FI15" s="56">
        <v>2302.6999999999998</v>
      </c>
      <c r="FJ15" s="56">
        <v>2313</v>
      </c>
      <c r="FK15" s="56">
        <v>2312.1</v>
      </c>
      <c r="FL15" s="56">
        <v>2303.1999999999998</v>
      </c>
      <c r="FM15" s="56">
        <v>2312.1999999999998</v>
      </c>
      <c r="FN15" s="56">
        <v>2296.8000000000002</v>
      </c>
      <c r="FO15" s="56">
        <v>2321.8000000000002</v>
      </c>
      <c r="FP15" s="56">
        <v>2325.6</v>
      </c>
      <c r="FQ15" s="56">
        <v>2346.1</v>
      </c>
      <c r="FR15" s="56">
        <v>2365.6999999999998</v>
      </c>
      <c r="FS15" s="56">
        <v>2378.3000000000002</v>
      </c>
      <c r="FT15" s="56">
        <v>2396</v>
      </c>
      <c r="FU15" s="56">
        <v>2403.6999999999998</v>
      </c>
      <c r="FV15" s="56">
        <v>2433.1999999999998</v>
      </c>
      <c r="FW15" s="56">
        <v>2484.5</v>
      </c>
      <c r="FX15" s="56">
        <v>2524.6</v>
      </c>
      <c r="FY15" s="56">
        <v>2552.1</v>
      </c>
      <c r="FZ15" s="56">
        <v>2597.6999999999998</v>
      </c>
      <c r="GA15" s="56">
        <v>2633.9</v>
      </c>
      <c r="GB15" s="56">
        <v>2647.8</v>
      </c>
      <c r="GC15" s="56">
        <v>2661.2</v>
      </c>
      <c r="GD15" s="56">
        <v>2686.2</v>
      </c>
      <c r="GE15" s="56">
        <v>2706.5</v>
      </c>
      <c r="GF15" s="56">
        <v>2726.3</v>
      </c>
      <c r="GG15" s="56">
        <v>2750.1</v>
      </c>
      <c r="GH15" s="56">
        <v>2779.1</v>
      </c>
      <c r="GI15" s="56">
        <v>2789.7</v>
      </c>
      <c r="GJ15" s="56">
        <v>2823.4</v>
      </c>
      <c r="GK15" s="56">
        <v>2837.6</v>
      </c>
      <c r="GL15" s="56">
        <v>2892.2</v>
      </c>
      <c r="GM15" s="56">
        <v>2917.2</v>
      </c>
      <c r="GN15" s="56">
        <v>2937.9</v>
      </c>
      <c r="GO15" s="56">
        <v>2956.5</v>
      </c>
      <c r="GP15" s="56">
        <v>3048.2</v>
      </c>
      <c r="GQ15" s="56">
        <v>3084</v>
      </c>
      <c r="GR15" s="56">
        <v>3109.3</v>
      </c>
      <c r="GS15" s="56">
        <v>3121.6</v>
      </c>
      <c r="GT15" s="56">
        <v>3175.2</v>
      </c>
      <c r="GU15" s="56">
        <v>5465.4</v>
      </c>
      <c r="GV15" s="56">
        <v>4355</v>
      </c>
      <c r="GW15" s="56">
        <v>3728.7</v>
      </c>
      <c r="GX15" s="56">
        <v>6007.8</v>
      </c>
      <c r="GY15" s="56">
        <v>4311.6000000000004</v>
      </c>
      <c r="GZ15" s="56">
        <v>4048.7</v>
      </c>
      <c r="HA15" s="56">
        <v>3876</v>
      </c>
      <c r="HB15" s="56">
        <v>3944.5</v>
      </c>
      <c r="HC15">
        <v>3986.8</v>
      </c>
      <c r="HD15">
        <v>4002.9</v>
      </c>
      <c r="HE15">
        <v>4120.8999999999996</v>
      </c>
      <c r="HF15">
        <v>4121.6000000000004</v>
      </c>
      <c r="HG15">
        <v>4160.2</v>
      </c>
      <c r="HH15">
        <v>4147.5</v>
      </c>
      <c r="HI15">
        <v>4156.5</v>
      </c>
      <c r="HJ15">
        <v>4314.6000000000004</v>
      </c>
      <c r="HK15">
        <v>4380.1000000000004</v>
      </c>
      <c r="HL15">
        <v>4437.8</v>
      </c>
      <c r="HM15">
        <v>4491.1000000000004</v>
      </c>
      <c r="HN15">
        <v>4620.5</v>
      </c>
    </row>
    <row r="16" spans="1:222" x14ac:dyDescent="0.25">
      <c r="A16" s="56" t="s">
        <v>2221</v>
      </c>
      <c r="B16" s="56">
        <v>1.2</v>
      </c>
      <c r="C16" s="56">
        <v>1.3</v>
      </c>
      <c r="D16" s="56">
        <v>1.3</v>
      </c>
      <c r="E16" s="56">
        <v>1.3</v>
      </c>
      <c r="F16" s="56">
        <v>1.4</v>
      </c>
      <c r="G16" s="56">
        <v>1.4</v>
      </c>
      <c r="H16" s="56">
        <v>1.5</v>
      </c>
      <c r="I16" s="56">
        <v>1.5</v>
      </c>
      <c r="J16" s="56">
        <v>1.7</v>
      </c>
      <c r="K16" s="56">
        <v>1.8</v>
      </c>
      <c r="L16" s="56">
        <v>1.8</v>
      </c>
      <c r="M16" s="56">
        <v>1.9</v>
      </c>
      <c r="N16" s="56">
        <v>1.8</v>
      </c>
      <c r="O16" s="56">
        <v>1.8</v>
      </c>
      <c r="P16" s="56">
        <v>1.8</v>
      </c>
      <c r="Q16" s="56">
        <v>1.9</v>
      </c>
      <c r="R16" s="56">
        <v>1.9</v>
      </c>
      <c r="S16" s="56">
        <v>2</v>
      </c>
      <c r="T16" s="56">
        <v>2.1</v>
      </c>
      <c r="U16" s="56">
        <v>2.2000000000000002</v>
      </c>
      <c r="V16" s="56">
        <v>2.2999999999999998</v>
      </c>
      <c r="W16" s="56">
        <v>2.4</v>
      </c>
      <c r="X16" s="56">
        <v>2.6</v>
      </c>
      <c r="Y16" s="56">
        <v>2.7</v>
      </c>
      <c r="Z16" s="56">
        <v>2.8</v>
      </c>
      <c r="AA16" s="56">
        <v>3</v>
      </c>
      <c r="AB16" s="56">
        <v>3.1</v>
      </c>
      <c r="AC16" s="56">
        <v>3.2</v>
      </c>
      <c r="AD16" s="56">
        <v>3.3</v>
      </c>
      <c r="AE16" s="56">
        <v>3.4</v>
      </c>
      <c r="AF16" s="56">
        <v>3.5</v>
      </c>
      <c r="AG16" s="56">
        <v>3.6</v>
      </c>
      <c r="AH16" s="56">
        <v>3.7</v>
      </c>
      <c r="AI16" s="56">
        <v>3.8</v>
      </c>
      <c r="AJ16" s="56">
        <v>3.9</v>
      </c>
      <c r="AK16" s="56">
        <v>4</v>
      </c>
      <c r="AL16" s="56">
        <v>4.0999999999999996</v>
      </c>
      <c r="AM16" s="56">
        <v>4.3</v>
      </c>
      <c r="AN16" s="56">
        <v>4.4000000000000004</v>
      </c>
      <c r="AO16" s="56">
        <v>4.5</v>
      </c>
      <c r="AP16" s="56">
        <v>4.5999999999999996</v>
      </c>
      <c r="AQ16" s="56">
        <v>4.8</v>
      </c>
      <c r="AR16" s="56">
        <v>5</v>
      </c>
      <c r="AS16" s="56">
        <v>5.3</v>
      </c>
      <c r="AT16" s="56">
        <v>5.6</v>
      </c>
      <c r="AU16" s="56">
        <v>5.9</v>
      </c>
      <c r="AV16" s="56">
        <v>6.1</v>
      </c>
      <c r="AW16" s="56">
        <v>6.3</v>
      </c>
      <c r="AX16" s="56">
        <v>6.7</v>
      </c>
      <c r="AY16" s="56">
        <v>6.9</v>
      </c>
      <c r="AZ16" s="56">
        <v>7.2</v>
      </c>
      <c r="BA16" s="56">
        <v>7.5</v>
      </c>
      <c r="BB16" s="56">
        <v>7.7</v>
      </c>
      <c r="BC16" s="56">
        <v>8</v>
      </c>
      <c r="BD16" s="56">
        <v>8.3000000000000007</v>
      </c>
      <c r="BE16" s="56">
        <v>8.5</v>
      </c>
      <c r="BF16" s="56">
        <v>8.8000000000000007</v>
      </c>
      <c r="BG16" s="56">
        <v>9.1</v>
      </c>
      <c r="BH16" s="56">
        <v>9.3000000000000007</v>
      </c>
      <c r="BI16" s="56">
        <v>9.5</v>
      </c>
      <c r="BJ16" s="56">
        <v>9.9</v>
      </c>
      <c r="BK16" s="56">
        <v>10.199999999999999</v>
      </c>
      <c r="BL16" s="56">
        <v>10.6</v>
      </c>
      <c r="BM16" s="56">
        <v>11</v>
      </c>
      <c r="BN16" s="56">
        <v>11.3</v>
      </c>
      <c r="BO16" s="56">
        <v>11.7</v>
      </c>
      <c r="BP16" s="56">
        <v>12.1</v>
      </c>
      <c r="BQ16" s="56">
        <v>12.7</v>
      </c>
      <c r="BR16" s="56">
        <v>12.7</v>
      </c>
      <c r="BS16" s="56">
        <v>12.9</v>
      </c>
      <c r="BT16" s="56">
        <v>13.5</v>
      </c>
      <c r="BU16" s="56">
        <v>13.7</v>
      </c>
      <c r="BV16" s="56">
        <v>14.2</v>
      </c>
      <c r="BW16" s="56">
        <v>14.8</v>
      </c>
      <c r="BX16" s="56">
        <v>15.1</v>
      </c>
      <c r="BY16" s="56">
        <v>15.4</v>
      </c>
      <c r="BZ16" s="56">
        <v>15.9</v>
      </c>
      <c r="CA16" s="56">
        <v>16.3</v>
      </c>
      <c r="CB16" s="56">
        <v>16.7</v>
      </c>
      <c r="CC16" s="56">
        <v>17.100000000000001</v>
      </c>
      <c r="CD16" s="56">
        <v>17.3</v>
      </c>
      <c r="CE16" s="56">
        <v>17.899999999999999</v>
      </c>
      <c r="CF16" s="56">
        <v>18.7</v>
      </c>
      <c r="CG16" s="56">
        <v>19.600000000000001</v>
      </c>
      <c r="CH16" s="56">
        <v>20.9</v>
      </c>
      <c r="CI16" s="56">
        <v>22.1</v>
      </c>
      <c r="CJ16" s="56">
        <v>23.1</v>
      </c>
      <c r="CK16" s="56">
        <v>24.2</v>
      </c>
      <c r="CL16" s="56">
        <v>25</v>
      </c>
      <c r="CM16" s="56">
        <v>25.8</v>
      </c>
      <c r="CN16" s="56">
        <v>26.4</v>
      </c>
      <c r="CO16" s="56">
        <v>26.8</v>
      </c>
      <c r="CP16" s="56">
        <v>28</v>
      </c>
      <c r="CQ16" s="56">
        <v>28.3</v>
      </c>
      <c r="CR16" s="56">
        <v>28.7</v>
      </c>
      <c r="CS16" s="56">
        <v>29.2</v>
      </c>
      <c r="CT16" s="56">
        <v>30.1</v>
      </c>
      <c r="CU16" s="56">
        <v>30.7</v>
      </c>
      <c r="CV16" s="56">
        <v>31.2</v>
      </c>
      <c r="CW16" s="56">
        <v>31.6</v>
      </c>
      <c r="CX16" s="56">
        <v>31.9</v>
      </c>
      <c r="CY16" s="56">
        <v>32.299999999999997</v>
      </c>
      <c r="CZ16" s="56">
        <v>32.9</v>
      </c>
      <c r="DA16" s="56">
        <v>33.5</v>
      </c>
      <c r="DB16" s="56">
        <v>34</v>
      </c>
      <c r="DC16" s="56">
        <v>34.6</v>
      </c>
      <c r="DD16" s="56">
        <v>35.200000000000003</v>
      </c>
      <c r="DE16" s="56">
        <v>35.799999999999997</v>
      </c>
      <c r="DF16" s="56">
        <v>37.200000000000003</v>
      </c>
      <c r="DG16" s="56">
        <v>38</v>
      </c>
      <c r="DH16" s="56">
        <v>38.6</v>
      </c>
      <c r="DI16" s="56">
        <v>39</v>
      </c>
      <c r="DJ16" s="56">
        <v>39.1</v>
      </c>
      <c r="DK16" s="56">
        <v>39.299999999999997</v>
      </c>
      <c r="DL16" s="56">
        <v>40</v>
      </c>
      <c r="DM16" s="56">
        <v>41.1</v>
      </c>
      <c r="DN16" s="56">
        <v>42.3</v>
      </c>
      <c r="DO16" s="56">
        <v>43.5</v>
      </c>
      <c r="DP16" s="56">
        <v>44.7</v>
      </c>
      <c r="DQ16" s="56">
        <v>45.8</v>
      </c>
      <c r="DR16" s="56">
        <v>46.9</v>
      </c>
      <c r="DS16" s="56">
        <v>48.1</v>
      </c>
      <c r="DT16" s="56">
        <v>49.3</v>
      </c>
      <c r="DU16" s="56">
        <v>50.6</v>
      </c>
      <c r="DV16" s="56">
        <v>51.5</v>
      </c>
      <c r="DW16" s="56">
        <v>52.5</v>
      </c>
      <c r="DX16" s="56">
        <v>53.4</v>
      </c>
      <c r="DY16" s="56">
        <v>54.3</v>
      </c>
      <c r="DZ16" s="56">
        <v>55.2</v>
      </c>
      <c r="EA16" s="56">
        <v>56</v>
      </c>
      <c r="EB16" s="56">
        <v>56.8</v>
      </c>
      <c r="EC16" s="56">
        <v>57.6</v>
      </c>
      <c r="ED16" s="56">
        <v>58.5</v>
      </c>
      <c r="EE16" s="56">
        <v>59.7</v>
      </c>
      <c r="EF16" s="56">
        <v>61.1</v>
      </c>
      <c r="EG16" s="56">
        <v>62.7</v>
      </c>
      <c r="EH16" s="56">
        <v>64.8</v>
      </c>
      <c r="EI16" s="56">
        <v>66.400000000000006</v>
      </c>
      <c r="EJ16" s="56">
        <v>67.7</v>
      </c>
      <c r="EK16" s="56">
        <v>68.7</v>
      </c>
      <c r="EL16" s="56">
        <v>70.3</v>
      </c>
      <c r="EM16" s="56">
        <v>71.2</v>
      </c>
      <c r="EN16" s="56">
        <v>72.099999999999994</v>
      </c>
      <c r="EO16" s="56">
        <v>73</v>
      </c>
      <c r="EP16" s="56">
        <v>74.400000000000006</v>
      </c>
      <c r="EQ16" s="56">
        <v>74.900000000000006</v>
      </c>
      <c r="ER16" s="56">
        <v>75.5</v>
      </c>
      <c r="ES16" s="56">
        <v>76.3</v>
      </c>
      <c r="ET16" s="56">
        <v>78</v>
      </c>
      <c r="EU16" s="56">
        <v>78.8</v>
      </c>
      <c r="EV16" s="56">
        <v>79.599999999999994</v>
      </c>
      <c r="EW16" s="56">
        <v>80.3</v>
      </c>
      <c r="EX16" s="56">
        <v>80.5</v>
      </c>
      <c r="EY16" s="56">
        <v>81</v>
      </c>
      <c r="EZ16" s="56">
        <v>81.2</v>
      </c>
      <c r="FA16" s="56">
        <v>81.2</v>
      </c>
      <c r="FB16" s="56">
        <v>80.599999999999994</v>
      </c>
      <c r="FC16" s="56">
        <v>80.3</v>
      </c>
      <c r="FD16" s="56">
        <v>79.900000000000006</v>
      </c>
      <c r="FE16" s="56">
        <v>79.5</v>
      </c>
      <c r="FF16" s="56">
        <v>79.5</v>
      </c>
      <c r="FG16" s="56">
        <v>79.3</v>
      </c>
      <c r="FH16" s="56">
        <v>79.3</v>
      </c>
      <c r="FI16" s="56">
        <v>79.5</v>
      </c>
      <c r="FJ16" s="56">
        <v>80.400000000000006</v>
      </c>
      <c r="FK16" s="56">
        <v>81.5</v>
      </c>
      <c r="FL16" s="56">
        <v>82.7</v>
      </c>
      <c r="FM16" s="56">
        <v>84.1</v>
      </c>
      <c r="FN16" s="56">
        <v>85.2</v>
      </c>
      <c r="FO16" s="56">
        <v>86.3</v>
      </c>
      <c r="FP16" s="56">
        <v>86.9</v>
      </c>
      <c r="FQ16" s="56">
        <v>86.8</v>
      </c>
      <c r="FR16" s="56">
        <v>86.7</v>
      </c>
      <c r="FS16" s="56">
        <v>86.5</v>
      </c>
      <c r="FT16" s="56">
        <v>86.9</v>
      </c>
      <c r="FU16" s="56">
        <v>87.9</v>
      </c>
      <c r="FV16" s="56">
        <v>89.7</v>
      </c>
      <c r="FW16" s="56">
        <v>91.2</v>
      </c>
      <c r="FX16" s="56">
        <v>92.7</v>
      </c>
      <c r="FY16" s="56">
        <v>94.2</v>
      </c>
      <c r="FZ16" s="56">
        <v>97.5</v>
      </c>
      <c r="GA16" s="56">
        <v>98.6</v>
      </c>
      <c r="GB16" s="56">
        <v>99.4</v>
      </c>
      <c r="GC16" s="56">
        <v>99.9</v>
      </c>
      <c r="GD16" s="56">
        <v>101.3</v>
      </c>
      <c r="GE16" s="56">
        <v>101.5</v>
      </c>
      <c r="GF16" s="56">
        <v>101.8</v>
      </c>
      <c r="GG16" s="56">
        <v>102.1</v>
      </c>
      <c r="GH16" s="56">
        <v>103.2</v>
      </c>
      <c r="GI16" s="56">
        <v>103.9</v>
      </c>
      <c r="GJ16" s="56">
        <v>104.9</v>
      </c>
      <c r="GK16" s="56">
        <v>106.3</v>
      </c>
      <c r="GL16" s="56">
        <v>109.1</v>
      </c>
      <c r="GM16" s="56">
        <v>110.6</v>
      </c>
      <c r="GN16" s="56">
        <v>112</v>
      </c>
      <c r="GO16" s="56">
        <v>113.3</v>
      </c>
      <c r="GP16" s="56">
        <v>114.1</v>
      </c>
      <c r="GQ16" s="56">
        <v>114.7</v>
      </c>
      <c r="GR16" s="56">
        <v>114.9</v>
      </c>
      <c r="GS16" s="56">
        <v>114.6</v>
      </c>
      <c r="GT16" s="56">
        <v>107.5</v>
      </c>
      <c r="GU16" s="56">
        <v>108</v>
      </c>
      <c r="GV16" s="56">
        <v>109.5</v>
      </c>
      <c r="GW16" s="56">
        <v>112.3</v>
      </c>
      <c r="GX16" s="56">
        <v>118.1</v>
      </c>
      <c r="GY16" s="56">
        <v>121.5</v>
      </c>
      <c r="GZ16" s="56">
        <v>124.5</v>
      </c>
      <c r="HA16" s="56">
        <v>127</v>
      </c>
      <c r="HB16" s="56">
        <v>129.19999999999999</v>
      </c>
      <c r="HC16">
        <v>131</v>
      </c>
      <c r="HD16">
        <v>132.4</v>
      </c>
      <c r="HE16">
        <v>133.5</v>
      </c>
      <c r="HF16">
        <v>134.30000000000001</v>
      </c>
      <c r="HG16">
        <v>135.1</v>
      </c>
      <c r="HH16">
        <v>136</v>
      </c>
      <c r="HI16">
        <v>136.9</v>
      </c>
      <c r="HJ16">
        <v>137.9</v>
      </c>
      <c r="HK16">
        <v>139</v>
      </c>
      <c r="HL16">
        <v>140.30000000000001</v>
      </c>
      <c r="HM16">
        <v>141.69999999999999</v>
      </c>
      <c r="HN16">
        <v>143.30000000000001</v>
      </c>
    </row>
    <row r="17" spans="1:222" x14ac:dyDescent="0.25">
      <c r="A17" s="56" t="s">
        <v>2222</v>
      </c>
      <c r="B17" s="56">
        <v>104.6</v>
      </c>
      <c r="C17" s="56">
        <v>105.5</v>
      </c>
      <c r="D17" s="56">
        <v>100.7</v>
      </c>
      <c r="E17" s="56">
        <v>101.5</v>
      </c>
      <c r="F17" s="56">
        <v>98.3</v>
      </c>
      <c r="G17" s="56">
        <v>100.7</v>
      </c>
      <c r="H17" s="56">
        <v>102.3</v>
      </c>
      <c r="I17" s="56">
        <v>105.5</v>
      </c>
      <c r="J17" s="56">
        <v>119.8</v>
      </c>
      <c r="K17" s="56">
        <v>123.4</v>
      </c>
      <c r="L17" s="56">
        <v>124.3</v>
      </c>
      <c r="M17" s="56">
        <v>127.1</v>
      </c>
      <c r="N17" s="56">
        <v>126.4</v>
      </c>
      <c r="O17" s="56">
        <v>129.19999999999999</v>
      </c>
      <c r="P17" s="56">
        <v>134.1</v>
      </c>
      <c r="Q17" s="56">
        <v>140</v>
      </c>
      <c r="R17" s="56">
        <v>142.80000000000001</v>
      </c>
      <c r="S17" s="56">
        <v>148.9</v>
      </c>
      <c r="T17" s="56">
        <v>154.9</v>
      </c>
      <c r="U17" s="56">
        <v>157.6</v>
      </c>
      <c r="V17" s="56">
        <v>158</v>
      </c>
      <c r="W17" s="56">
        <v>121.1</v>
      </c>
      <c r="X17" s="56">
        <v>152.80000000000001</v>
      </c>
      <c r="Y17" s="56">
        <v>158.5</v>
      </c>
      <c r="Z17" s="56">
        <v>162.5</v>
      </c>
      <c r="AA17" s="56">
        <v>169.3</v>
      </c>
      <c r="AB17" s="56">
        <v>176.1</v>
      </c>
      <c r="AC17" s="56">
        <v>182.7</v>
      </c>
      <c r="AD17" s="56">
        <v>188.8</v>
      </c>
      <c r="AE17" s="56">
        <v>195.7</v>
      </c>
      <c r="AF17" s="56">
        <v>198.6</v>
      </c>
      <c r="AG17" s="56">
        <v>208.5</v>
      </c>
      <c r="AH17" s="56">
        <v>212</v>
      </c>
      <c r="AI17" s="56">
        <v>223.1</v>
      </c>
      <c r="AJ17" s="56">
        <v>236.3</v>
      </c>
      <c r="AK17" s="56">
        <v>247.2</v>
      </c>
      <c r="AL17" s="56">
        <v>253.6</v>
      </c>
      <c r="AM17" s="56">
        <v>262</v>
      </c>
      <c r="AN17" s="56">
        <v>274.8</v>
      </c>
      <c r="AO17" s="56">
        <v>285.2</v>
      </c>
      <c r="AP17" s="56">
        <v>284.8</v>
      </c>
      <c r="AQ17" s="56">
        <v>292.2</v>
      </c>
      <c r="AR17" s="56">
        <v>302.2</v>
      </c>
      <c r="AS17" s="56">
        <v>318.89999999999998</v>
      </c>
      <c r="AT17" s="56">
        <v>330.9</v>
      </c>
      <c r="AU17" s="56">
        <v>342.7</v>
      </c>
      <c r="AV17" s="56">
        <v>356.9</v>
      </c>
      <c r="AW17" s="56">
        <v>352.7</v>
      </c>
      <c r="AX17" s="56">
        <v>352.5</v>
      </c>
      <c r="AY17" s="56">
        <v>359.7</v>
      </c>
      <c r="AZ17" s="56">
        <v>350.1</v>
      </c>
      <c r="BA17" s="56">
        <v>356.6</v>
      </c>
      <c r="BB17" s="56">
        <v>350.9</v>
      </c>
      <c r="BC17" s="56">
        <v>359.6</v>
      </c>
      <c r="BD17" s="56">
        <v>345.4</v>
      </c>
      <c r="BE17" s="56">
        <v>355.7</v>
      </c>
      <c r="BF17" s="56">
        <v>361.2</v>
      </c>
      <c r="BG17" s="56">
        <v>370.4</v>
      </c>
      <c r="BH17" s="56">
        <v>384.1</v>
      </c>
      <c r="BI17" s="56">
        <v>395.9</v>
      </c>
      <c r="BJ17" s="56">
        <v>432.3</v>
      </c>
      <c r="BK17" s="56">
        <v>388.5</v>
      </c>
      <c r="BL17" s="56">
        <v>421.5</v>
      </c>
      <c r="BM17" s="56">
        <v>428.9</v>
      </c>
      <c r="BN17" s="56">
        <v>426.3</v>
      </c>
      <c r="BO17" s="56">
        <v>429.4</v>
      </c>
      <c r="BP17" s="56">
        <v>439.5</v>
      </c>
      <c r="BQ17" s="56">
        <v>456</v>
      </c>
      <c r="BR17" s="56">
        <v>450.7</v>
      </c>
      <c r="BS17" s="56">
        <v>511.7</v>
      </c>
      <c r="BT17" s="56">
        <v>489</v>
      </c>
      <c r="BU17" s="56">
        <v>507</v>
      </c>
      <c r="BV17" s="56">
        <v>502.1</v>
      </c>
      <c r="BW17" s="56">
        <v>497.8</v>
      </c>
      <c r="BX17" s="56">
        <v>506.7</v>
      </c>
      <c r="BY17" s="56">
        <v>517.20000000000005</v>
      </c>
      <c r="BZ17" s="56">
        <v>552.9</v>
      </c>
      <c r="CA17" s="56">
        <v>566.70000000000005</v>
      </c>
      <c r="CB17" s="56">
        <v>571.6</v>
      </c>
      <c r="CC17" s="56">
        <v>579.79999999999995</v>
      </c>
      <c r="CD17" s="56">
        <v>582.5</v>
      </c>
      <c r="CE17" s="56">
        <v>594.6</v>
      </c>
      <c r="CF17" s="56">
        <v>600.70000000000005</v>
      </c>
      <c r="CG17" s="56">
        <v>600.79999999999995</v>
      </c>
      <c r="CH17" s="56">
        <v>580.79999999999995</v>
      </c>
      <c r="CI17" s="56">
        <v>585.9</v>
      </c>
      <c r="CJ17" s="56">
        <v>590.20000000000005</v>
      </c>
      <c r="CK17" s="56">
        <v>598.70000000000005</v>
      </c>
      <c r="CL17" s="56">
        <v>588.9</v>
      </c>
      <c r="CM17" s="56">
        <v>607.20000000000005</v>
      </c>
      <c r="CN17" s="56">
        <v>616.20000000000005</v>
      </c>
      <c r="CO17" s="56">
        <v>638.9</v>
      </c>
      <c r="CP17" s="56">
        <v>617</v>
      </c>
      <c r="CQ17" s="56">
        <v>643.5</v>
      </c>
      <c r="CR17" s="56">
        <v>659.2</v>
      </c>
      <c r="CS17" s="56">
        <v>675.3</v>
      </c>
      <c r="CT17" s="56">
        <v>673.7</v>
      </c>
      <c r="CU17" s="56">
        <v>697.8</v>
      </c>
      <c r="CV17" s="56">
        <v>695.4</v>
      </c>
      <c r="CW17" s="56">
        <v>705.4</v>
      </c>
      <c r="CX17" s="56">
        <v>724.6</v>
      </c>
      <c r="CY17" s="56">
        <v>746.8</v>
      </c>
      <c r="CZ17" s="56">
        <v>752.2</v>
      </c>
      <c r="DA17" s="56">
        <v>770</v>
      </c>
      <c r="DB17" s="56">
        <v>801.7</v>
      </c>
      <c r="DC17" s="56">
        <v>839.6</v>
      </c>
      <c r="DD17" s="56">
        <v>843.5</v>
      </c>
      <c r="DE17" s="56">
        <v>863.5</v>
      </c>
      <c r="DF17" s="56">
        <v>902.1</v>
      </c>
      <c r="DG17" s="56">
        <v>916.2</v>
      </c>
      <c r="DH17" s="56">
        <v>941.1</v>
      </c>
      <c r="DI17" s="56">
        <v>967.8</v>
      </c>
      <c r="DJ17" s="56">
        <v>996.1</v>
      </c>
      <c r="DK17" s="56">
        <v>1022.4</v>
      </c>
      <c r="DL17" s="56">
        <v>1043.2</v>
      </c>
      <c r="DM17" s="56">
        <v>1068</v>
      </c>
      <c r="DN17" s="56">
        <v>1077.9000000000001</v>
      </c>
      <c r="DO17" s="56">
        <v>1095.2</v>
      </c>
      <c r="DP17" s="56">
        <v>1120.5999999999999</v>
      </c>
      <c r="DQ17" s="56">
        <v>1154</v>
      </c>
      <c r="DR17" s="56">
        <v>1208.8</v>
      </c>
      <c r="DS17" s="56">
        <v>1230.2</v>
      </c>
      <c r="DT17" s="56">
        <v>1247.7</v>
      </c>
      <c r="DU17" s="56">
        <v>1258.7</v>
      </c>
      <c r="DV17" s="56">
        <v>1301.9000000000001</v>
      </c>
      <c r="DW17" s="56">
        <v>1308.9000000000001</v>
      </c>
      <c r="DX17" s="56">
        <v>1113.5999999999999</v>
      </c>
      <c r="DY17" s="56">
        <v>1231.8</v>
      </c>
      <c r="DZ17" s="56">
        <v>1075.2</v>
      </c>
      <c r="EA17" s="56">
        <v>1051</v>
      </c>
      <c r="EB17" s="56">
        <v>1044.0999999999999</v>
      </c>
      <c r="EC17" s="56">
        <v>1038.4000000000001</v>
      </c>
      <c r="ED17" s="56">
        <v>1021.3</v>
      </c>
      <c r="EE17" s="56">
        <v>1020.8</v>
      </c>
      <c r="EF17" s="56">
        <v>950.7</v>
      </c>
      <c r="EG17" s="56">
        <v>1021.3</v>
      </c>
      <c r="EH17" s="56">
        <v>1012.3</v>
      </c>
      <c r="EI17" s="56">
        <v>1026.8</v>
      </c>
      <c r="EJ17" s="56">
        <v>1064.4000000000001</v>
      </c>
      <c r="EK17" s="56">
        <v>1091.5999999999999</v>
      </c>
      <c r="EL17" s="56">
        <v>1172.3</v>
      </c>
      <c r="EM17" s="56">
        <v>1196.3</v>
      </c>
      <c r="EN17" s="56">
        <v>1225.5</v>
      </c>
      <c r="EO17" s="56">
        <v>1255.8</v>
      </c>
      <c r="EP17" s="56">
        <v>1320.5</v>
      </c>
      <c r="EQ17" s="56">
        <v>1351.3</v>
      </c>
      <c r="ER17" s="56">
        <v>1358.6</v>
      </c>
      <c r="ES17" s="56">
        <v>1397.5</v>
      </c>
      <c r="ET17" s="56">
        <v>1466.5</v>
      </c>
      <c r="EU17" s="56">
        <v>1495.9</v>
      </c>
      <c r="EV17" s="56">
        <v>1498.9</v>
      </c>
      <c r="EW17" s="56">
        <v>1508.6</v>
      </c>
      <c r="EX17" s="56">
        <v>1535.1</v>
      </c>
      <c r="EY17" s="56">
        <v>1552.5</v>
      </c>
      <c r="EZ17" s="56">
        <v>1497.5</v>
      </c>
      <c r="FA17" s="56">
        <v>1444.9</v>
      </c>
      <c r="FB17" s="56">
        <v>1202.4000000000001</v>
      </c>
      <c r="FC17" s="56">
        <v>1131.0999999999999</v>
      </c>
      <c r="FD17" s="56">
        <v>1135.3</v>
      </c>
      <c r="FE17" s="56">
        <v>1140.7</v>
      </c>
      <c r="FF17" s="56">
        <v>1191.8</v>
      </c>
      <c r="FG17" s="56">
        <v>1213.2</v>
      </c>
      <c r="FH17" s="56">
        <v>1256.3</v>
      </c>
      <c r="FI17" s="56">
        <v>1289.0999999999999</v>
      </c>
      <c r="FJ17" s="56">
        <v>1426.6</v>
      </c>
      <c r="FK17" s="56">
        <v>1445.9</v>
      </c>
      <c r="FL17" s="56">
        <v>1471.4</v>
      </c>
      <c r="FM17" s="56">
        <v>1470.9</v>
      </c>
      <c r="FN17" s="56">
        <v>1468.3</v>
      </c>
      <c r="FO17" s="56">
        <v>1487.7</v>
      </c>
      <c r="FP17" s="56">
        <v>1510</v>
      </c>
      <c r="FQ17" s="56">
        <v>1572</v>
      </c>
      <c r="FR17" s="56">
        <v>1650.8</v>
      </c>
      <c r="FS17" s="56">
        <v>1683.9</v>
      </c>
      <c r="FT17" s="56">
        <v>1676.3</v>
      </c>
      <c r="FU17" s="56">
        <v>1699.1</v>
      </c>
      <c r="FV17" s="56">
        <v>1745.8</v>
      </c>
      <c r="FW17" s="56">
        <v>1759.5</v>
      </c>
      <c r="FX17" s="56">
        <v>1799.8</v>
      </c>
      <c r="FY17" s="56">
        <v>1837.7</v>
      </c>
      <c r="FZ17" s="56">
        <v>1905.6</v>
      </c>
      <c r="GA17" s="56">
        <v>1943.9</v>
      </c>
      <c r="GB17" s="56">
        <v>1948.3</v>
      </c>
      <c r="GC17" s="56">
        <v>1965.8</v>
      </c>
      <c r="GD17" s="56">
        <v>1925.3</v>
      </c>
      <c r="GE17" s="56">
        <v>1944</v>
      </c>
      <c r="GF17" s="56">
        <v>1972.5</v>
      </c>
      <c r="GG17" s="56">
        <v>1993.2</v>
      </c>
      <c r="GH17" s="56">
        <v>2004.2</v>
      </c>
      <c r="GI17" s="56">
        <v>2012.3</v>
      </c>
      <c r="GJ17" s="56">
        <v>2055.1</v>
      </c>
      <c r="GK17" s="56">
        <v>2123.6999999999998</v>
      </c>
      <c r="GL17" s="56">
        <v>2071.6</v>
      </c>
      <c r="GM17" s="56">
        <v>2058.1</v>
      </c>
      <c r="GN17" s="56">
        <v>2085.3000000000002</v>
      </c>
      <c r="GO17" s="56">
        <v>2081.6</v>
      </c>
      <c r="GP17" s="56">
        <v>2155.4</v>
      </c>
      <c r="GQ17" s="56">
        <v>2217.6999999999998</v>
      </c>
      <c r="GR17" s="56">
        <v>2195.3000000000002</v>
      </c>
      <c r="GS17" s="56">
        <v>2226.1999999999998</v>
      </c>
      <c r="GT17" s="56">
        <v>2247.6999999999998</v>
      </c>
      <c r="GU17" s="56">
        <v>2107.4</v>
      </c>
      <c r="GV17" s="56">
        <v>2248.1999999999998</v>
      </c>
      <c r="GW17" s="56">
        <v>2377.8000000000002</v>
      </c>
      <c r="GX17" s="56">
        <v>2547.6999999999998</v>
      </c>
      <c r="GY17" s="56">
        <v>2675.6</v>
      </c>
      <c r="GZ17" s="56">
        <v>2750</v>
      </c>
      <c r="HA17" s="56">
        <v>2847</v>
      </c>
      <c r="HB17" s="56">
        <v>3254.1</v>
      </c>
      <c r="HC17">
        <v>3297.4</v>
      </c>
      <c r="HD17">
        <v>3224.9</v>
      </c>
      <c r="HE17">
        <v>3203.3</v>
      </c>
      <c r="HF17">
        <v>2834.2</v>
      </c>
      <c r="HG17">
        <v>2828.4</v>
      </c>
      <c r="HH17">
        <v>2866</v>
      </c>
      <c r="HI17">
        <v>2894.3</v>
      </c>
      <c r="HJ17">
        <v>2965.6</v>
      </c>
      <c r="HK17">
        <v>3005.4</v>
      </c>
      <c r="HL17">
        <v>3054.2</v>
      </c>
      <c r="HM17">
        <v>3105.4</v>
      </c>
      <c r="HN17">
        <v>3162.1</v>
      </c>
    </row>
    <row r="18" spans="1:222" x14ac:dyDescent="0.25">
      <c r="A18" s="56" t="s">
        <v>2223</v>
      </c>
      <c r="B18" s="56">
        <v>88.5</v>
      </c>
      <c r="C18" s="56">
        <v>90.5</v>
      </c>
      <c r="D18" s="56">
        <v>92.5</v>
      </c>
      <c r="E18" s="56">
        <v>94.1</v>
      </c>
      <c r="F18" s="56">
        <v>97.7</v>
      </c>
      <c r="G18" s="56">
        <v>98.9</v>
      </c>
      <c r="H18" s="56">
        <v>101.7</v>
      </c>
      <c r="I18" s="56">
        <v>103.7</v>
      </c>
      <c r="J18" s="56">
        <v>104.6</v>
      </c>
      <c r="K18" s="56">
        <v>106.8</v>
      </c>
      <c r="L18" s="56">
        <v>108.9</v>
      </c>
      <c r="M18" s="56">
        <v>111.5</v>
      </c>
      <c r="N18" s="56">
        <v>114.6</v>
      </c>
      <c r="O18" s="56">
        <v>116.2</v>
      </c>
      <c r="P18" s="56">
        <v>118.4</v>
      </c>
      <c r="Q18" s="56">
        <v>119.7</v>
      </c>
      <c r="R18" s="56">
        <v>120.8</v>
      </c>
      <c r="S18" s="56">
        <v>124.1</v>
      </c>
      <c r="T18" s="56">
        <v>127.1</v>
      </c>
      <c r="U18" s="56">
        <v>127.7</v>
      </c>
      <c r="V18" s="56">
        <v>128.80000000000001</v>
      </c>
      <c r="W18" s="56">
        <v>133</v>
      </c>
      <c r="X18" s="56">
        <v>138.19999999999999</v>
      </c>
      <c r="Y18" s="56">
        <v>141.1</v>
      </c>
      <c r="Z18" s="56">
        <v>141.69999999999999</v>
      </c>
      <c r="AA18" s="56">
        <v>144.9</v>
      </c>
      <c r="AB18" s="56">
        <v>147.69999999999999</v>
      </c>
      <c r="AC18" s="56">
        <v>151.30000000000001</v>
      </c>
      <c r="AD18" s="56">
        <v>154.80000000000001</v>
      </c>
      <c r="AE18" s="56">
        <v>158</v>
      </c>
      <c r="AF18" s="56">
        <v>161.5</v>
      </c>
      <c r="AG18" s="56">
        <v>164.3</v>
      </c>
      <c r="AH18" s="56">
        <v>166.9</v>
      </c>
      <c r="AI18" s="56">
        <v>173.1</v>
      </c>
      <c r="AJ18" s="56">
        <v>169.7</v>
      </c>
      <c r="AK18" s="56">
        <v>173.9</v>
      </c>
      <c r="AL18" s="56">
        <v>176.4</v>
      </c>
      <c r="AM18" s="56">
        <v>178.5</v>
      </c>
      <c r="AN18" s="56">
        <v>180.9</v>
      </c>
      <c r="AO18" s="56">
        <v>184.6</v>
      </c>
      <c r="AP18" s="56">
        <v>189.5</v>
      </c>
      <c r="AQ18" s="56">
        <v>196.9</v>
      </c>
      <c r="AR18" s="56">
        <v>204.3</v>
      </c>
      <c r="AS18" s="56">
        <v>210.6</v>
      </c>
      <c r="AT18" s="56">
        <v>230.8</v>
      </c>
      <c r="AU18" s="56">
        <v>235.5</v>
      </c>
      <c r="AV18" s="56">
        <v>237.5</v>
      </c>
      <c r="AW18" s="56">
        <v>238.8</v>
      </c>
      <c r="AX18" s="56">
        <v>237.4</v>
      </c>
      <c r="AY18" s="56">
        <v>238.3</v>
      </c>
      <c r="AZ18" s="56">
        <v>241.8</v>
      </c>
      <c r="BA18" s="56">
        <v>246.3</v>
      </c>
      <c r="BB18" s="56">
        <v>250.7</v>
      </c>
      <c r="BC18" s="56">
        <v>261.2</v>
      </c>
      <c r="BD18" s="56">
        <v>267.5</v>
      </c>
      <c r="BE18" s="56">
        <v>273.7</v>
      </c>
      <c r="BF18" s="56">
        <v>281.60000000000002</v>
      </c>
      <c r="BG18" s="56">
        <v>287.7</v>
      </c>
      <c r="BH18" s="56">
        <v>292.2</v>
      </c>
      <c r="BI18" s="56">
        <v>297.5</v>
      </c>
      <c r="BJ18" s="56">
        <v>301</v>
      </c>
      <c r="BK18" s="56">
        <v>305.7</v>
      </c>
      <c r="BL18" s="56">
        <v>311.89999999999998</v>
      </c>
      <c r="BM18" s="56">
        <v>313.89999999999998</v>
      </c>
      <c r="BN18" s="56">
        <v>317.5</v>
      </c>
      <c r="BO18" s="56">
        <v>319.5</v>
      </c>
      <c r="BP18" s="56">
        <v>326.2</v>
      </c>
      <c r="BQ18" s="56">
        <v>330.4</v>
      </c>
      <c r="BR18" s="56">
        <v>336</v>
      </c>
      <c r="BS18" s="56">
        <v>344.4</v>
      </c>
      <c r="BT18" s="56">
        <v>352.4</v>
      </c>
      <c r="BU18" s="56">
        <v>357.4</v>
      </c>
      <c r="BV18" s="56">
        <v>365.2</v>
      </c>
      <c r="BW18" s="56">
        <v>372.5</v>
      </c>
      <c r="BX18" s="56">
        <v>377.5</v>
      </c>
      <c r="BY18" s="56">
        <v>382.6</v>
      </c>
      <c r="BZ18" s="56">
        <v>391</v>
      </c>
      <c r="CA18" s="56">
        <v>397.5</v>
      </c>
      <c r="CB18" s="56">
        <v>403.9</v>
      </c>
      <c r="CC18" s="56">
        <v>403</v>
      </c>
      <c r="CD18" s="56">
        <v>419.5</v>
      </c>
      <c r="CE18" s="56">
        <v>419.5</v>
      </c>
      <c r="CF18" s="56">
        <v>426.8</v>
      </c>
      <c r="CG18" s="56">
        <v>434.2</v>
      </c>
      <c r="CH18" s="56">
        <v>444</v>
      </c>
      <c r="CI18" s="56">
        <v>451.6</v>
      </c>
      <c r="CJ18" s="56">
        <v>461.3</v>
      </c>
      <c r="CK18" s="56">
        <v>471.5</v>
      </c>
      <c r="CL18" s="56">
        <v>476.4</v>
      </c>
      <c r="CM18" s="56">
        <v>481.2</v>
      </c>
      <c r="CN18" s="56">
        <v>486</v>
      </c>
      <c r="CO18" s="56">
        <v>489.9</v>
      </c>
      <c r="CP18" s="56">
        <v>489.7</v>
      </c>
      <c r="CQ18" s="56">
        <v>497.6</v>
      </c>
      <c r="CR18" s="56">
        <v>504.9</v>
      </c>
      <c r="CS18" s="56">
        <v>520.29999999999995</v>
      </c>
      <c r="CT18" s="56">
        <v>531.5</v>
      </c>
      <c r="CU18" s="56">
        <v>544.4</v>
      </c>
      <c r="CV18" s="56">
        <v>550.5</v>
      </c>
      <c r="CW18" s="56">
        <v>554.6</v>
      </c>
      <c r="CX18" s="56">
        <v>555.29999999999995</v>
      </c>
      <c r="CY18" s="56">
        <v>553.6</v>
      </c>
      <c r="CZ18" s="56">
        <v>558.9</v>
      </c>
      <c r="DA18" s="56">
        <v>563.79999999999995</v>
      </c>
      <c r="DB18" s="56">
        <v>570.4</v>
      </c>
      <c r="DC18" s="56">
        <v>577.70000000000005</v>
      </c>
      <c r="DD18" s="56">
        <v>581.79999999999995</v>
      </c>
      <c r="DE18" s="56">
        <v>593.20000000000005</v>
      </c>
      <c r="DF18" s="56">
        <v>595.70000000000005</v>
      </c>
      <c r="DG18" s="56">
        <v>610.4</v>
      </c>
      <c r="DH18" s="56">
        <v>616.6</v>
      </c>
      <c r="DI18" s="56">
        <v>623.79999999999995</v>
      </c>
      <c r="DJ18" s="56">
        <v>629.1</v>
      </c>
      <c r="DK18" s="56">
        <v>635.5</v>
      </c>
      <c r="DL18" s="56">
        <v>643</v>
      </c>
      <c r="DM18" s="56">
        <v>650.29999999999995</v>
      </c>
      <c r="DN18" s="56">
        <v>657.5</v>
      </c>
      <c r="DO18" s="56">
        <v>667.1</v>
      </c>
      <c r="DP18" s="56">
        <v>679</v>
      </c>
      <c r="DQ18" s="56">
        <v>690.7</v>
      </c>
      <c r="DR18" s="56">
        <v>698.6</v>
      </c>
      <c r="DS18" s="56">
        <v>707.3</v>
      </c>
      <c r="DT18" s="56">
        <v>711.3</v>
      </c>
      <c r="DU18" s="56">
        <v>717.1</v>
      </c>
      <c r="DV18" s="56">
        <v>724.2</v>
      </c>
      <c r="DW18" s="56">
        <v>724.1</v>
      </c>
      <c r="DX18" s="56">
        <v>725.3</v>
      </c>
      <c r="DY18" s="56">
        <v>737.1</v>
      </c>
      <c r="DZ18" s="56">
        <v>744</v>
      </c>
      <c r="EA18" s="56">
        <v>751.3</v>
      </c>
      <c r="EB18" s="56">
        <v>768.5</v>
      </c>
      <c r="EC18" s="56">
        <v>776.3</v>
      </c>
      <c r="ED18" s="56">
        <v>788.6</v>
      </c>
      <c r="EE18" s="56">
        <v>800</v>
      </c>
      <c r="EF18" s="56">
        <v>813</v>
      </c>
      <c r="EG18" s="56">
        <v>820.9</v>
      </c>
      <c r="EH18" s="56">
        <v>847.3</v>
      </c>
      <c r="EI18" s="56">
        <v>859.9</v>
      </c>
      <c r="EJ18" s="56">
        <v>871.3</v>
      </c>
      <c r="EK18" s="56">
        <v>893.8</v>
      </c>
      <c r="EL18" s="56">
        <v>915.1</v>
      </c>
      <c r="EM18" s="56">
        <v>937.3</v>
      </c>
      <c r="EN18" s="56">
        <v>952.1</v>
      </c>
      <c r="EO18" s="56">
        <v>965.3</v>
      </c>
      <c r="EP18" s="56">
        <v>981.8</v>
      </c>
      <c r="EQ18" s="56">
        <v>991.7</v>
      </c>
      <c r="ER18" s="56">
        <v>1004.1</v>
      </c>
      <c r="ES18" s="56">
        <v>1010.5</v>
      </c>
      <c r="ET18" s="56">
        <v>1025.9000000000001</v>
      </c>
      <c r="EU18" s="56">
        <v>1033.0999999999999</v>
      </c>
      <c r="EV18" s="56">
        <v>1035.8</v>
      </c>
      <c r="EW18" s="56">
        <v>1052.5999999999999</v>
      </c>
      <c r="EX18" s="56">
        <v>1045.7</v>
      </c>
      <c r="EY18" s="56">
        <v>1054.7</v>
      </c>
      <c r="EZ18" s="56">
        <v>1058.5</v>
      </c>
      <c r="FA18" s="56">
        <v>1040</v>
      </c>
      <c r="FB18" s="56">
        <v>1015.9</v>
      </c>
      <c r="FC18" s="56">
        <v>1017.3</v>
      </c>
      <c r="FD18" s="56">
        <v>1028.8</v>
      </c>
      <c r="FE18" s="56">
        <v>1045.3</v>
      </c>
      <c r="FF18" s="56">
        <v>1044.5999999999999</v>
      </c>
      <c r="FG18" s="56">
        <v>1062.0999999999999</v>
      </c>
      <c r="FH18" s="56">
        <v>1069.0999999999999</v>
      </c>
      <c r="FI18" s="56">
        <v>1076.4000000000001</v>
      </c>
      <c r="FJ18" s="56">
        <v>1091.5</v>
      </c>
      <c r="FK18" s="56">
        <v>1105.5</v>
      </c>
      <c r="FL18" s="56">
        <v>1103.9000000000001</v>
      </c>
      <c r="FM18" s="56">
        <v>1114</v>
      </c>
      <c r="FN18" s="56">
        <v>1130.9000000000001</v>
      </c>
      <c r="FO18" s="56">
        <v>1133.9000000000001</v>
      </c>
      <c r="FP18" s="56">
        <v>1131.3</v>
      </c>
      <c r="FQ18" s="56">
        <v>1148.4000000000001</v>
      </c>
      <c r="FR18" s="56">
        <v>1175.4000000000001</v>
      </c>
      <c r="FS18" s="56">
        <v>1179.4000000000001</v>
      </c>
      <c r="FT18" s="56">
        <v>1190.2</v>
      </c>
      <c r="FU18" s="56">
        <v>1198.3</v>
      </c>
      <c r="FV18" s="56">
        <v>1215.9000000000001</v>
      </c>
      <c r="FW18" s="56">
        <v>1234.8</v>
      </c>
      <c r="FX18" s="56">
        <v>1245.5999999999999</v>
      </c>
      <c r="FY18" s="56">
        <v>1254.4000000000001</v>
      </c>
      <c r="FZ18" s="56">
        <v>1259.0999999999999</v>
      </c>
      <c r="GA18" s="56">
        <v>1270.9000000000001</v>
      </c>
      <c r="GB18" s="56">
        <v>1275.8</v>
      </c>
      <c r="GC18" s="56">
        <v>1288</v>
      </c>
      <c r="GD18" s="56">
        <v>1292.5</v>
      </c>
      <c r="GE18" s="56">
        <v>1297.5</v>
      </c>
      <c r="GF18" s="56">
        <v>1320.1</v>
      </c>
      <c r="GG18" s="56">
        <v>1326.4</v>
      </c>
      <c r="GH18" s="56">
        <v>1336.9</v>
      </c>
      <c r="GI18" s="56">
        <v>1353.5</v>
      </c>
      <c r="GJ18" s="56">
        <v>1372</v>
      </c>
      <c r="GK18" s="56">
        <v>1393.5</v>
      </c>
      <c r="GL18" s="56">
        <v>1423.3</v>
      </c>
      <c r="GM18" s="56">
        <v>1440.9</v>
      </c>
      <c r="GN18" s="56">
        <v>1463.6</v>
      </c>
      <c r="GO18" s="56">
        <v>1500.6</v>
      </c>
      <c r="GP18" s="56">
        <v>1508.3</v>
      </c>
      <c r="GQ18" s="56">
        <v>1520.2</v>
      </c>
      <c r="GR18" s="56">
        <v>1553.6</v>
      </c>
      <c r="GS18" s="56">
        <v>1552.4</v>
      </c>
      <c r="GT18" s="56">
        <v>1557.2</v>
      </c>
      <c r="GU18" s="56">
        <v>1418</v>
      </c>
      <c r="GV18" s="56">
        <v>1539.4</v>
      </c>
      <c r="GW18" s="56">
        <v>1570.4</v>
      </c>
      <c r="GX18" s="56">
        <v>1598.3</v>
      </c>
      <c r="GY18" s="56">
        <v>1704.8</v>
      </c>
      <c r="GZ18" s="56">
        <v>1722.1</v>
      </c>
      <c r="HA18" s="56">
        <v>1775.1</v>
      </c>
      <c r="HB18" s="56">
        <v>1812.4</v>
      </c>
      <c r="HC18">
        <v>1853.2</v>
      </c>
      <c r="HD18">
        <v>1868.5</v>
      </c>
      <c r="HE18">
        <v>1866.9</v>
      </c>
      <c r="HF18">
        <v>1877.4</v>
      </c>
      <c r="HG18">
        <v>1885.2</v>
      </c>
      <c r="HH18">
        <v>1896.2</v>
      </c>
      <c r="HI18">
        <v>1913.6</v>
      </c>
      <c r="HJ18">
        <v>1938</v>
      </c>
      <c r="HK18">
        <v>1954.7</v>
      </c>
      <c r="HL18">
        <v>1975.9</v>
      </c>
      <c r="HM18">
        <v>2004.2</v>
      </c>
      <c r="HN18">
        <v>2037.8</v>
      </c>
    </row>
    <row r="19" spans="1:222" x14ac:dyDescent="0.25">
      <c r="A19" s="56" t="s">
        <v>2224</v>
      </c>
      <c r="B19" s="56">
        <v>30.7</v>
      </c>
      <c r="C19" s="56">
        <v>30.8</v>
      </c>
      <c r="D19" s="56">
        <v>31.7</v>
      </c>
      <c r="E19" s="56">
        <v>30.2</v>
      </c>
      <c r="F19" s="56">
        <v>34</v>
      </c>
      <c r="G19" s="56">
        <v>34.9</v>
      </c>
      <c r="H19" s="56">
        <v>34.1</v>
      </c>
      <c r="I19" s="56">
        <v>34.6</v>
      </c>
      <c r="J19" s="56">
        <v>36.799999999999997</v>
      </c>
      <c r="K19" s="56">
        <v>37.1</v>
      </c>
      <c r="L19" s="56">
        <v>38.299999999999997</v>
      </c>
      <c r="M19" s="56">
        <v>42.4</v>
      </c>
      <c r="N19" s="56">
        <v>45.3</v>
      </c>
      <c r="O19" s="56">
        <v>45.4</v>
      </c>
      <c r="P19" s="56">
        <v>43.4</v>
      </c>
      <c r="Q19" s="56">
        <v>45.6</v>
      </c>
      <c r="R19" s="56">
        <v>43.7</v>
      </c>
      <c r="S19" s="56">
        <v>45.9</v>
      </c>
      <c r="T19" s="56">
        <v>50.8</v>
      </c>
      <c r="U19" s="56">
        <v>44.6</v>
      </c>
      <c r="V19" s="56">
        <v>37.6</v>
      </c>
      <c r="W19" s="56">
        <v>40.799999999999997</v>
      </c>
      <c r="X19" s="56">
        <v>51.4</v>
      </c>
      <c r="Y19" s="56">
        <v>52.3</v>
      </c>
      <c r="Z19" s="56">
        <v>59.6</v>
      </c>
      <c r="AA19" s="56">
        <v>58.6</v>
      </c>
      <c r="AB19" s="56">
        <v>58.1</v>
      </c>
      <c r="AC19" s="56">
        <v>57.1</v>
      </c>
      <c r="AD19" s="56">
        <v>61.5</v>
      </c>
      <c r="AE19" s="56">
        <v>67.099999999999994</v>
      </c>
      <c r="AF19" s="56">
        <v>69.7</v>
      </c>
      <c r="AG19" s="56">
        <v>70.099999999999994</v>
      </c>
      <c r="AH19" s="56">
        <v>65</v>
      </c>
      <c r="AI19" s="56">
        <v>78.599999999999994</v>
      </c>
      <c r="AJ19" s="56">
        <v>79.099999999999994</v>
      </c>
      <c r="AK19" s="56">
        <v>83.3</v>
      </c>
      <c r="AL19" s="56">
        <v>80.3</v>
      </c>
      <c r="AM19" s="56">
        <v>80.3</v>
      </c>
      <c r="AN19" s="56">
        <v>78.900000000000006</v>
      </c>
      <c r="AO19" s="56">
        <v>75.3</v>
      </c>
      <c r="AP19" s="56">
        <v>83.1</v>
      </c>
      <c r="AQ19" s="56">
        <v>62.6</v>
      </c>
      <c r="AR19" s="56">
        <v>69.900000000000006</v>
      </c>
      <c r="AS19" s="56">
        <v>76.8</v>
      </c>
      <c r="AT19" s="56">
        <v>75.400000000000006</v>
      </c>
      <c r="AU19" s="56">
        <v>65.900000000000006</v>
      </c>
      <c r="AV19" s="56">
        <v>68.400000000000006</v>
      </c>
      <c r="AW19" s="56">
        <v>58.9</v>
      </c>
      <c r="AX19" s="56">
        <v>47.6</v>
      </c>
      <c r="AY19" s="56">
        <v>49</v>
      </c>
      <c r="AZ19" s="56">
        <v>49.8</v>
      </c>
      <c r="BA19" s="56">
        <v>45.1</v>
      </c>
      <c r="BB19" s="56">
        <v>47.1</v>
      </c>
      <c r="BC19" s="56">
        <v>61.9</v>
      </c>
      <c r="BD19" s="56">
        <v>70.7</v>
      </c>
      <c r="BE19" s="56">
        <v>72.400000000000006</v>
      </c>
      <c r="BF19" s="56">
        <v>84.9</v>
      </c>
      <c r="BG19" s="56">
        <v>83.7</v>
      </c>
      <c r="BH19" s="56">
        <v>71.3</v>
      </c>
      <c r="BI19" s="56">
        <v>72.099999999999994</v>
      </c>
      <c r="BJ19" s="56">
        <v>77.7</v>
      </c>
      <c r="BK19" s="56">
        <v>76</v>
      </c>
      <c r="BL19" s="56">
        <v>81.7</v>
      </c>
      <c r="BM19" s="56">
        <v>79.5</v>
      </c>
      <c r="BN19" s="56">
        <v>84.4</v>
      </c>
      <c r="BO19" s="56">
        <v>85.5</v>
      </c>
      <c r="BP19" s="56">
        <v>86.9</v>
      </c>
      <c r="BQ19" s="56">
        <v>97.9</v>
      </c>
      <c r="BR19" s="56">
        <v>98.7</v>
      </c>
      <c r="BS19" s="56">
        <v>111.8</v>
      </c>
      <c r="BT19" s="56">
        <v>116.2</v>
      </c>
      <c r="BU19" s="56">
        <v>110.7</v>
      </c>
      <c r="BV19" s="56">
        <v>108</v>
      </c>
      <c r="BW19" s="56">
        <v>115.3</v>
      </c>
      <c r="BX19" s="56">
        <v>125.1</v>
      </c>
      <c r="BY19" s="56">
        <v>130.9</v>
      </c>
      <c r="BZ19" s="56">
        <v>132.69999999999999</v>
      </c>
      <c r="CA19" s="56">
        <v>118.7</v>
      </c>
      <c r="CB19" s="56">
        <v>114.4</v>
      </c>
      <c r="CC19" s="56">
        <v>113.5</v>
      </c>
      <c r="CD19" s="56">
        <v>112.5</v>
      </c>
      <c r="CE19" s="56">
        <v>116.8</v>
      </c>
      <c r="CF19" s="56">
        <v>119.9</v>
      </c>
      <c r="CG19" s="56">
        <v>118.8</v>
      </c>
      <c r="CH19" s="56">
        <v>115.3</v>
      </c>
      <c r="CI19" s="56">
        <v>110.9</v>
      </c>
      <c r="CJ19" s="56">
        <v>111.9</v>
      </c>
      <c r="CK19" s="56">
        <v>113.1</v>
      </c>
      <c r="CL19" s="56">
        <v>125</v>
      </c>
      <c r="CM19" s="56">
        <v>126.8</v>
      </c>
      <c r="CN19" s="56">
        <v>122.1</v>
      </c>
      <c r="CO19" s="56">
        <v>131.6</v>
      </c>
      <c r="CP19" s="56">
        <v>136.4</v>
      </c>
      <c r="CQ19" s="56">
        <v>148.69999999999999</v>
      </c>
      <c r="CR19" s="56">
        <v>140.69999999999999</v>
      </c>
      <c r="CS19" s="56">
        <v>171.9</v>
      </c>
      <c r="CT19" s="56">
        <v>149.5</v>
      </c>
      <c r="CU19" s="56">
        <v>158</v>
      </c>
      <c r="CV19" s="56">
        <v>173.8</v>
      </c>
      <c r="CW19" s="56">
        <v>183.6</v>
      </c>
      <c r="CX19" s="56">
        <v>187.8</v>
      </c>
      <c r="CY19" s="56">
        <v>184.4</v>
      </c>
      <c r="CZ19" s="56">
        <v>191</v>
      </c>
      <c r="DA19" s="56">
        <v>187.1</v>
      </c>
      <c r="DB19" s="56">
        <v>194.3</v>
      </c>
      <c r="DC19" s="56">
        <v>205.5</v>
      </c>
      <c r="DD19" s="56">
        <v>205.9</v>
      </c>
      <c r="DE19" s="56">
        <v>208.6</v>
      </c>
      <c r="DF19" s="56">
        <v>210</v>
      </c>
      <c r="DG19" s="56">
        <v>214</v>
      </c>
      <c r="DH19" s="56">
        <v>226</v>
      </c>
      <c r="DI19" s="56">
        <v>215.9</v>
      </c>
      <c r="DJ19" s="56">
        <v>213.5</v>
      </c>
      <c r="DK19" s="56">
        <v>209.9</v>
      </c>
      <c r="DL19" s="56">
        <v>215.8</v>
      </c>
      <c r="DM19" s="56">
        <v>211.3</v>
      </c>
      <c r="DN19" s="56">
        <v>222.3</v>
      </c>
      <c r="DO19" s="56">
        <v>219.9</v>
      </c>
      <c r="DP19" s="56">
        <v>223.3</v>
      </c>
      <c r="DQ19" s="56">
        <v>228</v>
      </c>
      <c r="DR19" s="56">
        <v>239.4</v>
      </c>
      <c r="DS19" s="56">
        <v>237.6</v>
      </c>
      <c r="DT19" s="56">
        <v>219</v>
      </c>
      <c r="DU19" s="56">
        <v>221.3</v>
      </c>
      <c r="DV19" s="56">
        <v>185.1</v>
      </c>
      <c r="DW19" s="56">
        <v>179</v>
      </c>
      <c r="DX19" s="56">
        <v>159.30000000000001</v>
      </c>
      <c r="DY19" s="56">
        <v>142.4</v>
      </c>
      <c r="DZ19" s="56">
        <v>143.80000000000001</v>
      </c>
      <c r="EA19" s="56">
        <v>150</v>
      </c>
      <c r="EB19" s="56">
        <v>158</v>
      </c>
      <c r="EC19" s="56">
        <v>175.5</v>
      </c>
      <c r="ED19" s="56">
        <v>196.1</v>
      </c>
      <c r="EE19" s="56">
        <v>192.6</v>
      </c>
      <c r="EF19" s="56">
        <v>213.9</v>
      </c>
      <c r="EG19" s="56">
        <v>236.6</v>
      </c>
      <c r="EH19" s="56">
        <v>247</v>
      </c>
      <c r="EI19" s="56">
        <v>266.8</v>
      </c>
      <c r="EJ19" s="56">
        <v>288.3</v>
      </c>
      <c r="EK19" s="56">
        <v>293.60000000000002</v>
      </c>
      <c r="EL19" s="56">
        <v>370.6</v>
      </c>
      <c r="EM19" s="56">
        <v>359</v>
      </c>
      <c r="EN19" s="56">
        <v>365.2</v>
      </c>
      <c r="EO19" s="56">
        <v>402.9</v>
      </c>
      <c r="EP19" s="56">
        <v>416.9</v>
      </c>
      <c r="EQ19" s="56">
        <v>427.6</v>
      </c>
      <c r="ER19" s="56">
        <v>446.6</v>
      </c>
      <c r="ES19" s="56">
        <v>409.8</v>
      </c>
      <c r="ET19" s="56">
        <v>413.6</v>
      </c>
      <c r="EU19" s="56">
        <v>407.2</v>
      </c>
      <c r="EV19" s="56">
        <v>370.9</v>
      </c>
      <c r="EW19" s="56">
        <v>352.7</v>
      </c>
      <c r="EX19" s="56">
        <v>291.89999999999998</v>
      </c>
      <c r="EY19" s="56">
        <v>278.7</v>
      </c>
      <c r="EZ19" s="56">
        <v>264.39999999999998</v>
      </c>
      <c r="FA19" s="56">
        <v>162.6</v>
      </c>
      <c r="FB19" s="56">
        <v>166.5</v>
      </c>
      <c r="FC19" s="56">
        <v>188.6</v>
      </c>
      <c r="FD19" s="56">
        <v>200.7</v>
      </c>
      <c r="FE19" s="56">
        <v>234.2</v>
      </c>
      <c r="FF19" s="56">
        <v>249.8</v>
      </c>
      <c r="FG19" s="56">
        <v>255.6</v>
      </c>
      <c r="FH19" s="56">
        <v>272.60000000000002</v>
      </c>
      <c r="FI19" s="56">
        <v>284</v>
      </c>
      <c r="FJ19" s="56">
        <v>277.3</v>
      </c>
      <c r="FK19" s="56">
        <v>276.89999999999998</v>
      </c>
      <c r="FL19" s="56">
        <v>248.2</v>
      </c>
      <c r="FM19" s="56">
        <v>287</v>
      </c>
      <c r="FN19" s="56">
        <v>310.7</v>
      </c>
      <c r="FO19" s="56">
        <v>325</v>
      </c>
      <c r="FP19" s="56">
        <v>332.9</v>
      </c>
      <c r="FQ19" s="56">
        <v>332.8</v>
      </c>
      <c r="FR19" s="56">
        <v>350.6</v>
      </c>
      <c r="FS19" s="56">
        <v>347.2</v>
      </c>
      <c r="FT19" s="56">
        <v>353.9</v>
      </c>
      <c r="FU19" s="56">
        <v>356.6</v>
      </c>
      <c r="FV19" s="56">
        <v>392.6</v>
      </c>
      <c r="FW19" s="56">
        <v>414.3</v>
      </c>
      <c r="FX19" s="56">
        <v>386.7</v>
      </c>
      <c r="FY19" s="56">
        <v>390.4</v>
      </c>
      <c r="FZ19" s="56">
        <v>402.7</v>
      </c>
      <c r="GA19" s="56">
        <v>408.3</v>
      </c>
      <c r="GB19" s="56">
        <v>380.2</v>
      </c>
      <c r="GC19" s="56">
        <v>349.3</v>
      </c>
      <c r="GD19" s="56">
        <v>364.1</v>
      </c>
      <c r="GE19" s="56">
        <v>367.1</v>
      </c>
      <c r="GF19" s="56">
        <v>375.5</v>
      </c>
      <c r="GG19" s="56">
        <v>353.4</v>
      </c>
      <c r="GH19" s="56">
        <v>266.89999999999998</v>
      </c>
      <c r="GI19" s="56">
        <v>279.60000000000002</v>
      </c>
      <c r="GJ19" s="56">
        <v>295.7</v>
      </c>
      <c r="GK19" s="56">
        <v>296.89999999999998</v>
      </c>
      <c r="GL19" s="56">
        <v>270.39999999999998</v>
      </c>
      <c r="GM19" s="56">
        <v>289.5</v>
      </c>
      <c r="GN19" s="56">
        <v>287.10000000000002</v>
      </c>
      <c r="GO19" s="56">
        <v>293.3</v>
      </c>
      <c r="GP19" s="56">
        <v>269.2</v>
      </c>
      <c r="GQ19" s="56">
        <v>282.39999999999998</v>
      </c>
      <c r="GR19" s="56">
        <v>281</v>
      </c>
      <c r="GS19" s="56">
        <v>302.2</v>
      </c>
      <c r="GT19" s="56">
        <v>255.9</v>
      </c>
      <c r="GU19" s="56">
        <v>266</v>
      </c>
      <c r="GV19" s="56">
        <v>340.1</v>
      </c>
      <c r="GW19" s="56">
        <v>333.6</v>
      </c>
      <c r="GX19" s="56">
        <v>373.1</v>
      </c>
      <c r="GY19" s="56">
        <v>437.6</v>
      </c>
      <c r="GZ19" s="56">
        <v>463.9</v>
      </c>
      <c r="HA19" s="56">
        <v>526</v>
      </c>
      <c r="HB19">
        <v>550.4</v>
      </c>
      <c r="HC19">
        <v>574.70000000000005</v>
      </c>
      <c r="HD19">
        <v>561.20000000000005</v>
      </c>
      <c r="HE19">
        <v>569.1</v>
      </c>
      <c r="HF19">
        <v>592.9</v>
      </c>
      <c r="HG19">
        <v>591.9</v>
      </c>
      <c r="HH19">
        <v>617.79999999999995</v>
      </c>
      <c r="HI19">
        <v>631.70000000000005</v>
      </c>
      <c r="HJ19">
        <v>630.29999999999995</v>
      </c>
      <c r="HK19">
        <v>657.4</v>
      </c>
      <c r="HL19">
        <v>655.7</v>
      </c>
      <c r="HM19">
        <v>676.2</v>
      </c>
    </row>
    <row r="20" spans="1:222" x14ac:dyDescent="0.25">
      <c r="A20" s="56" t="s">
        <v>2225</v>
      </c>
      <c r="B20" s="56">
        <v>247.9</v>
      </c>
      <c r="C20" s="56">
        <v>249.1</v>
      </c>
      <c r="D20" s="56">
        <v>254.6</v>
      </c>
      <c r="E20" s="56">
        <v>258.7</v>
      </c>
      <c r="F20" s="56">
        <v>261.89999999999998</v>
      </c>
      <c r="G20" s="56">
        <v>266.10000000000002</v>
      </c>
      <c r="H20" s="56">
        <v>269.8</v>
      </c>
      <c r="I20" s="56">
        <v>272.10000000000002</v>
      </c>
      <c r="J20" s="56">
        <v>282.2</v>
      </c>
      <c r="K20" s="56">
        <v>286.5</v>
      </c>
      <c r="L20" s="56">
        <v>284.3</v>
      </c>
      <c r="M20" s="56">
        <v>291.7</v>
      </c>
      <c r="N20" s="56">
        <v>299.60000000000002</v>
      </c>
      <c r="O20" s="56">
        <v>302.7</v>
      </c>
      <c r="P20" s="56">
        <v>304.2</v>
      </c>
      <c r="Q20" s="56">
        <v>312.60000000000002</v>
      </c>
      <c r="R20" s="56">
        <v>324.60000000000002</v>
      </c>
      <c r="S20" s="56">
        <v>335</v>
      </c>
      <c r="T20" s="56">
        <v>346.7</v>
      </c>
      <c r="U20" s="56">
        <v>359.2</v>
      </c>
      <c r="V20" s="56">
        <v>370.1</v>
      </c>
      <c r="W20" s="56">
        <v>373.4</v>
      </c>
      <c r="X20" s="56">
        <v>385.4</v>
      </c>
      <c r="Y20" s="56">
        <v>395.6</v>
      </c>
      <c r="Z20" s="56">
        <v>401.3</v>
      </c>
      <c r="AA20" s="56">
        <v>401</v>
      </c>
      <c r="AB20" s="56">
        <v>403.5</v>
      </c>
      <c r="AC20" s="56">
        <v>410.8</v>
      </c>
      <c r="AD20" s="56">
        <v>421.2</v>
      </c>
      <c r="AE20" s="56">
        <v>431.4</v>
      </c>
      <c r="AF20" s="56">
        <v>438</v>
      </c>
      <c r="AG20" s="56">
        <v>446.7</v>
      </c>
      <c r="AH20" s="56">
        <v>452.6</v>
      </c>
      <c r="AI20" s="56">
        <v>472.3</v>
      </c>
      <c r="AJ20" s="56">
        <v>484.2</v>
      </c>
      <c r="AK20" s="56">
        <v>496.2</v>
      </c>
      <c r="AL20" s="56">
        <v>501.8</v>
      </c>
      <c r="AM20" s="56">
        <v>516.5</v>
      </c>
      <c r="AN20" s="56">
        <v>533.1</v>
      </c>
      <c r="AO20" s="56">
        <v>547.79999999999995</v>
      </c>
      <c r="AP20" s="56">
        <v>568.79999999999995</v>
      </c>
      <c r="AQ20" s="56">
        <v>588.5</v>
      </c>
      <c r="AR20" s="56">
        <v>592.20000000000005</v>
      </c>
      <c r="AS20" s="56">
        <v>608.9</v>
      </c>
      <c r="AT20" s="56">
        <v>633.4</v>
      </c>
      <c r="AU20" s="56">
        <v>648.70000000000005</v>
      </c>
      <c r="AV20" s="56">
        <v>657.8</v>
      </c>
      <c r="AW20" s="56">
        <v>677.7</v>
      </c>
      <c r="AX20" s="56">
        <v>688.1</v>
      </c>
      <c r="AY20" s="56">
        <v>703.1</v>
      </c>
      <c r="AZ20" s="56">
        <v>717.3</v>
      </c>
      <c r="BA20" s="56">
        <v>737.4</v>
      </c>
      <c r="BB20" s="56">
        <v>747.9</v>
      </c>
      <c r="BC20" s="56">
        <v>761.1</v>
      </c>
      <c r="BD20" s="56">
        <v>782.2</v>
      </c>
      <c r="BE20" s="56">
        <v>775.1</v>
      </c>
      <c r="BF20" s="56">
        <v>794</v>
      </c>
      <c r="BG20" s="56">
        <v>819.1</v>
      </c>
      <c r="BH20" s="56">
        <v>835.7</v>
      </c>
      <c r="BI20" s="56">
        <v>862.8</v>
      </c>
      <c r="BJ20" s="56">
        <v>875.6</v>
      </c>
      <c r="BK20" s="56">
        <v>900.5</v>
      </c>
      <c r="BL20" s="56">
        <v>927.4</v>
      </c>
      <c r="BM20" s="56">
        <v>938.6</v>
      </c>
      <c r="BN20" s="56">
        <v>946.8</v>
      </c>
      <c r="BO20" s="56">
        <v>967.5</v>
      </c>
      <c r="BP20" s="56">
        <v>993.6</v>
      </c>
      <c r="BQ20" s="56">
        <v>996.4</v>
      </c>
      <c r="BR20" s="56">
        <v>1008.7</v>
      </c>
      <c r="BS20" s="56">
        <v>1025.2</v>
      </c>
      <c r="BT20" s="56">
        <v>1036.2</v>
      </c>
      <c r="BU20" s="56">
        <v>1056</v>
      </c>
      <c r="BV20" s="56">
        <v>1056.9000000000001</v>
      </c>
      <c r="BW20" s="56">
        <v>1070.4000000000001</v>
      </c>
      <c r="BX20" s="56">
        <v>1078.2</v>
      </c>
      <c r="BY20" s="56">
        <v>1109.9000000000001</v>
      </c>
      <c r="BZ20" s="56">
        <v>1116.5999999999999</v>
      </c>
      <c r="CA20" s="56">
        <v>1145.8</v>
      </c>
      <c r="CB20" s="56">
        <v>1164.5999999999999</v>
      </c>
      <c r="CC20" s="56">
        <v>1180.5</v>
      </c>
      <c r="CD20" s="56">
        <v>1212.5</v>
      </c>
      <c r="CE20" s="56">
        <v>1230.7</v>
      </c>
      <c r="CF20" s="56">
        <v>1242.5999999999999</v>
      </c>
      <c r="CG20" s="56">
        <v>1268.5</v>
      </c>
      <c r="CH20" s="56">
        <v>1284.2</v>
      </c>
      <c r="CI20" s="56">
        <v>1296.5999999999999</v>
      </c>
      <c r="CJ20" s="56">
        <v>1306.3</v>
      </c>
      <c r="CK20" s="56">
        <v>1308.8</v>
      </c>
      <c r="CL20" s="56">
        <v>1326.4</v>
      </c>
      <c r="CM20" s="56">
        <v>1334.8</v>
      </c>
      <c r="CN20" s="56">
        <v>1354</v>
      </c>
      <c r="CO20" s="56">
        <v>1362.8</v>
      </c>
      <c r="CP20" s="56">
        <v>1351.8</v>
      </c>
      <c r="CQ20" s="56">
        <v>1359.1</v>
      </c>
      <c r="CR20" s="56">
        <v>1367.4</v>
      </c>
      <c r="CS20" s="56">
        <v>1381.4</v>
      </c>
      <c r="CT20" s="56">
        <v>1373.4</v>
      </c>
      <c r="CU20" s="56">
        <v>1389.4</v>
      </c>
      <c r="CV20" s="56">
        <v>1423.4</v>
      </c>
      <c r="CW20" s="56">
        <v>1422.9</v>
      </c>
      <c r="CX20" s="56">
        <v>1437.6</v>
      </c>
      <c r="CY20" s="56">
        <v>1452.9</v>
      </c>
      <c r="CZ20" s="56">
        <v>1455.7</v>
      </c>
      <c r="DA20" s="56">
        <v>1451.6</v>
      </c>
      <c r="DB20" s="56">
        <v>1471.3</v>
      </c>
      <c r="DC20" s="56">
        <v>1487.7</v>
      </c>
      <c r="DD20" s="56">
        <v>1496.7</v>
      </c>
      <c r="DE20" s="56">
        <v>1515.7</v>
      </c>
      <c r="DF20" s="56">
        <v>1516</v>
      </c>
      <c r="DG20" s="56">
        <v>1542.5</v>
      </c>
      <c r="DH20" s="56">
        <v>1555.2</v>
      </c>
      <c r="DI20" s="56">
        <v>1574.8</v>
      </c>
      <c r="DJ20" s="56">
        <v>1568</v>
      </c>
      <c r="DK20" s="56">
        <v>1603.7</v>
      </c>
      <c r="DL20" s="56">
        <v>1627.3</v>
      </c>
      <c r="DM20" s="56">
        <v>1647.5</v>
      </c>
      <c r="DN20" s="56">
        <v>1669.1</v>
      </c>
      <c r="DO20" s="56">
        <v>1694.8</v>
      </c>
      <c r="DP20" s="56">
        <v>1734</v>
      </c>
      <c r="DQ20" s="56">
        <v>1781.7</v>
      </c>
      <c r="DR20" s="56">
        <v>1789.9</v>
      </c>
      <c r="DS20" s="56">
        <v>1822.5</v>
      </c>
      <c r="DT20" s="56">
        <v>1832.1</v>
      </c>
      <c r="DU20" s="56">
        <v>1861.3</v>
      </c>
      <c r="DV20" s="56">
        <v>1906.3</v>
      </c>
      <c r="DW20" s="56">
        <v>1947.7</v>
      </c>
      <c r="DX20" s="56">
        <v>1953.4</v>
      </c>
      <c r="DY20" s="56">
        <v>1992.7</v>
      </c>
      <c r="DZ20" s="56">
        <v>2040</v>
      </c>
      <c r="EA20" s="56">
        <v>2074.5</v>
      </c>
      <c r="EB20" s="56">
        <v>2101.3000000000002</v>
      </c>
      <c r="EC20" s="56">
        <v>2142.1999999999998</v>
      </c>
      <c r="ED20" s="56">
        <v>2172</v>
      </c>
      <c r="EE20" s="56">
        <v>2198.8000000000002</v>
      </c>
      <c r="EF20" s="56">
        <v>2220.4</v>
      </c>
      <c r="EG20" s="56">
        <v>2251.1999999999998</v>
      </c>
      <c r="EH20" s="56">
        <v>2286.6</v>
      </c>
      <c r="EI20" s="56">
        <v>2320.6999999999998</v>
      </c>
      <c r="EJ20" s="56">
        <v>2356.4</v>
      </c>
      <c r="EK20" s="56">
        <v>2388.8000000000002</v>
      </c>
      <c r="EL20" s="56">
        <v>2426.1</v>
      </c>
      <c r="EM20" s="56">
        <v>2452.1999999999998</v>
      </c>
      <c r="EN20" s="56">
        <v>2494.4</v>
      </c>
      <c r="EO20" s="56">
        <v>2528.4</v>
      </c>
      <c r="EP20" s="56">
        <v>2580.1</v>
      </c>
      <c r="EQ20" s="56">
        <v>2610.6</v>
      </c>
      <c r="ER20" s="56">
        <v>2630.3</v>
      </c>
      <c r="ES20" s="56">
        <v>2674.5</v>
      </c>
      <c r="ET20" s="56">
        <v>2718.5</v>
      </c>
      <c r="EU20" s="56">
        <v>2770</v>
      </c>
      <c r="EV20" s="56">
        <v>2808.7</v>
      </c>
      <c r="EW20" s="56">
        <v>2865.1</v>
      </c>
      <c r="EX20" s="56">
        <v>2909.6</v>
      </c>
      <c r="EY20" s="56">
        <v>2971.6</v>
      </c>
      <c r="EZ20" s="56">
        <v>3029</v>
      </c>
      <c r="FA20" s="56">
        <v>3021.8</v>
      </c>
      <c r="FB20" s="56">
        <v>3022</v>
      </c>
      <c r="FC20" s="56">
        <v>3070.5</v>
      </c>
      <c r="FD20" s="56">
        <v>3092.1</v>
      </c>
      <c r="FE20" s="56">
        <v>3120.8</v>
      </c>
      <c r="FF20" s="56">
        <v>3133.8</v>
      </c>
      <c r="FG20" s="56">
        <v>3165.8</v>
      </c>
      <c r="FH20" s="56">
        <v>3158.3</v>
      </c>
      <c r="FI20" s="56">
        <v>3164.3</v>
      </c>
      <c r="FJ20" s="56">
        <v>3155.8</v>
      </c>
      <c r="FK20" s="56">
        <v>3168.3</v>
      </c>
      <c r="FL20" s="56">
        <v>3136.9</v>
      </c>
      <c r="FM20" s="56">
        <v>3130.8</v>
      </c>
      <c r="FN20" s="56">
        <v>3144</v>
      </c>
      <c r="FO20" s="56">
        <v>3130.4</v>
      </c>
      <c r="FP20" s="56">
        <v>3139.1</v>
      </c>
      <c r="FQ20" s="56">
        <v>3132.3</v>
      </c>
      <c r="FR20" s="56">
        <v>3123.5</v>
      </c>
      <c r="FS20" s="56">
        <v>3131.1</v>
      </c>
      <c r="FT20" s="56">
        <v>3135.2</v>
      </c>
      <c r="FU20" s="56">
        <v>3140.5</v>
      </c>
      <c r="FV20" s="56">
        <v>3139.1</v>
      </c>
      <c r="FW20" s="56">
        <v>3154.4</v>
      </c>
      <c r="FX20" s="56">
        <v>3191.7</v>
      </c>
      <c r="FY20" s="56">
        <v>3189.3</v>
      </c>
      <c r="FZ20" s="56">
        <v>3187.9</v>
      </c>
      <c r="GA20" s="56">
        <v>3234.1</v>
      </c>
      <c r="GB20" s="56">
        <v>3253.6</v>
      </c>
      <c r="GC20" s="56">
        <v>3258.1</v>
      </c>
      <c r="GD20" s="56">
        <v>3270.1</v>
      </c>
      <c r="GE20" s="56">
        <v>3289.6</v>
      </c>
      <c r="GF20" s="56">
        <v>3315.2</v>
      </c>
      <c r="GG20" s="56">
        <v>3337.2</v>
      </c>
      <c r="GH20" s="56">
        <v>3353.1</v>
      </c>
      <c r="GI20" s="56">
        <v>3370.4</v>
      </c>
      <c r="GJ20" s="56">
        <v>3398.9</v>
      </c>
      <c r="GK20" s="56">
        <v>3466.1</v>
      </c>
      <c r="GL20" s="56">
        <v>3513.9</v>
      </c>
      <c r="GM20" s="56">
        <v>3570.7</v>
      </c>
      <c r="GN20" s="56">
        <v>3626.1</v>
      </c>
      <c r="GO20" s="56">
        <v>3650.8</v>
      </c>
      <c r="GP20" s="56">
        <v>3702.9</v>
      </c>
      <c r="GQ20" s="56">
        <v>3761.2</v>
      </c>
      <c r="GR20" s="56">
        <v>3814.8</v>
      </c>
      <c r="GS20" s="56">
        <v>3865</v>
      </c>
      <c r="GT20" s="56">
        <v>3943</v>
      </c>
      <c r="GU20" s="56">
        <v>4026</v>
      </c>
      <c r="GV20" s="56">
        <v>4001.6</v>
      </c>
      <c r="GW20" s="56">
        <v>4028</v>
      </c>
      <c r="GX20" s="56">
        <v>4147.6000000000004</v>
      </c>
      <c r="GY20" s="56">
        <v>4170</v>
      </c>
      <c r="GZ20" s="56">
        <v>4214</v>
      </c>
      <c r="HA20" s="56">
        <v>4282.3</v>
      </c>
      <c r="HB20" s="56">
        <v>4332.6000000000004</v>
      </c>
      <c r="HC20">
        <v>4437.6000000000004</v>
      </c>
      <c r="HD20">
        <v>4480.1000000000004</v>
      </c>
      <c r="HE20">
        <v>4564.8</v>
      </c>
      <c r="HF20">
        <v>4624.6000000000004</v>
      </c>
      <c r="HG20">
        <v>4645.8999999999996</v>
      </c>
      <c r="HH20">
        <v>4756.3999999999996</v>
      </c>
      <c r="HI20">
        <v>4815.2</v>
      </c>
      <c r="HJ20">
        <v>4881</v>
      </c>
      <c r="HK20">
        <v>4943</v>
      </c>
      <c r="HL20">
        <v>5035</v>
      </c>
      <c r="HM20">
        <v>5099.7</v>
      </c>
      <c r="HN20">
        <v>5140.5</v>
      </c>
    </row>
    <row r="21" spans="1:222" x14ac:dyDescent="0.25">
      <c r="A21" s="56" t="s">
        <v>2226</v>
      </c>
      <c r="B21" s="56">
        <v>46.2</v>
      </c>
      <c r="C21" s="56">
        <v>46.5</v>
      </c>
      <c r="D21" s="56">
        <v>46.9</v>
      </c>
      <c r="E21" s="56">
        <v>46.7</v>
      </c>
      <c r="F21" s="56">
        <v>50.8</v>
      </c>
      <c r="G21" s="56">
        <v>51.4</v>
      </c>
      <c r="H21" s="56">
        <v>51.6</v>
      </c>
      <c r="I21" s="56">
        <v>52.2</v>
      </c>
      <c r="J21" s="56">
        <v>58.5</v>
      </c>
      <c r="K21" s="56">
        <v>59.2</v>
      </c>
      <c r="L21" s="56">
        <v>59.9</v>
      </c>
      <c r="M21" s="56">
        <v>60.8</v>
      </c>
      <c r="N21" s="56">
        <v>74.099999999999994</v>
      </c>
      <c r="O21" s="56">
        <v>75.3</v>
      </c>
      <c r="P21" s="56">
        <v>76.599999999999994</v>
      </c>
      <c r="Q21" s="56">
        <v>78.099999999999994</v>
      </c>
      <c r="R21" s="56">
        <v>83.7</v>
      </c>
      <c r="S21" s="56">
        <v>85.3</v>
      </c>
      <c r="T21" s="56">
        <v>86.9</v>
      </c>
      <c r="U21" s="56">
        <v>87.1</v>
      </c>
      <c r="V21" s="56">
        <v>88.2</v>
      </c>
      <c r="W21" s="56">
        <v>88.6</v>
      </c>
      <c r="X21" s="56">
        <v>90.3</v>
      </c>
      <c r="Y21" s="56">
        <v>92.4</v>
      </c>
      <c r="Z21" s="56">
        <v>99.6</v>
      </c>
      <c r="AA21" s="56">
        <v>101.1</v>
      </c>
      <c r="AB21" s="56">
        <v>102.8</v>
      </c>
      <c r="AC21" s="56">
        <v>104.4</v>
      </c>
      <c r="AD21" s="56">
        <v>110</v>
      </c>
      <c r="AE21" s="56">
        <v>112.8</v>
      </c>
      <c r="AF21" s="56">
        <v>115.1</v>
      </c>
      <c r="AG21" s="56">
        <v>117.5</v>
      </c>
      <c r="AH21" s="56">
        <v>124.7</v>
      </c>
      <c r="AI21" s="56">
        <v>129.9</v>
      </c>
      <c r="AJ21" s="56">
        <v>134.19999999999999</v>
      </c>
      <c r="AK21" s="56">
        <v>139.6</v>
      </c>
      <c r="AL21" s="56">
        <v>146.9</v>
      </c>
      <c r="AM21" s="56">
        <v>151.19999999999999</v>
      </c>
      <c r="AN21" s="56">
        <v>156.30000000000001</v>
      </c>
      <c r="AO21" s="56">
        <v>160.30000000000001</v>
      </c>
      <c r="AP21" s="56">
        <v>162.9</v>
      </c>
      <c r="AQ21" s="56">
        <v>163.9</v>
      </c>
      <c r="AR21" s="56">
        <v>168</v>
      </c>
      <c r="AS21" s="56">
        <v>174</v>
      </c>
      <c r="AT21" s="56">
        <v>191</v>
      </c>
      <c r="AU21" s="56">
        <v>194.8</v>
      </c>
      <c r="AV21" s="56">
        <v>199.5</v>
      </c>
      <c r="AW21" s="56">
        <v>202.2</v>
      </c>
      <c r="AX21" s="56">
        <v>207.2</v>
      </c>
      <c r="AY21" s="56">
        <v>209.2</v>
      </c>
      <c r="AZ21" s="56">
        <v>211.5</v>
      </c>
      <c r="BA21" s="56">
        <v>212.4</v>
      </c>
      <c r="BB21" s="56">
        <v>220.2</v>
      </c>
      <c r="BC21" s="56">
        <v>224.2</v>
      </c>
      <c r="BD21" s="56">
        <v>228.9</v>
      </c>
      <c r="BE21" s="56">
        <v>235.5</v>
      </c>
      <c r="BF21" s="56">
        <v>250.8</v>
      </c>
      <c r="BG21" s="56">
        <v>256.8</v>
      </c>
      <c r="BH21" s="56">
        <v>261.8</v>
      </c>
      <c r="BI21" s="56">
        <v>265.8</v>
      </c>
      <c r="BJ21" s="56">
        <v>275.7</v>
      </c>
      <c r="BK21" s="56">
        <v>279.8</v>
      </c>
      <c r="BL21" s="56">
        <v>284.60000000000002</v>
      </c>
      <c r="BM21" s="56">
        <v>291.10000000000002</v>
      </c>
      <c r="BN21" s="56">
        <v>298.2</v>
      </c>
      <c r="BO21" s="56">
        <v>301.89999999999998</v>
      </c>
      <c r="BP21" s="56">
        <v>306.89999999999998</v>
      </c>
      <c r="BQ21" s="56">
        <v>312.60000000000002</v>
      </c>
      <c r="BR21" s="56">
        <v>317.39999999999998</v>
      </c>
      <c r="BS21" s="56">
        <v>321.5</v>
      </c>
      <c r="BT21" s="56">
        <v>326.3</v>
      </c>
      <c r="BU21" s="56">
        <v>333.3</v>
      </c>
      <c r="BV21" s="56">
        <v>352.7</v>
      </c>
      <c r="BW21" s="56">
        <v>360</v>
      </c>
      <c r="BX21" s="56">
        <v>366.2</v>
      </c>
      <c r="BY21" s="56">
        <v>373.7</v>
      </c>
      <c r="BZ21" s="56">
        <v>379.7</v>
      </c>
      <c r="CA21" s="56">
        <v>384.3</v>
      </c>
      <c r="CB21" s="56">
        <v>388.9</v>
      </c>
      <c r="CC21" s="56">
        <v>394.9</v>
      </c>
      <c r="CD21" s="56">
        <v>403.5</v>
      </c>
      <c r="CE21" s="56">
        <v>408.8</v>
      </c>
      <c r="CF21" s="56">
        <v>416.6</v>
      </c>
      <c r="CG21" s="56">
        <v>419.4</v>
      </c>
      <c r="CH21" s="56">
        <v>423</v>
      </c>
      <c r="CI21" s="56">
        <v>429.7</v>
      </c>
      <c r="CJ21" s="56">
        <v>435.6</v>
      </c>
      <c r="CK21" s="56">
        <v>440.6</v>
      </c>
      <c r="CL21" s="56">
        <v>452.5</v>
      </c>
      <c r="CM21" s="56">
        <v>458.1</v>
      </c>
      <c r="CN21" s="56">
        <v>461.2</v>
      </c>
      <c r="CO21" s="56">
        <v>456.5</v>
      </c>
      <c r="CP21" s="56">
        <v>475.9</v>
      </c>
      <c r="CQ21" s="56">
        <v>476.4</v>
      </c>
      <c r="CR21" s="56">
        <v>481</v>
      </c>
      <c r="CS21" s="56">
        <v>485.2</v>
      </c>
      <c r="CT21" s="56">
        <v>500.4</v>
      </c>
      <c r="CU21" s="56">
        <v>507.6</v>
      </c>
      <c r="CV21" s="56">
        <v>513.6</v>
      </c>
      <c r="CW21" s="56">
        <v>521.1</v>
      </c>
      <c r="CX21" s="56">
        <v>528.20000000000005</v>
      </c>
      <c r="CY21" s="56">
        <v>532.70000000000005</v>
      </c>
      <c r="CZ21" s="56">
        <v>538.1</v>
      </c>
      <c r="DA21" s="56">
        <v>543.1</v>
      </c>
      <c r="DB21" s="56">
        <v>545.9</v>
      </c>
      <c r="DC21" s="56">
        <v>554.4</v>
      </c>
      <c r="DD21" s="56">
        <v>561.79999999999995</v>
      </c>
      <c r="DE21" s="56">
        <v>569.4</v>
      </c>
      <c r="DF21" s="56">
        <v>577.29999999999995</v>
      </c>
      <c r="DG21" s="56">
        <v>584.9</v>
      </c>
      <c r="DH21" s="56">
        <v>593.6</v>
      </c>
      <c r="DI21" s="56">
        <v>605.29999999999995</v>
      </c>
      <c r="DJ21" s="56">
        <v>613.29999999999995</v>
      </c>
      <c r="DK21" s="56">
        <v>622.79999999999995</v>
      </c>
      <c r="DL21" s="56">
        <v>632.6</v>
      </c>
      <c r="DM21" s="56">
        <v>642.4</v>
      </c>
      <c r="DN21" s="56">
        <v>653.29999999999995</v>
      </c>
      <c r="DO21" s="56">
        <v>659</v>
      </c>
      <c r="DP21" s="56">
        <v>666.4</v>
      </c>
      <c r="DQ21" s="56">
        <v>679.6</v>
      </c>
      <c r="DR21" s="56">
        <v>699.5</v>
      </c>
      <c r="DS21" s="56">
        <v>701.9</v>
      </c>
      <c r="DT21" s="56">
        <v>715.2</v>
      </c>
      <c r="DU21" s="56">
        <v>721</v>
      </c>
      <c r="DV21" s="56">
        <v>736.1</v>
      </c>
      <c r="DW21" s="56">
        <v>736.9</v>
      </c>
      <c r="DX21" s="56">
        <v>736.1</v>
      </c>
      <c r="DY21" s="56">
        <v>738.7</v>
      </c>
      <c r="DZ21" s="56">
        <v>746.9</v>
      </c>
      <c r="EA21" s="56">
        <v>755.3</v>
      </c>
      <c r="EB21" s="56">
        <v>758.1</v>
      </c>
      <c r="EC21" s="56">
        <v>760.8</v>
      </c>
      <c r="ED21" s="56">
        <v>767.1</v>
      </c>
      <c r="EE21" s="56">
        <v>777.8</v>
      </c>
      <c r="EF21" s="56">
        <v>787.7</v>
      </c>
      <c r="EG21" s="56">
        <v>800.1</v>
      </c>
      <c r="EH21" s="56">
        <v>813.4</v>
      </c>
      <c r="EI21" s="56">
        <v>828</v>
      </c>
      <c r="EJ21" s="56">
        <v>843.7</v>
      </c>
      <c r="EK21" s="56">
        <v>849.5</v>
      </c>
      <c r="EL21" s="56">
        <v>862.7</v>
      </c>
      <c r="EM21" s="56">
        <v>871</v>
      </c>
      <c r="EN21" s="56">
        <v>884.2</v>
      </c>
      <c r="EO21" s="56">
        <v>894.1</v>
      </c>
      <c r="EP21" s="56">
        <v>917.9</v>
      </c>
      <c r="EQ21" s="56">
        <v>922.7</v>
      </c>
      <c r="ER21" s="56">
        <v>927.2</v>
      </c>
      <c r="ES21" s="56">
        <v>940.8</v>
      </c>
      <c r="ET21" s="56">
        <v>960.4</v>
      </c>
      <c r="EU21" s="56">
        <v>962</v>
      </c>
      <c r="EV21" s="56">
        <v>965.3</v>
      </c>
      <c r="EW21" s="56">
        <v>976.9</v>
      </c>
      <c r="EX21" s="56">
        <v>988.8</v>
      </c>
      <c r="EY21" s="56">
        <v>991</v>
      </c>
      <c r="EZ21" s="56">
        <v>996.4</v>
      </c>
      <c r="FA21" s="56">
        <v>996.6</v>
      </c>
      <c r="FB21" s="56">
        <v>964.7</v>
      </c>
      <c r="FC21" s="56">
        <v>971.2</v>
      </c>
      <c r="FD21" s="56">
        <v>968.8</v>
      </c>
      <c r="FE21" s="56">
        <v>972.2</v>
      </c>
      <c r="FF21" s="56">
        <v>978.6</v>
      </c>
      <c r="FG21" s="56">
        <v>989.5</v>
      </c>
      <c r="FH21" s="56">
        <v>992.3</v>
      </c>
      <c r="FI21" s="56">
        <v>994.3</v>
      </c>
      <c r="FJ21" s="56">
        <v>916.2</v>
      </c>
      <c r="FK21" s="56">
        <v>918.9</v>
      </c>
      <c r="FL21" s="56">
        <v>927.3</v>
      </c>
      <c r="FM21" s="56">
        <v>921.9</v>
      </c>
      <c r="FN21" s="56">
        <v>944.9</v>
      </c>
      <c r="FO21" s="56">
        <v>949.4</v>
      </c>
      <c r="FP21" s="56">
        <v>952.3</v>
      </c>
      <c r="FQ21" s="56">
        <v>974.1</v>
      </c>
      <c r="FR21" s="56">
        <v>1095.9000000000001</v>
      </c>
      <c r="FS21" s="56">
        <v>1108.2</v>
      </c>
      <c r="FT21" s="56">
        <v>1111.4000000000001</v>
      </c>
      <c r="FU21" s="56">
        <v>1122.3</v>
      </c>
      <c r="FV21" s="56">
        <v>1145</v>
      </c>
      <c r="FW21" s="56">
        <v>1149.7</v>
      </c>
      <c r="FX21" s="56">
        <v>1161.4000000000001</v>
      </c>
      <c r="FY21" s="56">
        <v>1179.0999999999999</v>
      </c>
      <c r="FZ21" s="56">
        <v>1194.2</v>
      </c>
      <c r="GA21" s="56">
        <v>1206.0999999999999</v>
      </c>
      <c r="GB21" s="56">
        <v>1216.0999999999999</v>
      </c>
      <c r="GC21" s="56">
        <v>1223.5999999999999</v>
      </c>
      <c r="GD21" s="56">
        <v>1230.8</v>
      </c>
      <c r="GE21" s="56">
        <v>1237</v>
      </c>
      <c r="GF21" s="56">
        <v>1248.0999999999999</v>
      </c>
      <c r="GG21" s="56">
        <v>1261.5</v>
      </c>
      <c r="GH21" s="56">
        <v>1282.5999999999999</v>
      </c>
      <c r="GI21" s="56">
        <v>1294.9000000000001</v>
      </c>
      <c r="GJ21" s="56">
        <v>1310.0999999999999</v>
      </c>
      <c r="GK21" s="56">
        <v>1329.1</v>
      </c>
      <c r="GL21" s="56">
        <v>1349.1</v>
      </c>
      <c r="GM21" s="56">
        <v>1359</v>
      </c>
      <c r="GN21" s="56">
        <v>1375.7</v>
      </c>
      <c r="GO21" s="56">
        <v>1384.3</v>
      </c>
      <c r="GP21" s="56">
        <v>1416.9</v>
      </c>
      <c r="GQ21" s="56">
        <v>1424.3</v>
      </c>
      <c r="GR21" s="56">
        <v>1430.9</v>
      </c>
      <c r="GS21" s="56">
        <v>1448.6</v>
      </c>
      <c r="GT21" s="56">
        <v>1473.5</v>
      </c>
      <c r="GU21" s="56">
        <v>1403</v>
      </c>
      <c r="GV21" s="56">
        <v>1452.9</v>
      </c>
      <c r="GW21" s="56">
        <v>1490.8</v>
      </c>
      <c r="GX21" s="56">
        <v>1508.4</v>
      </c>
      <c r="GY21" s="56">
        <v>1544.5</v>
      </c>
      <c r="GZ21" s="56">
        <v>1581.6</v>
      </c>
      <c r="HA21" s="56">
        <v>1626.7</v>
      </c>
      <c r="HB21" s="56">
        <v>1666.3</v>
      </c>
      <c r="HC21">
        <v>1689</v>
      </c>
      <c r="HD21">
        <v>1735.8</v>
      </c>
      <c r="HE21">
        <v>1751.8</v>
      </c>
      <c r="HF21">
        <v>1781.9</v>
      </c>
      <c r="HG21">
        <v>1810.5</v>
      </c>
      <c r="HH21">
        <v>1839.3</v>
      </c>
      <c r="HI21">
        <v>1858.9</v>
      </c>
      <c r="HJ21">
        <v>1889</v>
      </c>
      <c r="HK21">
        <v>1896.1</v>
      </c>
      <c r="HL21">
        <v>1903.9</v>
      </c>
      <c r="HM21">
        <v>1924.5</v>
      </c>
      <c r="HN21">
        <v>1952.8</v>
      </c>
    </row>
    <row r="22" spans="1:222" x14ac:dyDescent="0.25">
      <c r="A22" s="56" t="s">
        <v>2227</v>
      </c>
      <c r="B22" s="56">
        <v>19.443000000000001</v>
      </c>
      <c r="C22" s="56">
        <v>19.658999999999999</v>
      </c>
      <c r="D22" s="56">
        <v>19.850000000000001</v>
      </c>
      <c r="E22" s="56">
        <v>20.106999999999999</v>
      </c>
      <c r="F22" s="56">
        <v>20.297000000000001</v>
      </c>
      <c r="G22" s="56">
        <v>20.527999999999999</v>
      </c>
      <c r="H22" s="56">
        <v>20.728999999999999</v>
      </c>
      <c r="I22" s="56">
        <v>20.856999999999999</v>
      </c>
      <c r="J22" s="56">
        <v>21.076000000000001</v>
      </c>
      <c r="K22" s="56">
        <v>21.198</v>
      </c>
      <c r="L22" s="56">
        <v>21.384</v>
      </c>
      <c r="M22" s="56">
        <v>21.559000000000001</v>
      </c>
      <c r="N22" s="56">
        <v>21.821000000000002</v>
      </c>
      <c r="O22" s="56">
        <v>22.241</v>
      </c>
      <c r="P22" s="56">
        <v>22.646999999999998</v>
      </c>
      <c r="Q22" s="56">
        <v>23.111999999999998</v>
      </c>
      <c r="R22" s="56">
        <v>23.8</v>
      </c>
      <c r="S22" s="56">
        <v>24.474</v>
      </c>
      <c r="T22" s="56">
        <v>25.134</v>
      </c>
      <c r="U22" s="56">
        <v>25.77</v>
      </c>
      <c r="V22" s="56">
        <v>26.251000000000001</v>
      </c>
      <c r="W22" s="56">
        <v>26.571000000000002</v>
      </c>
      <c r="X22" s="56">
        <v>27.067</v>
      </c>
      <c r="Y22" s="56">
        <v>27.521000000000001</v>
      </c>
      <c r="Z22" s="56">
        <v>27.826000000000001</v>
      </c>
      <c r="AA22" s="56">
        <v>28.06</v>
      </c>
      <c r="AB22" s="56">
        <v>28.488</v>
      </c>
      <c r="AC22" s="56">
        <v>28.937999999999999</v>
      </c>
      <c r="AD22" s="56">
        <v>29.46</v>
      </c>
      <c r="AE22" s="56">
        <v>29.963000000000001</v>
      </c>
      <c r="AF22" s="56">
        <v>30.414000000000001</v>
      </c>
      <c r="AG22" s="56">
        <v>30.846</v>
      </c>
      <c r="AH22" s="56">
        <v>31.35</v>
      </c>
      <c r="AI22" s="56">
        <v>31.994</v>
      </c>
      <c r="AJ22" s="56">
        <v>32.555999999999997</v>
      </c>
      <c r="AK22" s="56">
        <v>33.171999999999997</v>
      </c>
      <c r="AL22" s="56">
        <v>33.798000000000002</v>
      </c>
      <c r="AM22" s="56">
        <v>34.722999999999999</v>
      </c>
      <c r="AN22" s="56">
        <v>35.585000000000001</v>
      </c>
      <c r="AO22" s="56">
        <v>36.448</v>
      </c>
      <c r="AP22" s="56">
        <v>37.542000000000002</v>
      </c>
      <c r="AQ22" s="56">
        <v>38.462000000000003</v>
      </c>
      <c r="AR22" s="56">
        <v>39.362000000000002</v>
      </c>
      <c r="AS22" s="56">
        <v>40.337000000000003</v>
      </c>
      <c r="AT22" s="56">
        <v>41.384999999999998</v>
      </c>
      <c r="AU22" s="56">
        <v>42.079000000000001</v>
      </c>
      <c r="AV22" s="56">
        <v>42.771999999999998</v>
      </c>
      <c r="AW22" s="56">
        <v>43.426000000000002</v>
      </c>
      <c r="AX22" s="56">
        <v>43.975000000000001</v>
      </c>
      <c r="AY22" s="56">
        <v>44.396999999999998</v>
      </c>
      <c r="AZ22" s="56">
        <v>45.095999999999997</v>
      </c>
      <c r="BA22" s="56">
        <v>45.591999999999999</v>
      </c>
      <c r="BB22" s="56">
        <v>45.966999999999999</v>
      </c>
      <c r="BC22" s="56">
        <v>46.387</v>
      </c>
      <c r="BD22" s="56">
        <v>46.997</v>
      </c>
      <c r="BE22" s="56">
        <v>47.308999999999997</v>
      </c>
      <c r="BF22" s="56">
        <v>47.823</v>
      </c>
      <c r="BG22" s="56">
        <v>48.287999999999997</v>
      </c>
      <c r="BH22" s="56">
        <v>48.661000000000001</v>
      </c>
      <c r="BI22" s="56">
        <v>48.962000000000003</v>
      </c>
      <c r="BJ22" s="56">
        <v>49.537999999999997</v>
      </c>
      <c r="BK22" s="56">
        <v>49.94</v>
      </c>
      <c r="BL22" s="56">
        <v>50.332000000000001</v>
      </c>
      <c r="BM22" s="56">
        <v>50.683</v>
      </c>
      <c r="BN22" s="56">
        <v>51.043999999999997</v>
      </c>
      <c r="BO22" s="56">
        <v>50.991</v>
      </c>
      <c r="BP22" s="56">
        <v>51.26</v>
      </c>
      <c r="BQ22" s="56">
        <v>51.57</v>
      </c>
      <c r="BR22" s="56">
        <v>52.057000000000002</v>
      </c>
      <c r="BS22" s="56">
        <v>52.558999999999997</v>
      </c>
      <c r="BT22" s="56">
        <v>53.055999999999997</v>
      </c>
      <c r="BU22" s="56">
        <v>53.514000000000003</v>
      </c>
      <c r="BV22" s="56">
        <v>53.936</v>
      </c>
      <c r="BW22" s="56">
        <v>54.531999999999996</v>
      </c>
      <c r="BX22" s="56">
        <v>55.204000000000001</v>
      </c>
      <c r="BY22" s="56">
        <v>55.762</v>
      </c>
      <c r="BZ22" s="56">
        <v>56.404000000000003</v>
      </c>
      <c r="CA22" s="56">
        <v>57.164999999999999</v>
      </c>
      <c r="CB22" s="56">
        <v>57.503</v>
      </c>
      <c r="CC22" s="56">
        <v>57.957000000000001</v>
      </c>
      <c r="CD22" s="56">
        <v>58.798999999999999</v>
      </c>
      <c r="CE22" s="56">
        <v>59.332999999999998</v>
      </c>
      <c r="CF22" s="56">
        <v>60.087000000000003</v>
      </c>
      <c r="CG22" s="56">
        <v>60.881999999999998</v>
      </c>
      <c r="CH22" s="56">
        <v>61.201000000000001</v>
      </c>
      <c r="CI22" s="56">
        <v>61.533999999999999</v>
      </c>
      <c r="CJ22" s="56">
        <v>61.951000000000001</v>
      </c>
      <c r="CK22" s="56">
        <v>62.4</v>
      </c>
      <c r="CL22" s="56">
        <v>62.79</v>
      </c>
      <c r="CM22" s="56">
        <v>63.207000000000001</v>
      </c>
      <c r="CN22" s="56">
        <v>63.61</v>
      </c>
      <c r="CO22" s="56">
        <v>64.054000000000002</v>
      </c>
      <c r="CP22" s="56">
        <v>64.436000000000007</v>
      </c>
      <c r="CQ22" s="56">
        <v>64.869</v>
      </c>
      <c r="CR22" s="56">
        <v>65.150999999999996</v>
      </c>
      <c r="CS22" s="56">
        <v>65.527000000000001</v>
      </c>
      <c r="CT22" s="56">
        <v>65.760999999999996</v>
      </c>
      <c r="CU22" s="56">
        <v>66.128</v>
      </c>
      <c r="CV22" s="56">
        <v>66.602999999999994</v>
      </c>
      <c r="CW22" s="56">
        <v>66.915999999999997</v>
      </c>
      <c r="CX22" s="56">
        <v>67.244</v>
      </c>
      <c r="CY22" s="56">
        <v>67.635000000000005</v>
      </c>
      <c r="CZ22" s="56">
        <v>67.912000000000006</v>
      </c>
      <c r="DA22" s="56">
        <v>68.209999999999994</v>
      </c>
      <c r="DB22" s="56">
        <v>68.588999999999999</v>
      </c>
      <c r="DC22" s="56">
        <v>69.048000000000002</v>
      </c>
      <c r="DD22" s="56">
        <v>69.341999999999999</v>
      </c>
      <c r="DE22" s="56">
        <v>69.814999999999998</v>
      </c>
      <c r="DF22" s="56">
        <v>70.123999999999995</v>
      </c>
      <c r="DG22" s="56">
        <v>70.3</v>
      </c>
      <c r="DH22" s="56">
        <v>70.484999999999999</v>
      </c>
      <c r="DI22" s="56">
        <v>70.706999999999994</v>
      </c>
      <c r="DJ22" s="56">
        <v>70.712999999999994</v>
      </c>
      <c r="DK22" s="56">
        <v>70.84</v>
      </c>
      <c r="DL22" s="56">
        <v>71.058000000000007</v>
      </c>
      <c r="DM22" s="56">
        <v>71.245000000000005</v>
      </c>
      <c r="DN22" s="56">
        <v>71.384</v>
      </c>
      <c r="DO22" s="56">
        <v>71.789000000000001</v>
      </c>
      <c r="DP22" s="56">
        <v>72.183000000000007</v>
      </c>
      <c r="DQ22" s="56">
        <v>72.622</v>
      </c>
      <c r="DR22" s="56">
        <v>73.212000000000003</v>
      </c>
      <c r="DS22" s="56">
        <v>73.561999999999998</v>
      </c>
      <c r="DT22" s="56">
        <v>74.037000000000006</v>
      </c>
      <c r="DU22" s="56">
        <v>74.456999999999994</v>
      </c>
      <c r="DV22" s="56">
        <v>75.010999999999996</v>
      </c>
      <c r="DW22" s="56">
        <v>75.363</v>
      </c>
      <c r="DX22" s="56">
        <v>75.400999999999996</v>
      </c>
      <c r="DY22" s="56">
        <v>75.430999999999997</v>
      </c>
      <c r="DZ22" s="56">
        <v>75.581999999999994</v>
      </c>
      <c r="EA22" s="56">
        <v>76.141999999999996</v>
      </c>
      <c r="EB22" s="56">
        <v>76.534999999999997</v>
      </c>
      <c r="EC22" s="56">
        <v>76.891999999999996</v>
      </c>
      <c r="ED22" s="56">
        <v>77.48</v>
      </c>
      <c r="EE22" s="56">
        <v>77.557000000000002</v>
      </c>
      <c r="EF22" s="56">
        <v>78.067999999999998</v>
      </c>
      <c r="EG22" s="56">
        <v>78.450999999999993</v>
      </c>
      <c r="EH22" s="56">
        <v>79.055999999999997</v>
      </c>
      <c r="EI22" s="56">
        <v>79.587000000000003</v>
      </c>
      <c r="EJ22" s="56">
        <v>79.978999999999999</v>
      </c>
      <c r="EK22" s="56">
        <v>80.662000000000006</v>
      </c>
      <c r="EL22" s="56">
        <v>81.131</v>
      </c>
      <c r="EM22" s="56">
        <v>81.644000000000005</v>
      </c>
      <c r="EN22" s="56">
        <v>82.525999999999996</v>
      </c>
      <c r="EO22" s="56">
        <v>83.183999999999997</v>
      </c>
      <c r="EP22" s="56">
        <v>83.617000000000004</v>
      </c>
      <c r="EQ22" s="56">
        <v>84.352000000000004</v>
      </c>
      <c r="ER22" s="56">
        <v>84.959000000000003</v>
      </c>
      <c r="ES22" s="56">
        <v>84.817999999999998</v>
      </c>
      <c r="ET22" s="56">
        <v>85.593000000000004</v>
      </c>
      <c r="EU22" s="56">
        <v>86.319000000000003</v>
      </c>
      <c r="EV22" s="56">
        <v>86.808000000000007</v>
      </c>
      <c r="EW22" s="56">
        <v>87.691000000000003</v>
      </c>
      <c r="EX22" s="56">
        <v>88.406999999999996</v>
      </c>
      <c r="EY22" s="56">
        <v>89.269000000000005</v>
      </c>
      <c r="EZ22" s="56">
        <v>90.221999999999994</v>
      </c>
      <c r="FA22" s="56">
        <v>88.781000000000006</v>
      </c>
      <c r="FB22" s="56">
        <v>88.180999999999997</v>
      </c>
      <c r="FC22" s="56">
        <v>88.531000000000006</v>
      </c>
      <c r="FD22" s="56">
        <v>89.141000000000005</v>
      </c>
      <c r="FE22" s="56">
        <v>89.828000000000003</v>
      </c>
      <c r="FF22" s="56">
        <v>90.174999999999997</v>
      </c>
      <c r="FG22" s="56">
        <v>90.313999999999993</v>
      </c>
      <c r="FH22" s="56">
        <v>90.488</v>
      </c>
      <c r="FI22" s="56">
        <v>91.067999999999998</v>
      </c>
      <c r="FJ22" s="56">
        <v>91.832999999999998</v>
      </c>
      <c r="FK22" s="56">
        <v>92.736999999999995</v>
      </c>
      <c r="FL22" s="56">
        <v>93.165999999999997</v>
      </c>
      <c r="FM22" s="56">
        <v>93.474000000000004</v>
      </c>
      <c r="FN22" s="56">
        <v>94.093000000000004</v>
      </c>
      <c r="FO22" s="56">
        <v>94.32</v>
      </c>
      <c r="FP22" s="56">
        <v>94.593999999999994</v>
      </c>
      <c r="FQ22" s="56">
        <v>95.123999999999995</v>
      </c>
      <c r="FR22" s="56">
        <v>95.457999999999998</v>
      </c>
      <c r="FS22" s="56">
        <v>95.506</v>
      </c>
      <c r="FT22" s="56">
        <v>95.899000000000001</v>
      </c>
      <c r="FU22" s="56">
        <v>96.251999999999995</v>
      </c>
      <c r="FV22" s="56">
        <v>96.694000000000003</v>
      </c>
      <c r="FW22" s="56">
        <v>97.126000000000005</v>
      </c>
      <c r="FX22" s="56">
        <v>97.391999999999996</v>
      </c>
      <c r="FY22" s="56">
        <v>97.263000000000005</v>
      </c>
      <c r="FZ22" s="56">
        <v>96.826999999999998</v>
      </c>
      <c r="GA22" s="56">
        <v>97.311000000000007</v>
      </c>
      <c r="GB22" s="56">
        <v>97.563000000000002</v>
      </c>
      <c r="GC22" s="56">
        <v>97.488</v>
      </c>
      <c r="GD22" s="56">
        <v>97.534999999999997</v>
      </c>
      <c r="GE22" s="56">
        <v>98.153999999999996</v>
      </c>
      <c r="GF22" s="56">
        <v>98.492000000000004</v>
      </c>
      <c r="GG22" s="56">
        <v>98.942999999999998</v>
      </c>
      <c r="GH22" s="56">
        <v>99.52</v>
      </c>
      <c r="GI22" s="56">
        <v>99.72</v>
      </c>
      <c r="GJ22" s="56">
        <v>100.07299999999999</v>
      </c>
      <c r="GK22" s="56">
        <v>100.672</v>
      </c>
      <c r="GL22" s="56">
        <v>101.377</v>
      </c>
      <c r="GM22" s="56">
        <v>101.91</v>
      </c>
      <c r="GN22" s="56">
        <v>102.252</v>
      </c>
      <c r="GO22" s="56">
        <v>102.64</v>
      </c>
      <c r="GP22" s="56">
        <v>102.848</v>
      </c>
      <c r="GQ22" s="56">
        <v>103.423</v>
      </c>
      <c r="GR22" s="56">
        <v>103.67</v>
      </c>
      <c r="GS22" s="56">
        <v>104.07599999999999</v>
      </c>
      <c r="GT22" s="56">
        <v>104.395</v>
      </c>
      <c r="GU22" s="56">
        <v>103.97499999999999</v>
      </c>
      <c r="GV22" s="56">
        <v>104.81399999999999</v>
      </c>
      <c r="GW22" s="56">
        <v>105.316</v>
      </c>
      <c r="GX22" s="56">
        <v>106.496</v>
      </c>
      <c r="GY22" s="56">
        <v>108.152</v>
      </c>
      <c r="GZ22" s="56">
        <v>109.646</v>
      </c>
      <c r="HA22" s="56">
        <v>111.461</v>
      </c>
      <c r="HB22" s="56">
        <v>113.56699999999999</v>
      </c>
      <c r="HC22">
        <v>115.663</v>
      </c>
      <c r="HD22">
        <v>117.01</v>
      </c>
      <c r="HE22">
        <v>118.169</v>
      </c>
      <c r="HF22">
        <v>119.316</v>
      </c>
      <c r="HG22">
        <v>120.17700000000001</v>
      </c>
      <c r="HH22">
        <v>120.97799999999999</v>
      </c>
      <c r="HI22">
        <v>121.473</v>
      </c>
      <c r="HJ22">
        <v>122.501</v>
      </c>
      <c r="HK22">
        <v>123.26900000000001</v>
      </c>
      <c r="HL22">
        <v>123.741</v>
      </c>
      <c r="HM22">
        <v>124.471</v>
      </c>
      <c r="HN22">
        <v>125.577</v>
      </c>
    </row>
    <row r="23" spans="1:222" x14ac:dyDescent="0.25">
      <c r="A23" s="56" t="s">
        <v>2228</v>
      </c>
      <c r="B23" s="56">
        <v>133.6</v>
      </c>
      <c r="C23" s="56">
        <v>131.80000000000001</v>
      </c>
      <c r="D23" s="56">
        <v>132.4</v>
      </c>
      <c r="E23" s="56">
        <v>133.5</v>
      </c>
      <c r="F23" s="56">
        <v>133.30000000000001</v>
      </c>
      <c r="G23" s="56">
        <v>134.30000000000001</v>
      </c>
      <c r="H23" s="56">
        <v>135.6</v>
      </c>
      <c r="I23" s="56">
        <v>134.69999999999999</v>
      </c>
      <c r="J23" s="56">
        <v>141.4</v>
      </c>
      <c r="K23" s="56">
        <v>144.19999999999999</v>
      </c>
      <c r="L23" s="56">
        <v>138.80000000000001</v>
      </c>
      <c r="M23" s="56">
        <v>142.19999999999999</v>
      </c>
      <c r="N23" s="56">
        <v>146.4</v>
      </c>
      <c r="O23" s="56">
        <v>146.5</v>
      </c>
      <c r="P23" s="56">
        <v>144.19999999999999</v>
      </c>
      <c r="Q23" s="56">
        <v>147.6</v>
      </c>
      <c r="R23" s="56">
        <v>152.69999999999999</v>
      </c>
      <c r="S23" s="56">
        <v>154.9</v>
      </c>
      <c r="T23" s="56">
        <v>160.4</v>
      </c>
      <c r="U23" s="56">
        <v>167.4</v>
      </c>
      <c r="V23" s="56">
        <v>168.6</v>
      </c>
      <c r="W23" s="56">
        <v>169.4</v>
      </c>
      <c r="X23" s="56">
        <v>176.1</v>
      </c>
      <c r="Y23" s="56">
        <v>180.8</v>
      </c>
      <c r="Z23" s="56">
        <v>181.6</v>
      </c>
      <c r="AA23" s="56">
        <v>182.5</v>
      </c>
      <c r="AB23" s="56">
        <v>184.9</v>
      </c>
      <c r="AC23" s="56">
        <v>190.2</v>
      </c>
      <c r="AD23" s="56">
        <v>194.2</v>
      </c>
      <c r="AE23" s="56">
        <v>198.9</v>
      </c>
      <c r="AF23" s="56">
        <v>201.9</v>
      </c>
      <c r="AG23" s="56">
        <v>206.3</v>
      </c>
      <c r="AH23" s="56">
        <v>208.8</v>
      </c>
      <c r="AI23" s="56">
        <v>217</v>
      </c>
      <c r="AJ23" s="56">
        <v>222.1</v>
      </c>
      <c r="AK23" s="56">
        <v>227.8</v>
      </c>
      <c r="AL23" s="56">
        <v>231.7</v>
      </c>
      <c r="AM23" s="56">
        <v>237.6</v>
      </c>
      <c r="AN23" s="56">
        <v>243.7</v>
      </c>
      <c r="AO23" s="56">
        <v>249.3</v>
      </c>
      <c r="AP23" s="56">
        <v>261.10000000000002</v>
      </c>
      <c r="AQ23" s="56">
        <v>276.5</v>
      </c>
      <c r="AR23" s="56">
        <v>276.10000000000002</v>
      </c>
      <c r="AS23" s="56">
        <v>285.8</v>
      </c>
      <c r="AT23" s="56">
        <v>297.2</v>
      </c>
      <c r="AU23" s="56">
        <v>311.89999999999998</v>
      </c>
      <c r="AV23" s="56">
        <v>317.39999999999998</v>
      </c>
      <c r="AW23" s="56">
        <v>329.3</v>
      </c>
      <c r="AX23" s="56">
        <v>334.9</v>
      </c>
      <c r="AY23" s="56">
        <v>342.9</v>
      </c>
      <c r="AZ23" s="56">
        <v>351.5</v>
      </c>
      <c r="BA23" s="56">
        <v>364.1</v>
      </c>
      <c r="BB23" s="56">
        <v>370.5</v>
      </c>
      <c r="BC23" s="56">
        <v>380.3</v>
      </c>
      <c r="BD23" s="56">
        <v>394.4</v>
      </c>
      <c r="BE23" s="56">
        <v>384.2</v>
      </c>
      <c r="BF23" s="56">
        <v>392.4</v>
      </c>
      <c r="BG23" s="56">
        <v>408.3</v>
      </c>
      <c r="BH23" s="56">
        <v>414</v>
      </c>
      <c r="BI23" s="56">
        <v>432.5</v>
      </c>
      <c r="BJ23" s="56">
        <v>434.8</v>
      </c>
      <c r="BK23" s="56">
        <v>447.3</v>
      </c>
      <c r="BL23" s="56">
        <v>463.1</v>
      </c>
      <c r="BM23" s="56">
        <v>466.4</v>
      </c>
      <c r="BN23" s="56">
        <v>464</v>
      </c>
      <c r="BO23" s="56">
        <v>477.8</v>
      </c>
      <c r="BP23" s="56">
        <v>495.1</v>
      </c>
      <c r="BQ23" s="56">
        <v>489.8</v>
      </c>
      <c r="BR23" s="56">
        <v>492.1</v>
      </c>
      <c r="BS23" s="56">
        <v>501.2</v>
      </c>
      <c r="BT23" s="56">
        <v>504.1</v>
      </c>
      <c r="BU23" s="56">
        <v>513.70000000000005</v>
      </c>
      <c r="BV23" s="56">
        <v>505.8</v>
      </c>
      <c r="BW23" s="56">
        <v>506.9</v>
      </c>
      <c r="BX23" s="56">
        <v>507.4</v>
      </c>
      <c r="BY23" s="56">
        <v>525.6</v>
      </c>
      <c r="BZ23" s="56">
        <v>519.9</v>
      </c>
      <c r="CA23" s="56">
        <v>534.29999999999995</v>
      </c>
      <c r="CB23" s="56">
        <v>541.4</v>
      </c>
      <c r="CC23" s="56">
        <v>540.79999999999995</v>
      </c>
      <c r="CD23" s="56">
        <v>553.70000000000005</v>
      </c>
      <c r="CE23" s="56">
        <v>563.9</v>
      </c>
      <c r="CF23" s="56">
        <v>562.20000000000005</v>
      </c>
      <c r="CG23" s="56">
        <v>569.70000000000005</v>
      </c>
      <c r="CH23" s="56">
        <v>581.4</v>
      </c>
      <c r="CI23" s="56">
        <v>586.6</v>
      </c>
      <c r="CJ23" s="56">
        <v>586.29999999999995</v>
      </c>
      <c r="CK23" s="56">
        <v>577.4</v>
      </c>
      <c r="CL23" s="56">
        <v>580.29999999999995</v>
      </c>
      <c r="CM23" s="56">
        <v>580.9</v>
      </c>
      <c r="CN23" s="56">
        <v>594.20000000000005</v>
      </c>
      <c r="CO23" s="56">
        <v>598.4</v>
      </c>
      <c r="CP23" s="56">
        <v>580.29999999999995</v>
      </c>
      <c r="CQ23" s="56">
        <v>576.70000000000005</v>
      </c>
      <c r="CR23" s="56">
        <v>578.70000000000005</v>
      </c>
      <c r="CS23" s="56">
        <v>584.9</v>
      </c>
      <c r="CT23" s="56">
        <v>567</v>
      </c>
      <c r="CU23" s="56">
        <v>569.4</v>
      </c>
      <c r="CV23" s="56">
        <v>586.5</v>
      </c>
      <c r="CW23" s="56">
        <v>575.79999999999995</v>
      </c>
      <c r="CX23" s="56">
        <v>579.1</v>
      </c>
      <c r="CY23" s="56">
        <v>581</v>
      </c>
      <c r="CZ23" s="56">
        <v>579.29999999999995</v>
      </c>
      <c r="DA23" s="56">
        <v>567.29999999999995</v>
      </c>
      <c r="DB23" s="56">
        <v>579.79999999999995</v>
      </c>
      <c r="DC23" s="56">
        <v>582.1</v>
      </c>
      <c r="DD23" s="56">
        <v>577.79999999999995</v>
      </c>
      <c r="DE23" s="56">
        <v>576.9</v>
      </c>
      <c r="DF23" s="56">
        <v>570.70000000000005</v>
      </c>
      <c r="DG23" s="56">
        <v>587.20000000000005</v>
      </c>
      <c r="DH23" s="56">
        <v>586</v>
      </c>
      <c r="DI23" s="56">
        <v>589.20000000000005</v>
      </c>
      <c r="DJ23" s="56">
        <v>572.20000000000005</v>
      </c>
      <c r="DK23" s="56">
        <v>587.1</v>
      </c>
      <c r="DL23" s="56">
        <v>588.6</v>
      </c>
      <c r="DM23" s="56">
        <v>594.20000000000005</v>
      </c>
      <c r="DN23" s="56">
        <v>595.1</v>
      </c>
      <c r="DO23" s="56">
        <v>599.20000000000005</v>
      </c>
      <c r="DP23" s="56">
        <v>614.20000000000005</v>
      </c>
      <c r="DQ23" s="56">
        <v>634.29999999999995</v>
      </c>
      <c r="DR23" s="56">
        <v>619.4</v>
      </c>
      <c r="DS23" s="56">
        <v>641.20000000000005</v>
      </c>
      <c r="DT23" s="56">
        <v>633.6</v>
      </c>
      <c r="DU23" s="56">
        <v>638.20000000000005</v>
      </c>
      <c r="DV23" s="56">
        <v>653.29999999999995</v>
      </c>
      <c r="DW23" s="56">
        <v>666.2</v>
      </c>
      <c r="DX23" s="56">
        <v>674.4</v>
      </c>
      <c r="DY23" s="56">
        <v>686.9</v>
      </c>
      <c r="DZ23" s="56">
        <v>714</v>
      </c>
      <c r="EA23" s="56">
        <v>734.8</v>
      </c>
      <c r="EB23" s="56">
        <v>748.4</v>
      </c>
      <c r="EC23" s="56">
        <v>775.2</v>
      </c>
      <c r="ED23" s="56">
        <v>792.7</v>
      </c>
      <c r="EE23" s="56">
        <v>826</v>
      </c>
      <c r="EF23" s="56">
        <v>833.3</v>
      </c>
      <c r="EG23" s="56">
        <v>855.1</v>
      </c>
      <c r="EH23" s="56">
        <v>871.8</v>
      </c>
      <c r="EI23" s="56">
        <v>884.6</v>
      </c>
      <c r="EJ23" s="56">
        <v>902.5</v>
      </c>
      <c r="EK23" s="56">
        <v>909.6</v>
      </c>
      <c r="EL23" s="56">
        <v>931.8</v>
      </c>
      <c r="EM23" s="56">
        <v>939.3</v>
      </c>
      <c r="EN23" s="56">
        <v>956.4</v>
      </c>
      <c r="EO23" s="56">
        <v>963.7</v>
      </c>
      <c r="EP23" s="56">
        <v>997.1</v>
      </c>
      <c r="EQ23" s="56">
        <v>997.2</v>
      </c>
      <c r="ER23" s="56">
        <v>995.4</v>
      </c>
      <c r="ES23" s="56">
        <v>1015.1</v>
      </c>
      <c r="ET23" s="56">
        <v>1017.5</v>
      </c>
      <c r="EU23" s="56">
        <v>1042.5</v>
      </c>
      <c r="EV23" s="56">
        <v>1058.8</v>
      </c>
      <c r="EW23" s="56">
        <v>1085.3</v>
      </c>
      <c r="EX23" s="56">
        <v>1111.2</v>
      </c>
      <c r="EY23" s="56">
        <v>1146.5999999999999</v>
      </c>
      <c r="EZ23" s="56">
        <v>1170.2</v>
      </c>
      <c r="FA23" s="56">
        <v>1179.8</v>
      </c>
      <c r="FB23" s="56">
        <v>1185.2</v>
      </c>
      <c r="FC23" s="56">
        <v>1213.5</v>
      </c>
      <c r="FD23" s="56">
        <v>1228.3</v>
      </c>
      <c r="FE23" s="56">
        <v>1256.2</v>
      </c>
      <c r="FF23" s="56">
        <v>1278.4000000000001</v>
      </c>
      <c r="FG23" s="56">
        <v>1305</v>
      </c>
      <c r="FH23" s="56">
        <v>1304.3</v>
      </c>
      <c r="FI23" s="56">
        <v>1312.9</v>
      </c>
      <c r="FJ23" s="56">
        <v>1306</v>
      </c>
      <c r="FK23" s="56">
        <v>1312.7</v>
      </c>
      <c r="FL23" s="56">
        <v>1288.7</v>
      </c>
      <c r="FM23" s="56">
        <v>1291.7</v>
      </c>
      <c r="FN23" s="56">
        <v>1296.0999999999999</v>
      </c>
      <c r="FO23" s="56">
        <v>1288.5999999999999</v>
      </c>
      <c r="FP23" s="56">
        <v>1293.8</v>
      </c>
      <c r="FQ23" s="56">
        <v>1269.5999999999999</v>
      </c>
      <c r="FR23" s="56">
        <v>1240.0999999999999</v>
      </c>
      <c r="FS23" s="56">
        <v>1232.5999999999999</v>
      </c>
      <c r="FT23" s="56">
        <v>1219.5999999999999</v>
      </c>
      <c r="FU23" s="56">
        <v>1217.3</v>
      </c>
      <c r="FV23" s="56">
        <v>1212.9000000000001</v>
      </c>
      <c r="FW23" s="56">
        <v>1211</v>
      </c>
      <c r="FX23" s="56">
        <v>1230.5999999999999</v>
      </c>
      <c r="FY23" s="56">
        <v>1213.7</v>
      </c>
      <c r="FZ23" s="56">
        <v>1216.2</v>
      </c>
      <c r="GA23" s="56">
        <v>1222.4000000000001</v>
      </c>
      <c r="GB23" s="56">
        <v>1222.4000000000001</v>
      </c>
      <c r="GC23" s="56">
        <v>1230.0999999999999</v>
      </c>
      <c r="GD23" s="56">
        <v>1229.5999999999999</v>
      </c>
      <c r="GE23" s="56">
        <v>1230</v>
      </c>
      <c r="GF23" s="56">
        <v>1241.3</v>
      </c>
      <c r="GG23" s="56">
        <v>1248.5</v>
      </c>
      <c r="GH23" s="56">
        <v>1249.0999999999999</v>
      </c>
      <c r="GI23" s="56">
        <v>1259.9000000000001</v>
      </c>
      <c r="GJ23" s="56">
        <v>1264.5999999999999</v>
      </c>
      <c r="GK23" s="56">
        <v>1290.7</v>
      </c>
      <c r="GL23" s="56">
        <v>1316.2</v>
      </c>
      <c r="GM23" s="56">
        <v>1334.7</v>
      </c>
      <c r="GN23" s="56">
        <v>1358.9</v>
      </c>
      <c r="GO23" s="56">
        <v>1375.4</v>
      </c>
      <c r="GP23" s="56">
        <v>1403.2</v>
      </c>
      <c r="GQ23" s="56">
        <v>1408</v>
      </c>
      <c r="GR23" s="56">
        <v>1426.9</v>
      </c>
      <c r="GS23" s="56">
        <v>1439.9</v>
      </c>
      <c r="GT23" s="56">
        <v>1459.3</v>
      </c>
      <c r="GU23" s="56">
        <v>1567.7</v>
      </c>
      <c r="GV23" s="56">
        <v>1526.5</v>
      </c>
      <c r="GW23" s="56">
        <v>1538.6</v>
      </c>
      <c r="GX23" s="56">
        <v>1613.4</v>
      </c>
      <c r="GY23" s="56">
        <v>1597.4</v>
      </c>
      <c r="GZ23" s="56">
        <v>1585</v>
      </c>
      <c r="HA23" s="56">
        <v>1616.9</v>
      </c>
      <c r="HB23" s="56">
        <v>1606.5</v>
      </c>
      <c r="HC23">
        <v>1622.1</v>
      </c>
      <c r="HD23">
        <v>1641.4</v>
      </c>
      <c r="HE23">
        <v>1694.2</v>
      </c>
      <c r="HF23">
        <v>1731.6</v>
      </c>
      <c r="HG23">
        <v>1741.8</v>
      </c>
      <c r="HH23">
        <v>1780.9</v>
      </c>
      <c r="HI23">
        <v>1796.2</v>
      </c>
      <c r="HJ23">
        <v>1810.3</v>
      </c>
      <c r="HK23">
        <v>1842.2</v>
      </c>
      <c r="HL23">
        <v>1893.4</v>
      </c>
      <c r="HM23">
        <v>1924.7</v>
      </c>
      <c r="HN23">
        <v>1925.3</v>
      </c>
    </row>
    <row r="24" spans="1:222" x14ac:dyDescent="0.25">
      <c r="A24" s="56" t="s">
        <v>2229</v>
      </c>
      <c r="B24" s="56">
        <v>114.3</v>
      </c>
      <c r="C24" s="56">
        <v>117.4</v>
      </c>
      <c r="D24" s="56">
        <v>122.2</v>
      </c>
      <c r="E24" s="56">
        <v>125.2</v>
      </c>
      <c r="F24" s="56">
        <v>128.6</v>
      </c>
      <c r="G24" s="56">
        <v>131.9</v>
      </c>
      <c r="H24" s="56">
        <v>134.19999999999999</v>
      </c>
      <c r="I24" s="56">
        <v>137.4</v>
      </c>
      <c r="J24" s="56">
        <v>140.80000000000001</v>
      </c>
      <c r="K24" s="56">
        <v>142.19999999999999</v>
      </c>
      <c r="L24" s="56">
        <v>145.6</v>
      </c>
      <c r="M24" s="56">
        <v>149.6</v>
      </c>
      <c r="N24" s="56">
        <v>153.19999999999999</v>
      </c>
      <c r="O24" s="56">
        <v>156.19999999999999</v>
      </c>
      <c r="P24" s="56">
        <v>159.9</v>
      </c>
      <c r="Q24" s="56">
        <v>165</v>
      </c>
      <c r="R24" s="56">
        <v>171.9</v>
      </c>
      <c r="S24" s="56">
        <v>180.1</v>
      </c>
      <c r="T24" s="56">
        <v>186.3</v>
      </c>
      <c r="U24" s="56">
        <v>191.9</v>
      </c>
      <c r="V24" s="56">
        <v>201.5</v>
      </c>
      <c r="W24" s="56">
        <v>204</v>
      </c>
      <c r="X24" s="56">
        <v>209.3</v>
      </c>
      <c r="Y24" s="56">
        <v>214.8</v>
      </c>
      <c r="Z24" s="56">
        <v>219.7</v>
      </c>
      <c r="AA24" s="56">
        <v>218.5</v>
      </c>
      <c r="AB24" s="56">
        <v>218.6</v>
      </c>
      <c r="AC24" s="56">
        <v>220.6</v>
      </c>
      <c r="AD24" s="56">
        <v>227</v>
      </c>
      <c r="AE24" s="56">
        <v>232.4</v>
      </c>
      <c r="AF24" s="56">
        <v>236.1</v>
      </c>
      <c r="AG24" s="56">
        <v>240.5</v>
      </c>
      <c r="AH24" s="56">
        <v>243.8</v>
      </c>
      <c r="AI24" s="56">
        <v>255.3</v>
      </c>
      <c r="AJ24" s="56">
        <v>262.2</v>
      </c>
      <c r="AK24" s="56">
        <v>268.39999999999998</v>
      </c>
      <c r="AL24" s="56">
        <v>270.10000000000002</v>
      </c>
      <c r="AM24" s="56">
        <v>278.89999999999998</v>
      </c>
      <c r="AN24" s="56">
        <v>289.39999999999998</v>
      </c>
      <c r="AO24" s="56">
        <v>298.39999999999998</v>
      </c>
      <c r="AP24" s="56">
        <v>307.7</v>
      </c>
      <c r="AQ24" s="56">
        <v>312</v>
      </c>
      <c r="AR24" s="56">
        <v>316.10000000000002</v>
      </c>
      <c r="AS24" s="56">
        <v>323.10000000000002</v>
      </c>
      <c r="AT24" s="56">
        <v>336.1</v>
      </c>
      <c r="AU24" s="56">
        <v>336.8</v>
      </c>
      <c r="AV24" s="56">
        <v>340.3</v>
      </c>
      <c r="AW24" s="56">
        <v>348.4</v>
      </c>
      <c r="AX24" s="56">
        <v>353.2</v>
      </c>
      <c r="AY24" s="56">
        <v>360.2</v>
      </c>
      <c r="AZ24" s="56">
        <v>365.8</v>
      </c>
      <c r="BA24" s="56">
        <v>373.3</v>
      </c>
      <c r="BB24" s="56">
        <v>377.4</v>
      </c>
      <c r="BC24" s="56">
        <v>380.7</v>
      </c>
      <c r="BD24" s="56">
        <v>387.8</v>
      </c>
      <c r="BE24" s="56">
        <v>390.9</v>
      </c>
      <c r="BF24" s="56">
        <v>401.6</v>
      </c>
      <c r="BG24" s="56">
        <v>410.8</v>
      </c>
      <c r="BH24" s="56">
        <v>421.7</v>
      </c>
      <c r="BI24" s="56">
        <v>430.2</v>
      </c>
      <c r="BJ24" s="56">
        <v>440.8</v>
      </c>
      <c r="BK24" s="56">
        <v>453.2</v>
      </c>
      <c r="BL24" s="56">
        <v>464.3</v>
      </c>
      <c r="BM24" s="56">
        <v>472.1</v>
      </c>
      <c r="BN24" s="56">
        <v>482.8</v>
      </c>
      <c r="BO24" s="56">
        <v>489.7</v>
      </c>
      <c r="BP24" s="56">
        <v>498.5</v>
      </c>
      <c r="BQ24" s="56">
        <v>506.6</v>
      </c>
      <c r="BR24" s="56">
        <v>516.5</v>
      </c>
      <c r="BS24" s="56">
        <v>524</v>
      </c>
      <c r="BT24" s="56">
        <v>532.1</v>
      </c>
      <c r="BU24" s="56">
        <v>542.29999999999995</v>
      </c>
      <c r="BV24" s="56">
        <v>551.1</v>
      </c>
      <c r="BW24" s="56">
        <v>563.5</v>
      </c>
      <c r="BX24" s="56">
        <v>570.79999999999995</v>
      </c>
      <c r="BY24" s="56">
        <v>584.29999999999995</v>
      </c>
      <c r="BZ24" s="56">
        <v>596.70000000000005</v>
      </c>
      <c r="CA24" s="56">
        <v>611.5</v>
      </c>
      <c r="CB24" s="56">
        <v>623.20000000000005</v>
      </c>
      <c r="CC24" s="56">
        <v>639.70000000000005</v>
      </c>
      <c r="CD24" s="56">
        <v>658.8</v>
      </c>
      <c r="CE24" s="56">
        <v>666.8</v>
      </c>
      <c r="CF24" s="56">
        <v>680.3</v>
      </c>
      <c r="CG24" s="56">
        <v>698.8</v>
      </c>
      <c r="CH24" s="56">
        <v>702.8</v>
      </c>
      <c r="CI24" s="56">
        <v>709.9</v>
      </c>
      <c r="CJ24" s="56">
        <v>719.9</v>
      </c>
      <c r="CK24" s="56">
        <v>731.4</v>
      </c>
      <c r="CL24" s="56">
        <v>746.1</v>
      </c>
      <c r="CM24" s="56">
        <v>753.9</v>
      </c>
      <c r="CN24" s="56">
        <v>759.8</v>
      </c>
      <c r="CO24" s="56">
        <v>764.4</v>
      </c>
      <c r="CP24" s="56">
        <v>771.5</v>
      </c>
      <c r="CQ24" s="56">
        <v>782.3</v>
      </c>
      <c r="CR24" s="56">
        <v>788.7</v>
      </c>
      <c r="CS24" s="56">
        <v>796.5</v>
      </c>
      <c r="CT24" s="56">
        <v>806.3</v>
      </c>
      <c r="CU24" s="56">
        <v>820</v>
      </c>
      <c r="CV24" s="56">
        <v>836.9</v>
      </c>
      <c r="CW24" s="56">
        <v>847.1</v>
      </c>
      <c r="CX24" s="56">
        <v>858.5</v>
      </c>
      <c r="CY24" s="56">
        <v>871.9</v>
      </c>
      <c r="CZ24" s="56">
        <v>876.3</v>
      </c>
      <c r="DA24" s="56">
        <v>884.3</v>
      </c>
      <c r="DB24" s="56">
        <v>891.5</v>
      </c>
      <c r="DC24" s="56">
        <v>905.5</v>
      </c>
      <c r="DD24" s="56">
        <v>919</v>
      </c>
      <c r="DE24" s="56">
        <v>938.8</v>
      </c>
      <c r="DF24" s="56">
        <v>945.3</v>
      </c>
      <c r="DG24" s="56">
        <v>955.4</v>
      </c>
      <c r="DH24" s="56">
        <v>969.2</v>
      </c>
      <c r="DI24" s="56">
        <v>985.6</v>
      </c>
      <c r="DJ24" s="56">
        <v>995.9</v>
      </c>
      <c r="DK24" s="56">
        <v>1016.6</v>
      </c>
      <c r="DL24" s="56">
        <v>1038.5999999999999</v>
      </c>
      <c r="DM24" s="56">
        <v>1053.2</v>
      </c>
      <c r="DN24" s="56">
        <v>1074</v>
      </c>
      <c r="DO24" s="56">
        <v>1095.5</v>
      </c>
      <c r="DP24" s="56">
        <v>1119.8</v>
      </c>
      <c r="DQ24" s="56">
        <v>1147.4000000000001</v>
      </c>
      <c r="DR24" s="56">
        <v>1170.5</v>
      </c>
      <c r="DS24" s="56">
        <v>1181.3</v>
      </c>
      <c r="DT24" s="56">
        <v>1198.5</v>
      </c>
      <c r="DU24" s="56">
        <v>1223.0999999999999</v>
      </c>
      <c r="DV24" s="56">
        <v>1253</v>
      </c>
      <c r="DW24" s="56">
        <v>1281.5</v>
      </c>
      <c r="DX24" s="56">
        <v>1279</v>
      </c>
      <c r="DY24" s="56">
        <v>1305.9000000000001</v>
      </c>
      <c r="DZ24" s="56">
        <v>1326</v>
      </c>
      <c r="EA24" s="56">
        <v>1339.7</v>
      </c>
      <c r="EB24" s="56">
        <v>1352.9</v>
      </c>
      <c r="EC24" s="56">
        <v>1367</v>
      </c>
      <c r="ED24" s="56">
        <v>1379.3</v>
      </c>
      <c r="EE24" s="56">
        <v>1372.8</v>
      </c>
      <c r="EF24" s="56">
        <v>1387.2</v>
      </c>
      <c r="EG24" s="56">
        <v>1396</v>
      </c>
      <c r="EH24" s="56">
        <v>1414.8</v>
      </c>
      <c r="EI24" s="56">
        <v>1436.1</v>
      </c>
      <c r="EJ24" s="56">
        <v>1453.9</v>
      </c>
      <c r="EK24" s="56">
        <v>1479.2</v>
      </c>
      <c r="EL24" s="56">
        <v>1494.3</v>
      </c>
      <c r="EM24" s="56">
        <v>1513</v>
      </c>
      <c r="EN24" s="56">
        <v>1538</v>
      </c>
      <c r="EO24" s="56">
        <v>1564.8</v>
      </c>
      <c r="EP24" s="56">
        <v>1583</v>
      </c>
      <c r="EQ24" s="56">
        <v>1613.4</v>
      </c>
      <c r="ER24" s="56">
        <v>1634.8</v>
      </c>
      <c r="ES24" s="56">
        <v>1659.4</v>
      </c>
      <c r="ET24" s="56">
        <v>1700.9</v>
      </c>
      <c r="EU24" s="56">
        <v>1727.5</v>
      </c>
      <c r="EV24" s="56">
        <v>1749.9</v>
      </c>
      <c r="EW24" s="56">
        <v>1779.8</v>
      </c>
      <c r="EX24" s="56">
        <v>1798.5</v>
      </c>
      <c r="EY24" s="56">
        <v>1825</v>
      </c>
      <c r="EZ24" s="56">
        <v>1858.8</v>
      </c>
      <c r="FA24" s="56">
        <v>1842</v>
      </c>
      <c r="FB24" s="56">
        <v>1836.8</v>
      </c>
      <c r="FC24" s="56">
        <v>1857</v>
      </c>
      <c r="FD24" s="56">
        <v>1863.8</v>
      </c>
      <c r="FE24" s="56">
        <v>1864.6</v>
      </c>
      <c r="FF24" s="56">
        <v>1855.5</v>
      </c>
      <c r="FG24" s="56">
        <v>1860.7</v>
      </c>
      <c r="FH24" s="56">
        <v>1854</v>
      </c>
      <c r="FI24" s="56">
        <v>1851.4</v>
      </c>
      <c r="FJ24" s="56">
        <v>1849.8</v>
      </c>
      <c r="FK24" s="56">
        <v>1855.5</v>
      </c>
      <c r="FL24" s="56">
        <v>1848.3</v>
      </c>
      <c r="FM24" s="56">
        <v>1839.1</v>
      </c>
      <c r="FN24" s="56">
        <v>1847.9</v>
      </c>
      <c r="FO24" s="56">
        <v>1841.8</v>
      </c>
      <c r="FP24" s="56">
        <v>1845.3</v>
      </c>
      <c r="FQ24" s="56">
        <v>1862.7</v>
      </c>
      <c r="FR24" s="56">
        <v>1883.4</v>
      </c>
      <c r="FS24" s="56">
        <v>1898.6</v>
      </c>
      <c r="FT24" s="56">
        <v>1915.6</v>
      </c>
      <c r="FU24" s="56">
        <v>1923.3</v>
      </c>
      <c r="FV24" s="56">
        <v>1926.1</v>
      </c>
      <c r="FW24" s="56">
        <v>1943.4</v>
      </c>
      <c r="FX24" s="56">
        <v>1961.1</v>
      </c>
      <c r="FY24" s="56">
        <v>1975.5</v>
      </c>
      <c r="FZ24" s="56">
        <v>1971.7</v>
      </c>
      <c r="GA24" s="56">
        <v>2011.7</v>
      </c>
      <c r="GB24" s="56">
        <v>2031.2</v>
      </c>
      <c r="GC24" s="56">
        <v>2028.1</v>
      </c>
      <c r="GD24" s="56">
        <v>2040.5</v>
      </c>
      <c r="GE24" s="56">
        <v>2059.6</v>
      </c>
      <c r="GF24" s="56">
        <v>2073.9</v>
      </c>
      <c r="GG24" s="56">
        <v>2088.8000000000002</v>
      </c>
      <c r="GH24" s="56">
        <v>2104</v>
      </c>
      <c r="GI24" s="56">
        <v>2110.6</v>
      </c>
      <c r="GJ24" s="56">
        <v>2134.3000000000002</v>
      </c>
      <c r="GK24" s="56">
        <v>2175.4</v>
      </c>
      <c r="GL24" s="56">
        <v>2197.6999999999998</v>
      </c>
      <c r="GM24" s="56">
        <v>2236</v>
      </c>
      <c r="GN24" s="56">
        <v>2267.1999999999998</v>
      </c>
      <c r="GO24" s="56">
        <v>2275.5</v>
      </c>
      <c r="GP24" s="56">
        <v>2299.8000000000002</v>
      </c>
      <c r="GQ24" s="56">
        <v>2353.1999999999998</v>
      </c>
      <c r="GR24" s="56">
        <v>2388</v>
      </c>
      <c r="GS24" s="56">
        <v>2425.1</v>
      </c>
      <c r="GT24" s="56">
        <v>2483.6999999999998</v>
      </c>
      <c r="GU24" s="56">
        <v>2458.1999999999998</v>
      </c>
      <c r="GV24" s="56">
        <v>2475.1</v>
      </c>
      <c r="GW24" s="56">
        <v>2489.4</v>
      </c>
      <c r="GX24" s="56">
        <v>2534.1999999999998</v>
      </c>
      <c r="GY24" s="56">
        <v>2572.6</v>
      </c>
      <c r="GZ24" s="56">
        <v>2629</v>
      </c>
      <c r="HA24" s="56">
        <v>2665.4</v>
      </c>
      <c r="HB24" s="56">
        <v>2726.1</v>
      </c>
      <c r="HC24">
        <v>2815.5</v>
      </c>
      <c r="HD24">
        <v>2838.7</v>
      </c>
      <c r="HE24">
        <v>2870.6</v>
      </c>
      <c r="HF24">
        <v>2893</v>
      </c>
      <c r="HG24">
        <v>2904.1</v>
      </c>
      <c r="HH24">
        <v>2975.5</v>
      </c>
      <c r="HI24">
        <v>3019</v>
      </c>
      <c r="HJ24">
        <v>3070.7</v>
      </c>
      <c r="HK24">
        <v>3100.9</v>
      </c>
      <c r="HL24">
        <v>3141.6</v>
      </c>
      <c r="HM24">
        <v>3175</v>
      </c>
      <c r="HN24">
        <v>3215.2</v>
      </c>
    </row>
    <row r="25" spans="1:222" x14ac:dyDescent="0.25">
      <c r="A25" s="56" t="s">
        <v>2230</v>
      </c>
      <c r="B25" s="56">
        <v>753.5</v>
      </c>
      <c r="C25" s="56">
        <v>733.7</v>
      </c>
      <c r="D25" s="56">
        <v>724.6</v>
      </c>
      <c r="E25" s="56">
        <v>721.9</v>
      </c>
      <c r="F25" s="56">
        <v>698.7</v>
      </c>
      <c r="G25" s="56">
        <v>690.5</v>
      </c>
      <c r="H25" s="56">
        <v>687.5</v>
      </c>
      <c r="I25" s="56">
        <v>669.4</v>
      </c>
      <c r="J25" s="56">
        <v>674.9</v>
      </c>
      <c r="K25" s="56">
        <v>681.4</v>
      </c>
      <c r="L25" s="56">
        <v>650.20000000000005</v>
      </c>
      <c r="M25" s="56">
        <v>651.9</v>
      </c>
      <c r="N25" s="56">
        <v>660.3</v>
      </c>
      <c r="O25" s="56">
        <v>649.70000000000005</v>
      </c>
      <c r="P25" s="56">
        <v>626.70000000000005</v>
      </c>
      <c r="Q25" s="56">
        <v>628.1</v>
      </c>
      <c r="R25" s="56">
        <v>643.20000000000005</v>
      </c>
      <c r="S25" s="56">
        <v>641</v>
      </c>
      <c r="T25" s="56">
        <v>645.1</v>
      </c>
      <c r="U25" s="56">
        <v>651.5</v>
      </c>
      <c r="V25" s="56">
        <v>644.70000000000005</v>
      </c>
      <c r="W25" s="56">
        <v>638.29999999999995</v>
      </c>
      <c r="X25" s="56">
        <v>654.70000000000005</v>
      </c>
      <c r="Y25" s="56">
        <v>656.9</v>
      </c>
      <c r="Z25" s="56">
        <v>650.4</v>
      </c>
      <c r="AA25" s="56">
        <v>648.20000000000005</v>
      </c>
      <c r="AB25" s="56">
        <v>649.1</v>
      </c>
      <c r="AC25" s="56">
        <v>650.5</v>
      </c>
      <c r="AD25" s="56">
        <v>655</v>
      </c>
      <c r="AE25" s="56">
        <v>663.3</v>
      </c>
      <c r="AF25" s="56">
        <v>669.9</v>
      </c>
      <c r="AG25" s="56">
        <v>665.3</v>
      </c>
      <c r="AH25" s="56">
        <v>665.8</v>
      </c>
      <c r="AI25" s="56">
        <v>678.7</v>
      </c>
      <c r="AJ25" s="56">
        <v>683.1</v>
      </c>
      <c r="AK25" s="56">
        <v>688.9</v>
      </c>
      <c r="AL25" s="56">
        <v>687.8</v>
      </c>
      <c r="AM25" s="56">
        <v>694.8</v>
      </c>
      <c r="AN25" s="56">
        <v>696.4</v>
      </c>
      <c r="AO25" s="56">
        <v>697.2</v>
      </c>
      <c r="AP25" s="56">
        <v>715.8</v>
      </c>
      <c r="AQ25" s="56">
        <v>729.9</v>
      </c>
      <c r="AR25" s="56">
        <v>721.5</v>
      </c>
      <c r="AS25" s="56">
        <v>725.2</v>
      </c>
      <c r="AT25" s="56">
        <v>739.4</v>
      </c>
      <c r="AU25" s="56">
        <v>758.4</v>
      </c>
      <c r="AV25" s="56">
        <v>755.3</v>
      </c>
      <c r="AW25" s="56">
        <v>768.8</v>
      </c>
      <c r="AX25" s="56">
        <v>769.3</v>
      </c>
      <c r="AY25" s="56">
        <v>772.5</v>
      </c>
      <c r="AZ25" s="56">
        <v>785.2</v>
      </c>
      <c r="BA25" s="56">
        <v>803.7</v>
      </c>
      <c r="BB25" s="56">
        <v>816.4</v>
      </c>
      <c r="BC25" s="56">
        <v>831.6</v>
      </c>
      <c r="BD25" s="56">
        <v>853.1</v>
      </c>
      <c r="BE25" s="56">
        <v>825.5</v>
      </c>
      <c r="BF25" s="56">
        <v>832.5</v>
      </c>
      <c r="BG25" s="56">
        <v>857.7</v>
      </c>
      <c r="BH25" s="56">
        <v>857</v>
      </c>
      <c r="BI25" s="56">
        <v>884.4</v>
      </c>
      <c r="BJ25" s="56">
        <v>892.5</v>
      </c>
      <c r="BK25" s="56">
        <v>916</v>
      </c>
      <c r="BL25" s="56">
        <v>943.3</v>
      </c>
      <c r="BM25" s="56">
        <v>943.8</v>
      </c>
      <c r="BN25" s="56">
        <v>941.2</v>
      </c>
      <c r="BO25" s="56">
        <v>971.7</v>
      </c>
      <c r="BP25" s="56">
        <v>1005.3</v>
      </c>
      <c r="BQ25" s="56">
        <v>993.6</v>
      </c>
      <c r="BR25" s="56">
        <v>1000</v>
      </c>
      <c r="BS25" s="56">
        <v>1013.6</v>
      </c>
      <c r="BT25" s="56">
        <v>1012.2</v>
      </c>
      <c r="BU25" s="56">
        <v>1029.3</v>
      </c>
      <c r="BV25" s="56">
        <v>999.8</v>
      </c>
      <c r="BW25" s="56">
        <v>992.3</v>
      </c>
      <c r="BX25" s="56">
        <v>987.6</v>
      </c>
      <c r="BY25" s="56">
        <v>1014.9</v>
      </c>
      <c r="BZ25" s="56">
        <v>996.4</v>
      </c>
      <c r="CA25" s="56">
        <v>1016.6</v>
      </c>
      <c r="CB25" s="56">
        <v>1025</v>
      </c>
      <c r="CC25" s="56">
        <v>1020.2</v>
      </c>
      <c r="CD25" s="56">
        <v>1037.2</v>
      </c>
      <c r="CE25" s="56">
        <v>1038.5999999999999</v>
      </c>
      <c r="CF25" s="56">
        <v>1034</v>
      </c>
      <c r="CG25" s="56">
        <v>1035.3</v>
      </c>
      <c r="CH25" s="56">
        <v>1047.0999999999999</v>
      </c>
      <c r="CI25" s="56">
        <v>1051.4000000000001</v>
      </c>
      <c r="CJ25" s="56">
        <v>1037.5</v>
      </c>
      <c r="CK25" s="56">
        <v>1011.5</v>
      </c>
      <c r="CL25" s="56">
        <v>1015.3</v>
      </c>
      <c r="CM25" s="56">
        <v>1012.6</v>
      </c>
      <c r="CN25" s="56">
        <v>1026.9000000000001</v>
      </c>
      <c r="CO25" s="56">
        <v>1027.5999999999999</v>
      </c>
      <c r="CP25" s="56">
        <v>994</v>
      </c>
      <c r="CQ25" s="56">
        <v>983.6</v>
      </c>
      <c r="CR25" s="56">
        <v>979.9</v>
      </c>
      <c r="CS25" s="56">
        <v>981.5</v>
      </c>
      <c r="CT25" s="56">
        <v>947.3</v>
      </c>
      <c r="CU25" s="56">
        <v>943.2</v>
      </c>
      <c r="CV25" s="56">
        <v>966.1</v>
      </c>
      <c r="CW25" s="56">
        <v>940.6</v>
      </c>
      <c r="CX25" s="56">
        <v>938</v>
      </c>
      <c r="CY25" s="56">
        <v>934.9</v>
      </c>
      <c r="CZ25" s="56">
        <v>927.4</v>
      </c>
      <c r="DA25" s="56">
        <v>895.8</v>
      </c>
      <c r="DB25" s="56">
        <v>913.5</v>
      </c>
      <c r="DC25" s="56">
        <v>922.1</v>
      </c>
      <c r="DD25" s="56">
        <v>909.9</v>
      </c>
      <c r="DE25" s="56">
        <v>905.5</v>
      </c>
      <c r="DF25" s="56">
        <v>892.7</v>
      </c>
      <c r="DG25" s="56">
        <v>912.5</v>
      </c>
      <c r="DH25" s="56">
        <v>908.6</v>
      </c>
      <c r="DI25" s="56">
        <v>907.2</v>
      </c>
      <c r="DJ25" s="56">
        <v>884.6</v>
      </c>
      <c r="DK25" s="56">
        <v>901.9</v>
      </c>
      <c r="DL25" s="56">
        <v>898.4</v>
      </c>
      <c r="DM25" s="56">
        <v>904</v>
      </c>
      <c r="DN25" s="56">
        <v>902.6</v>
      </c>
      <c r="DO25" s="56">
        <v>901.3</v>
      </c>
      <c r="DP25" s="56">
        <v>915.4</v>
      </c>
      <c r="DQ25" s="56">
        <v>934</v>
      </c>
      <c r="DR25" s="56">
        <v>903</v>
      </c>
      <c r="DS25" s="56">
        <v>931.2</v>
      </c>
      <c r="DT25" s="56">
        <v>913.6</v>
      </c>
      <c r="DU25" s="56">
        <v>916.1</v>
      </c>
      <c r="DV25" s="56">
        <v>936.2</v>
      </c>
      <c r="DW25" s="56">
        <v>949.8</v>
      </c>
      <c r="DX25" s="56">
        <v>955.5</v>
      </c>
      <c r="DY25" s="56">
        <v>966.9</v>
      </c>
      <c r="DZ25" s="56">
        <v>998.7</v>
      </c>
      <c r="EA25" s="56">
        <v>1018.1</v>
      </c>
      <c r="EB25" s="56">
        <v>1028.0999999999999</v>
      </c>
      <c r="EC25" s="56">
        <v>1045.5999999999999</v>
      </c>
      <c r="ED25" s="56">
        <v>1057.7</v>
      </c>
      <c r="EE25" s="56">
        <v>1094.2</v>
      </c>
      <c r="EF25" s="56">
        <v>1094</v>
      </c>
      <c r="EG25" s="56">
        <v>1114.3</v>
      </c>
      <c r="EH25" s="56">
        <v>1126.4000000000001</v>
      </c>
      <c r="EI25" s="56">
        <v>1133</v>
      </c>
      <c r="EJ25" s="56">
        <v>1145.5</v>
      </c>
      <c r="EK25" s="56">
        <v>1143.4000000000001</v>
      </c>
      <c r="EL25" s="56">
        <v>1156.0999999999999</v>
      </c>
      <c r="EM25" s="56">
        <v>1154.9000000000001</v>
      </c>
      <c r="EN25" s="56">
        <v>1163.8</v>
      </c>
      <c r="EO25" s="56">
        <v>1164.3</v>
      </c>
      <c r="EP25" s="56">
        <v>1194.5</v>
      </c>
      <c r="EQ25" s="56">
        <v>1186.4000000000001</v>
      </c>
      <c r="ER25" s="56">
        <v>1175.5999999999999</v>
      </c>
      <c r="ES25" s="56">
        <v>1192.7</v>
      </c>
      <c r="ET25" s="56">
        <v>1185.5</v>
      </c>
      <c r="EU25" s="56">
        <v>1205</v>
      </c>
      <c r="EV25" s="56">
        <v>1215.5</v>
      </c>
      <c r="EW25" s="56">
        <v>1235.8</v>
      </c>
      <c r="EX25" s="56">
        <v>1254.5999999999999</v>
      </c>
      <c r="EY25" s="56">
        <v>1281.4000000000001</v>
      </c>
      <c r="EZ25" s="56">
        <v>1298</v>
      </c>
      <c r="FA25" s="56">
        <v>1314.9</v>
      </c>
      <c r="FB25" s="56">
        <v>1332.3</v>
      </c>
      <c r="FC25" s="56">
        <v>1363.9</v>
      </c>
      <c r="FD25" s="56">
        <v>1376.4</v>
      </c>
      <c r="FE25" s="56">
        <v>1396.9</v>
      </c>
      <c r="FF25" s="56">
        <v>1412.5</v>
      </c>
      <c r="FG25" s="56">
        <v>1431</v>
      </c>
      <c r="FH25" s="56">
        <v>1424.5</v>
      </c>
      <c r="FI25" s="56">
        <v>1422.3</v>
      </c>
      <c r="FJ25" s="56">
        <v>1402.2</v>
      </c>
      <c r="FK25" s="56">
        <v>1396.8</v>
      </c>
      <c r="FL25" s="56">
        <v>1366.4</v>
      </c>
      <c r="FM25" s="56">
        <v>1371.5</v>
      </c>
      <c r="FN25" s="56">
        <v>1371.4</v>
      </c>
      <c r="FO25" s="56">
        <v>1360.5</v>
      </c>
      <c r="FP25" s="56">
        <v>1363.3</v>
      </c>
      <c r="FQ25" s="56">
        <v>1336.2</v>
      </c>
      <c r="FR25" s="56">
        <v>1306</v>
      </c>
      <c r="FS25" s="56">
        <v>1295.9000000000001</v>
      </c>
      <c r="FT25" s="56">
        <v>1277.8</v>
      </c>
      <c r="FU25" s="56">
        <v>1256</v>
      </c>
      <c r="FV25" s="56">
        <v>1254.9000000000001</v>
      </c>
      <c r="FW25" s="56">
        <v>1247.7</v>
      </c>
      <c r="FX25" s="56">
        <v>1262.0999999999999</v>
      </c>
      <c r="FY25" s="56">
        <v>1243.0999999999999</v>
      </c>
      <c r="FZ25" s="56">
        <v>1248</v>
      </c>
      <c r="GA25" s="56">
        <v>1251.9000000000001</v>
      </c>
      <c r="GB25" s="56">
        <v>1250.8</v>
      </c>
      <c r="GC25" s="56">
        <v>1260.2</v>
      </c>
      <c r="GD25" s="56">
        <v>1261.0999999999999</v>
      </c>
      <c r="GE25" s="56">
        <v>1254.8</v>
      </c>
      <c r="GF25" s="56">
        <v>1261.4000000000001</v>
      </c>
      <c r="GG25" s="56">
        <v>1262.5</v>
      </c>
      <c r="GH25" s="56">
        <v>1257.2</v>
      </c>
      <c r="GI25" s="56">
        <v>1263.9000000000001</v>
      </c>
      <c r="GJ25" s="56">
        <v>1263.0999999999999</v>
      </c>
      <c r="GK25" s="56">
        <v>1280</v>
      </c>
      <c r="GL25" s="56">
        <v>1293</v>
      </c>
      <c r="GM25" s="56">
        <v>1302.3</v>
      </c>
      <c r="GN25" s="56">
        <v>1319.1</v>
      </c>
      <c r="GO25" s="56">
        <v>1325.3</v>
      </c>
      <c r="GP25" s="56">
        <v>1339.8</v>
      </c>
      <c r="GQ25" s="56">
        <v>1353.4</v>
      </c>
      <c r="GR25" s="56">
        <v>1370.3</v>
      </c>
      <c r="GS25" s="56">
        <v>1377.8</v>
      </c>
      <c r="GT25" s="56">
        <v>1392.2</v>
      </c>
      <c r="GU25" s="56">
        <v>1494.7</v>
      </c>
      <c r="GV25" s="56">
        <v>1447.4</v>
      </c>
      <c r="GW25" s="56">
        <v>1447.9</v>
      </c>
      <c r="GX25" s="56">
        <v>1506.7</v>
      </c>
      <c r="GY25" s="56">
        <v>1475.7</v>
      </c>
      <c r="GZ25" s="56">
        <v>1447.2</v>
      </c>
      <c r="HA25" s="56">
        <v>1458.4</v>
      </c>
      <c r="HB25" s="56">
        <v>1426.3</v>
      </c>
      <c r="HC25">
        <v>1414.4</v>
      </c>
      <c r="HD25">
        <v>1412.9</v>
      </c>
      <c r="HE25">
        <v>1443.6</v>
      </c>
      <c r="HF25">
        <v>1460</v>
      </c>
      <c r="HG25">
        <v>1456</v>
      </c>
      <c r="HH25">
        <v>1474.8</v>
      </c>
      <c r="HI25">
        <v>1473.5</v>
      </c>
      <c r="HJ25">
        <v>1472.2</v>
      </c>
      <c r="HK25">
        <v>1487.8</v>
      </c>
      <c r="HL25">
        <v>1520</v>
      </c>
      <c r="HM25">
        <v>1534.9</v>
      </c>
      <c r="HN25">
        <v>1515.1</v>
      </c>
    </row>
    <row r="26" spans="1:222" x14ac:dyDescent="0.25">
      <c r="A26" s="56" t="s">
        <v>2231</v>
      </c>
      <c r="B26" s="56">
        <v>902.2</v>
      </c>
      <c r="C26" s="56">
        <v>907.1</v>
      </c>
      <c r="D26" s="56">
        <v>927.8</v>
      </c>
      <c r="E26" s="56">
        <v>932.5</v>
      </c>
      <c r="F26" s="56">
        <v>936.4</v>
      </c>
      <c r="G26" s="56">
        <v>943.3</v>
      </c>
      <c r="H26" s="56">
        <v>946.5</v>
      </c>
      <c r="I26" s="56">
        <v>958.4</v>
      </c>
      <c r="J26" s="56">
        <v>961</v>
      </c>
      <c r="K26" s="56">
        <v>959.4</v>
      </c>
      <c r="L26" s="56">
        <v>967.1</v>
      </c>
      <c r="M26" s="56">
        <v>980.4</v>
      </c>
      <c r="N26" s="56">
        <v>984.9</v>
      </c>
      <c r="O26" s="56">
        <v>986.5</v>
      </c>
      <c r="P26" s="56">
        <v>996.8</v>
      </c>
      <c r="Q26" s="56">
        <v>1008.9</v>
      </c>
      <c r="R26" s="56">
        <v>1021.7</v>
      </c>
      <c r="S26" s="56">
        <v>1034.3</v>
      </c>
      <c r="T26" s="56">
        <v>1032.4000000000001</v>
      </c>
      <c r="U26" s="56">
        <v>1032.8</v>
      </c>
      <c r="V26" s="56">
        <v>1063.3</v>
      </c>
      <c r="W26" s="56">
        <v>1055.7</v>
      </c>
      <c r="X26" s="56">
        <v>1069.2</v>
      </c>
      <c r="Y26" s="56">
        <v>1083.5</v>
      </c>
      <c r="Z26" s="56">
        <v>1095.7</v>
      </c>
      <c r="AA26" s="56">
        <v>1076.5</v>
      </c>
      <c r="AB26" s="56">
        <v>1069.3</v>
      </c>
      <c r="AC26" s="56">
        <v>1066.0999999999999</v>
      </c>
      <c r="AD26" s="56">
        <v>1076.7</v>
      </c>
      <c r="AE26" s="56">
        <v>1083.3</v>
      </c>
      <c r="AF26" s="56">
        <v>1082.2</v>
      </c>
      <c r="AG26" s="56">
        <v>1083.8</v>
      </c>
      <c r="AH26" s="56">
        <v>1083.5999999999999</v>
      </c>
      <c r="AI26" s="56">
        <v>1116.2</v>
      </c>
      <c r="AJ26" s="56">
        <v>1129</v>
      </c>
      <c r="AK26" s="56">
        <v>1139.7</v>
      </c>
      <c r="AL26" s="56">
        <v>1120.4000000000001</v>
      </c>
      <c r="AM26" s="56">
        <v>1130.9000000000001</v>
      </c>
      <c r="AN26" s="56">
        <v>1134.8</v>
      </c>
      <c r="AO26" s="56">
        <v>1147.5</v>
      </c>
      <c r="AP26" s="56">
        <v>1152.9000000000001</v>
      </c>
      <c r="AQ26" s="56">
        <v>1137.5999999999999</v>
      </c>
      <c r="AR26" s="56">
        <v>1120</v>
      </c>
      <c r="AS26" s="56">
        <v>1114.5</v>
      </c>
      <c r="AT26" s="56">
        <v>1123.2</v>
      </c>
      <c r="AU26" s="56">
        <v>1101.8</v>
      </c>
      <c r="AV26" s="56">
        <v>1098.5999999999999</v>
      </c>
      <c r="AW26" s="56">
        <v>1107.2</v>
      </c>
      <c r="AX26" s="56">
        <v>1104.0999999999999</v>
      </c>
      <c r="AY26" s="56">
        <v>1107.9000000000001</v>
      </c>
      <c r="AZ26" s="56">
        <v>1108</v>
      </c>
      <c r="BA26" s="56">
        <v>1116.4000000000001</v>
      </c>
      <c r="BB26" s="56">
        <v>1120.4000000000001</v>
      </c>
      <c r="BC26" s="56">
        <v>1118.2</v>
      </c>
      <c r="BD26" s="56">
        <v>1127.9000000000001</v>
      </c>
      <c r="BE26" s="56">
        <v>1128.5999999999999</v>
      </c>
      <c r="BF26" s="56">
        <v>1142.9000000000001</v>
      </c>
      <c r="BG26" s="56">
        <v>1158.0999999999999</v>
      </c>
      <c r="BH26" s="56">
        <v>1177.9000000000001</v>
      </c>
      <c r="BI26" s="56">
        <v>1189.9000000000001</v>
      </c>
      <c r="BJ26" s="56">
        <v>1204.9000000000001</v>
      </c>
      <c r="BK26" s="56">
        <v>1226.7</v>
      </c>
      <c r="BL26" s="56">
        <v>1246.2</v>
      </c>
      <c r="BM26" s="56">
        <v>1255.7</v>
      </c>
      <c r="BN26" s="56">
        <v>1278.8</v>
      </c>
      <c r="BO26" s="56">
        <v>1291.3</v>
      </c>
      <c r="BP26" s="56">
        <v>1303.3</v>
      </c>
      <c r="BQ26" s="56">
        <v>1307.7</v>
      </c>
      <c r="BR26" s="56">
        <v>1314.6</v>
      </c>
      <c r="BS26" s="56">
        <v>1317.5</v>
      </c>
      <c r="BT26" s="56">
        <v>1322</v>
      </c>
      <c r="BU26" s="56">
        <v>1339.5</v>
      </c>
      <c r="BV26" s="56">
        <v>1354.2</v>
      </c>
      <c r="BW26" s="56">
        <v>1371.3</v>
      </c>
      <c r="BX26" s="56">
        <v>1377.5</v>
      </c>
      <c r="BY26" s="56">
        <v>1394.1</v>
      </c>
      <c r="BZ26" s="56">
        <v>1405.3</v>
      </c>
      <c r="CA26" s="56">
        <v>1420.8</v>
      </c>
      <c r="CB26" s="56">
        <v>1434.5</v>
      </c>
      <c r="CC26" s="56">
        <v>1453.7</v>
      </c>
      <c r="CD26" s="56">
        <v>1476.1</v>
      </c>
      <c r="CE26" s="56">
        <v>1478.9</v>
      </c>
      <c r="CF26" s="56">
        <v>1488.7</v>
      </c>
      <c r="CG26" s="56">
        <v>1505.3</v>
      </c>
      <c r="CH26" s="56">
        <v>1507.6</v>
      </c>
      <c r="CI26" s="56">
        <v>1513.7</v>
      </c>
      <c r="CJ26" s="56">
        <v>1522.5</v>
      </c>
      <c r="CK26" s="56">
        <v>1533.2</v>
      </c>
      <c r="CL26" s="56">
        <v>1553</v>
      </c>
      <c r="CM26" s="56">
        <v>1550.7</v>
      </c>
      <c r="CN26" s="56">
        <v>1551.4</v>
      </c>
      <c r="CO26" s="56">
        <v>1550.2</v>
      </c>
      <c r="CP26" s="56">
        <v>1555.6</v>
      </c>
      <c r="CQ26" s="56">
        <v>1568.2</v>
      </c>
      <c r="CR26" s="56">
        <v>1576.4</v>
      </c>
      <c r="CS26" s="56">
        <v>1584.1</v>
      </c>
      <c r="CT26" s="56">
        <v>1590.7</v>
      </c>
      <c r="CU26" s="56">
        <v>1608.8</v>
      </c>
      <c r="CV26" s="56">
        <v>1627.8</v>
      </c>
      <c r="CW26" s="56">
        <v>1633.7</v>
      </c>
      <c r="CX26" s="56">
        <v>1646.5</v>
      </c>
      <c r="CY26" s="56">
        <v>1659.4</v>
      </c>
      <c r="CZ26" s="56">
        <v>1661.1</v>
      </c>
      <c r="DA26" s="56">
        <v>1669.7</v>
      </c>
      <c r="DB26" s="56">
        <v>1666.8</v>
      </c>
      <c r="DC26" s="56">
        <v>1690.8</v>
      </c>
      <c r="DD26" s="56">
        <v>1705.1</v>
      </c>
      <c r="DE26" s="56">
        <v>1729.5</v>
      </c>
      <c r="DF26" s="56">
        <v>1729.9</v>
      </c>
      <c r="DG26" s="56">
        <v>1742.7</v>
      </c>
      <c r="DH26" s="56">
        <v>1760.3</v>
      </c>
      <c r="DI26" s="56">
        <v>1776.1</v>
      </c>
      <c r="DJ26" s="56">
        <v>1792.3</v>
      </c>
      <c r="DK26" s="56">
        <v>1821.7</v>
      </c>
      <c r="DL26" s="56">
        <v>1847.3</v>
      </c>
      <c r="DM26" s="56">
        <v>1857.8</v>
      </c>
      <c r="DN26" s="56">
        <v>1880</v>
      </c>
      <c r="DO26" s="56">
        <v>1892.1</v>
      </c>
      <c r="DP26" s="56">
        <v>1911.1</v>
      </c>
      <c r="DQ26" s="56">
        <v>1935.9</v>
      </c>
      <c r="DR26" s="56">
        <v>1949.9</v>
      </c>
      <c r="DS26" s="56">
        <v>1947.2</v>
      </c>
      <c r="DT26" s="56">
        <v>1954.5</v>
      </c>
      <c r="DU26" s="56">
        <v>1969.9</v>
      </c>
      <c r="DV26" s="56">
        <v>1994.2</v>
      </c>
      <c r="DW26" s="56">
        <v>2031.7</v>
      </c>
      <c r="DX26" s="56">
        <v>2022.5</v>
      </c>
      <c r="DY26" s="56">
        <v>2061</v>
      </c>
      <c r="DZ26" s="56">
        <v>2080.5</v>
      </c>
      <c r="EA26" s="56">
        <v>2083.1999999999998</v>
      </c>
      <c r="EB26" s="56">
        <v>2088.6</v>
      </c>
      <c r="EC26" s="56">
        <v>2092.6999999999998</v>
      </c>
      <c r="ED26" s="56">
        <v>2081.8000000000002</v>
      </c>
      <c r="EE26" s="56">
        <v>2070.4</v>
      </c>
      <c r="EF26" s="56">
        <v>2078.3000000000002</v>
      </c>
      <c r="EG26" s="56">
        <v>2075.1999999999998</v>
      </c>
      <c r="EH26" s="56">
        <v>2076.5</v>
      </c>
      <c r="EI26" s="56">
        <v>2078</v>
      </c>
      <c r="EJ26" s="56">
        <v>2070.3000000000002</v>
      </c>
      <c r="EK26" s="56">
        <v>2070.6</v>
      </c>
      <c r="EL26" s="56">
        <v>2072.9</v>
      </c>
      <c r="EM26" s="56">
        <v>2072.3000000000002</v>
      </c>
      <c r="EN26" s="56">
        <v>2073.5</v>
      </c>
      <c r="EO26" s="56">
        <v>2075.6</v>
      </c>
      <c r="EP26" s="56">
        <v>2084.9</v>
      </c>
      <c r="EQ26" s="56">
        <v>2092.6999999999998</v>
      </c>
      <c r="ER26" s="56">
        <v>2099.1999999999998</v>
      </c>
      <c r="ES26" s="56">
        <v>2108.4</v>
      </c>
      <c r="ET26" s="56">
        <v>2120.6</v>
      </c>
      <c r="EU26" s="56">
        <v>2130.6</v>
      </c>
      <c r="EV26" s="56">
        <v>2134.9</v>
      </c>
      <c r="EW26" s="56">
        <v>2140.6</v>
      </c>
      <c r="EX26" s="56">
        <v>2128.8000000000002</v>
      </c>
      <c r="EY26" s="56">
        <v>2130.3000000000002</v>
      </c>
      <c r="EZ26" s="56">
        <v>2140.8000000000002</v>
      </c>
      <c r="FA26" s="56">
        <v>2147.4</v>
      </c>
      <c r="FB26" s="56">
        <v>2169.1</v>
      </c>
      <c r="FC26" s="56">
        <v>2187.9</v>
      </c>
      <c r="FD26" s="56">
        <v>2184.6</v>
      </c>
      <c r="FE26" s="56">
        <v>2169.8000000000002</v>
      </c>
      <c r="FF26" s="56">
        <v>2137.8000000000002</v>
      </c>
      <c r="FG26" s="56">
        <v>2129.5</v>
      </c>
      <c r="FH26" s="56">
        <v>2110.6</v>
      </c>
      <c r="FI26" s="56">
        <v>2090.1999999999998</v>
      </c>
      <c r="FJ26" s="56">
        <v>2067.3000000000002</v>
      </c>
      <c r="FK26" s="56">
        <v>2048.8000000000002</v>
      </c>
      <c r="FL26" s="56">
        <v>2030.4</v>
      </c>
      <c r="FM26" s="56">
        <v>2022.8</v>
      </c>
      <c r="FN26" s="56">
        <v>2008.2</v>
      </c>
      <c r="FO26" s="56">
        <v>2001.4</v>
      </c>
      <c r="FP26" s="56">
        <v>1993.4</v>
      </c>
      <c r="FQ26" s="56">
        <v>1987.8</v>
      </c>
      <c r="FR26" s="56">
        <v>1987.2</v>
      </c>
      <c r="FS26" s="56">
        <v>1993.1</v>
      </c>
      <c r="FT26" s="56">
        <v>1995.1</v>
      </c>
      <c r="FU26" s="56">
        <v>1991.6</v>
      </c>
      <c r="FV26" s="56">
        <v>1978.8</v>
      </c>
      <c r="FW26" s="56">
        <v>1990.3</v>
      </c>
      <c r="FX26" s="56">
        <v>1997.9</v>
      </c>
      <c r="FY26" s="56">
        <v>2014.4</v>
      </c>
      <c r="FZ26" s="56">
        <v>2029.1</v>
      </c>
      <c r="GA26" s="56">
        <v>2057.3000000000002</v>
      </c>
      <c r="GB26" s="56">
        <v>2075.9</v>
      </c>
      <c r="GC26" s="56">
        <v>2080.8000000000002</v>
      </c>
      <c r="GD26" s="56">
        <v>2110.5</v>
      </c>
      <c r="GE26" s="56">
        <v>2114.1999999999998</v>
      </c>
      <c r="GF26" s="56">
        <v>2122.3000000000002</v>
      </c>
      <c r="GG26" s="56">
        <v>2127.1999999999998</v>
      </c>
      <c r="GH26" s="56">
        <v>2123.1</v>
      </c>
      <c r="GI26" s="56">
        <v>2125.9</v>
      </c>
      <c r="GJ26" s="56">
        <v>2130.9</v>
      </c>
      <c r="GK26" s="56">
        <v>2144.5</v>
      </c>
      <c r="GL26" s="56">
        <v>2138.6999999999998</v>
      </c>
      <c r="GM26" s="56">
        <v>2154</v>
      </c>
      <c r="GN26" s="56">
        <v>2164.6999999999998</v>
      </c>
      <c r="GO26" s="56">
        <v>2163.1999999999998</v>
      </c>
      <c r="GP26" s="56">
        <v>2197</v>
      </c>
      <c r="GQ26" s="56">
        <v>2231.3000000000002</v>
      </c>
      <c r="GR26" s="56">
        <v>2255.4</v>
      </c>
      <c r="GS26" s="56">
        <v>2277</v>
      </c>
      <c r="GT26" s="56">
        <v>2302.1999999999998</v>
      </c>
      <c r="GU26" s="56">
        <v>2281.5</v>
      </c>
      <c r="GV26" s="56">
        <v>2269.8000000000002</v>
      </c>
      <c r="GW26" s="56">
        <v>2255.3000000000002</v>
      </c>
      <c r="GX26" s="56">
        <v>2246.1</v>
      </c>
      <c r="GY26" s="56">
        <v>2236.1</v>
      </c>
      <c r="GZ26" s="56">
        <v>2249</v>
      </c>
      <c r="HA26" s="56">
        <v>2236</v>
      </c>
      <c r="HB26" s="56">
        <v>2235.3000000000002</v>
      </c>
      <c r="HC26">
        <v>2232.9</v>
      </c>
      <c r="HD26">
        <v>2248</v>
      </c>
      <c r="HE26">
        <v>2266.9</v>
      </c>
      <c r="HF26">
        <v>2296.6</v>
      </c>
      <c r="HG26">
        <v>2327.1</v>
      </c>
      <c r="HH26">
        <v>2360.8000000000002</v>
      </c>
      <c r="HI26">
        <v>2395.9</v>
      </c>
      <c r="HJ26">
        <v>2414</v>
      </c>
      <c r="HK26">
        <v>2427.9</v>
      </c>
      <c r="HL26">
        <v>2445.3000000000002</v>
      </c>
      <c r="HM26">
        <v>2460.4</v>
      </c>
      <c r="HN26">
        <v>2465.3000000000002</v>
      </c>
    </row>
    <row r="27" spans="1:222" x14ac:dyDescent="0.25">
      <c r="A27" s="56" t="s">
        <v>2232</v>
      </c>
      <c r="B27" s="56">
        <v>90.6</v>
      </c>
      <c r="C27" s="56">
        <v>91.4</v>
      </c>
      <c r="D27" s="56">
        <v>86.3</v>
      </c>
      <c r="E27" s="56">
        <v>87.2</v>
      </c>
      <c r="F27" s="56">
        <v>83.6</v>
      </c>
      <c r="G27" s="56">
        <v>85.1</v>
      </c>
      <c r="H27" s="56">
        <v>86.3</v>
      </c>
      <c r="I27" s="56">
        <v>88.2</v>
      </c>
      <c r="J27" s="56">
        <v>100.3</v>
      </c>
      <c r="K27" s="56">
        <v>102.4</v>
      </c>
      <c r="L27" s="56">
        <v>103.1</v>
      </c>
      <c r="M27" s="56">
        <v>105.3</v>
      </c>
      <c r="N27" s="56">
        <v>104.5</v>
      </c>
      <c r="O27" s="56">
        <v>106.9</v>
      </c>
      <c r="P27" s="56">
        <v>111</v>
      </c>
      <c r="Q27" s="56">
        <v>116</v>
      </c>
      <c r="R27" s="56">
        <v>119.5</v>
      </c>
      <c r="S27" s="56">
        <v>124.8</v>
      </c>
      <c r="T27" s="56">
        <v>129.69999999999999</v>
      </c>
      <c r="U27" s="56">
        <v>132</v>
      </c>
      <c r="V27" s="56">
        <v>132.30000000000001</v>
      </c>
      <c r="W27" s="56">
        <v>94.6</v>
      </c>
      <c r="X27" s="56">
        <v>125.7</v>
      </c>
      <c r="Y27" s="56">
        <v>130.4</v>
      </c>
      <c r="Z27" s="56">
        <v>133</v>
      </c>
      <c r="AA27" s="56">
        <v>138.69999999999999</v>
      </c>
      <c r="AB27" s="56">
        <v>144.5</v>
      </c>
      <c r="AC27" s="56">
        <v>150.1</v>
      </c>
      <c r="AD27" s="56">
        <v>155.30000000000001</v>
      </c>
      <c r="AE27" s="56">
        <v>161</v>
      </c>
      <c r="AF27" s="56">
        <v>162.6</v>
      </c>
      <c r="AG27" s="56">
        <v>171.2</v>
      </c>
      <c r="AH27" s="56">
        <v>173.4</v>
      </c>
      <c r="AI27" s="56">
        <v>182.9</v>
      </c>
      <c r="AJ27" s="56">
        <v>195.4</v>
      </c>
      <c r="AK27" s="56">
        <v>205.1</v>
      </c>
      <c r="AL27" s="56">
        <v>211.6</v>
      </c>
      <c r="AM27" s="56">
        <v>219.9</v>
      </c>
      <c r="AN27" s="56">
        <v>229.4</v>
      </c>
      <c r="AO27" s="56">
        <v>238.6</v>
      </c>
      <c r="AP27" s="56">
        <v>238.3</v>
      </c>
      <c r="AQ27" s="56">
        <v>244.2</v>
      </c>
      <c r="AR27" s="56">
        <v>252.8</v>
      </c>
      <c r="AS27" s="56">
        <v>267.2</v>
      </c>
      <c r="AT27" s="56">
        <v>278.39999999999998</v>
      </c>
      <c r="AU27" s="56">
        <v>289</v>
      </c>
      <c r="AV27" s="56">
        <v>301.39999999999998</v>
      </c>
      <c r="AW27" s="56">
        <v>295.89999999999998</v>
      </c>
      <c r="AX27" s="56">
        <v>295.2</v>
      </c>
      <c r="AY27" s="56">
        <v>301.7</v>
      </c>
      <c r="AZ27" s="56">
        <v>289.7</v>
      </c>
      <c r="BA27" s="56">
        <v>295.8</v>
      </c>
      <c r="BB27" s="56">
        <v>289.5</v>
      </c>
      <c r="BC27" s="56">
        <v>295.3</v>
      </c>
      <c r="BD27" s="56">
        <v>277.3</v>
      </c>
      <c r="BE27" s="56">
        <v>284.89999999999998</v>
      </c>
      <c r="BF27" s="56">
        <v>287.89999999999998</v>
      </c>
      <c r="BG27" s="56">
        <v>294.60000000000002</v>
      </c>
      <c r="BH27" s="56">
        <v>307.3</v>
      </c>
      <c r="BI27" s="56">
        <v>317.7</v>
      </c>
      <c r="BJ27" s="56">
        <v>353</v>
      </c>
      <c r="BK27" s="56">
        <v>307.60000000000002</v>
      </c>
      <c r="BL27" s="56">
        <v>340</v>
      </c>
      <c r="BM27" s="56">
        <v>345.2</v>
      </c>
      <c r="BN27" s="56">
        <v>341.8</v>
      </c>
      <c r="BO27" s="56">
        <v>344.4</v>
      </c>
      <c r="BP27" s="56">
        <v>352</v>
      </c>
      <c r="BQ27" s="56">
        <v>364.2</v>
      </c>
      <c r="BR27" s="56">
        <v>358.3</v>
      </c>
      <c r="BS27" s="56">
        <v>410.2</v>
      </c>
      <c r="BT27" s="56">
        <v>394.9</v>
      </c>
      <c r="BU27" s="56">
        <v>408.5</v>
      </c>
      <c r="BV27" s="56">
        <v>402.6</v>
      </c>
      <c r="BW27" s="56">
        <v>400.6</v>
      </c>
      <c r="BX27" s="56">
        <v>402.5</v>
      </c>
      <c r="BY27" s="56">
        <v>409.6</v>
      </c>
      <c r="BZ27" s="56">
        <v>439.5</v>
      </c>
      <c r="CA27" s="56">
        <v>448.4</v>
      </c>
      <c r="CB27" s="56">
        <v>457.1</v>
      </c>
      <c r="CC27" s="56">
        <v>467.4</v>
      </c>
      <c r="CD27" s="56">
        <v>463.2</v>
      </c>
      <c r="CE27" s="56">
        <v>472</v>
      </c>
      <c r="CF27" s="56">
        <v>477</v>
      </c>
      <c r="CG27" s="56">
        <v>476.2</v>
      </c>
      <c r="CH27" s="56">
        <v>459.6</v>
      </c>
      <c r="CI27" s="56">
        <v>461.4</v>
      </c>
      <c r="CJ27" s="56">
        <v>464.1</v>
      </c>
      <c r="CK27" s="56">
        <v>469.2</v>
      </c>
      <c r="CL27" s="56">
        <v>461.3</v>
      </c>
      <c r="CM27" s="56">
        <v>470.2</v>
      </c>
      <c r="CN27" s="56">
        <v>479.4</v>
      </c>
      <c r="CO27" s="56">
        <v>499</v>
      </c>
      <c r="CP27" s="56">
        <v>480.3</v>
      </c>
      <c r="CQ27" s="56">
        <v>505.3</v>
      </c>
      <c r="CR27" s="56">
        <v>515.6</v>
      </c>
      <c r="CS27" s="56">
        <v>529.5</v>
      </c>
      <c r="CT27" s="56">
        <v>526.70000000000005</v>
      </c>
      <c r="CU27" s="56">
        <v>555.9</v>
      </c>
      <c r="CV27" s="56">
        <v>544.20000000000005</v>
      </c>
      <c r="CW27" s="56">
        <v>553.4</v>
      </c>
      <c r="CX27" s="56">
        <v>567.70000000000005</v>
      </c>
      <c r="CY27" s="56">
        <v>594.4</v>
      </c>
      <c r="CZ27" s="56">
        <v>591.5</v>
      </c>
      <c r="DA27" s="56">
        <v>607.6</v>
      </c>
      <c r="DB27" s="56">
        <v>636.4</v>
      </c>
      <c r="DC27" s="56">
        <v>673.6</v>
      </c>
      <c r="DD27" s="56">
        <v>674.2</v>
      </c>
      <c r="DE27" s="56">
        <v>689.4</v>
      </c>
      <c r="DF27" s="56">
        <v>724.3</v>
      </c>
      <c r="DG27" s="56">
        <v>739.3</v>
      </c>
      <c r="DH27" s="56">
        <v>757</v>
      </c>
      <c r="DI27" s="56">
        <v>778.6</v>
      </c>
      <c r="DJ27" s="56">
        <v>800.6</v>
      </c>
      <c r="DK27" s="56">
        <v>820.9</v>
      </c>
      <c r="DL27" s="56">
        <v>841.6</v>
      </c>
      <c r="DM27" s="56">
        <v>861.7</v>
      </c>
      <c r="DN27" s="56">
        <v>869.8</v>
      </c>
      <c r="DO27" s="56">
        <v>885.8</v>
      </c>
      <c r="DP27" s="56">
        <v>904.2</v>
      </c>
      <c r="DQ27" s="56">
        <v>930</v>
      </c>
      <c r="DR27" s="56">
        <v>976.6</v>
      </c>
      <c r="DS27" s="56">
        <v>986.9</v>
      </c>
      <c r="DT27" s="56">
        <v>1011.1</v>
      </c>
      <c r="DU27" s="56">
        <v>1023.9</v>
      </c>
      <c r="DV27" s="56">
        <v>1051</v>
      </c>
      <c r="DW27" s="56">
        <v>1049</v>
      </c>
      <c r="DX27" s="56">
        <v>881.7</v>
      </c>
      <c r="DY27" s="56">
        <v>1002.4</v>
      </c>
      <c r="DZ27" s="56">
        <v>847.8</v>
      </c>
      <c r="EA27" s="56">
        <v>836.7</v>
      </c>
      <c r="EB27" s="56">
        <v>825.3</v>
      </c>
      <c r="EC27" s="56">
        <v>819.6</v>
      </c>
      <c r="ED27" s="56">
        <v>803.5</v>
      </c>
      <c r="EE27" s="56">
        <v>812.9</v>
      </c>
      <c r="EF27" s="56">
        <v>716.5</v>
      </c>
      <c r="EG27" s="56">
        <v>781.6</v>
      </c>
      <c r="EH27" s="56">
        <v>773.2</v>
      </c>
      <c r="EI27" s="56">
        <v>792.4</v>
      </c>
      <c r="EJ27" s="56">
        <v>816.7</v>
      </c>
      <c r="EK27" s="56">
        <v>829.8</v>
      </c>
      <c r="EL27" s="56">
        <v>902.9</v>
      </c>
      <c r="EM27" s="56">
        <v>925.8</v>
      </c>
      <c r="EN27" s="56">
        <v>949.5</v>
      </c>
      <c r="EO27" s="56">
        <v>970.6</v>
      </c>
      <c r="EP27" s="56">
        <v>1025.5</v>
      </c>
      <c r="EQ27" s="56">
        <v>1041.2</v>
      </c>
      <c r="ER27" s="56">
        <v>1060.9000000000001</v>
      </c>
      <c r="ES27" s="56">
        <v>1095.8</v>
      </c>
      <c r="ET27" s="56">
        <v>1146</v>
      </c>
      <c r="EU27" s="56">
        <v>1163.9000000000001</v>
      </c>
      <c r="EV27" s="56">
        <v>1179.3</v>
      </c>
      <c r="EW27" s="56">
        <v>1194.4000000000001</v>
      </c>
      <c r="EX27" s="56">
        <v>1201.7</v>
      </c>
      <c r="EY27" s="56">
        <v>1191.3</v>
      </c>
      <c r="EZ27" s="56">
        <v>1173.7</v>
      </c>
      <c r="FA27" s="56">
        <v>1139.8</v>
      </c>
      <c r="FB27" s="56">
        <v>921.2</v>
      </c>
      <c r="FC27" s="56">
        <v>855.5</v>
      </c>
      <c r="FD27" s="56">
        <v>842</v>
      </c>
      <c r="FE27" s="56">
        <v>847.5</v>
      </c>
      <c r="FF27" s="56">
        <v>903.4</v>
      </c>
      <c r="FG27" s="56">
        <v>935.2</v>
      </c>
      <c r="FH27" s="56">
        <v>958.5</v>
      </c>
      <c r="FI27" s="56">
        <v>977.2</v>
      </c>
      <c r="FJ27" s="56">
        <v>1111.4000000000001</v>
      </c>
      <c r="FK27" s="56">
        <v>1126.5</v>
      </c>
      <c r="FL27" s="56">
        <v>1144.2</v>
      </c>
      <c r="FM27" s="56">
        <v>1141</v>
      </c>
      <c r="FN27" s="56">
        <v>1138.3</v>
      </c>
      <c r="FO27" s="56">
        <v>1150.5999999999999</v>
      </c>
      <c r="FP27" s="56">
        <v>1163.8</v>
      </c>
      <c r="FQ27" s="56">
        <v>1212.9000000000001</v>
      </c>
      <c r="FR27" s="56">
        <v>1273.5</v>
      </c>
      <c r="FS27" s="56">
        <v>1296.4000000000001</v>
      </c>
      <c r="FT27" s="56">
        <v>1308.3</v>
      </c>
      <c r="FU27" s="56">
        <v>1333.2</v>
      </c>
      <c r="FV27" s="56">
        <v>1369.1</v>
      </c>
      <c r="FW27" s="56">
        <v>1389</v>
      </c>
      <c r="FX27" s="56">
        <v>1413.3</v>
      </c>
      <c r="FY27" s="56">
        <v>1443.5</v>
      </c>
      <c r="FZ27" s="56">
        <v>1509.1</v>
      </c>
      <c r="GA27" s="56">
        <v>1527.7</v>
      </c>
      <c r="GB27" s="56">
        <v>1540.9</v>
      </c>
      <c r="GC27" s="56">
        <v>1552.6</v>
      </c>
      <c r="GD27" s="56">
        <v>1526.8</v>
      </c>
      <c r="GE27" s="56">
        <v>1536.7</v>
      </c>
      <c r="GF27" s="56">
        <v>1553.8</v>
      </c>
      <c r="GG27" s="56">
        <v>1574.5</v>
      </c>
      <c r="GH27" s="56">
        <v>1580</v>
      </c>
      <c r="GI27" s="56">
        <v>1600.1</v>
      </c>
      <c r="GJ27" s="56">
        <v>1623.2</v>
      </c>
      <c r="GK27" s="56">
        <v>1649.1</v>
      </c>
      <c r="GL27" s="56">
        <v>1597.3</v>
      </c>
      <c r="GM27" s="56">
        <v>1607.2</v>
      </c>
      <c r="GN27" s="56">
        <v>1624.8</v>
      </c>
      <c r="GO27" s="56">
        <v>1627.8</v>
      </c>
      <c r="GP27" s="56">
        <v>1681.9</v>
      </c>
      <c r="GQ27" s="56">
        <v>1686.7</v>
      </c>
      <c r="GR27" s="56">
        <v>1699.8</v>
      </c>
      <c r="GS27" s="56">
        <v>1736.2</v>
      </c>
      <c r="GT27" s="56">
        <v>1755.2</v>
      </c>
      <c r="GU27" s="56">
        <v>1622.1</v>
      </c>
      <c r="GV27" s="56">
        <v>1736.6</v>
      </c>
      <c r="GW27" s="56">
        <v>1849.4</v>
      </c>
      <c r="GX27" s="56">
        <v>1988.7</v>
      </c>
      <c r="GY27" s="56">
        <v>2089.5</v>
      </c>
      <c r="GZ27" s="56">
        <v>2173.6</v>
      </c>
      <c r="HA27" s="56">
        <v>2248</v>
      </c>
      <c r="HB27" s="56">
        <v>2597.4</v>
      </c>
      <c r="HC27">
        <v>2604.3000000000002</v>
      </c>
      <c r="HD27">
        <v>2628.3</v>
      </c>
      <c r="HE27">
        <v>2595.6999999999998</v>
      </c>
      <c r="HF27">
        <v>2256.3000000000002</v>
      </c>
      <c r="HG27">
        <v>2246.8000000000002</v>
      </c>
      <c r="HH27">
        <v>2260.5</v>
      </c>
      <c r="HI27">
        <v>2282.1999999999998</v>
      </c>
      <c r="HJ27">
        <v>2356.1</v>
      </c>
      <c r="HK27">
        <v>2375.4</v>
      </c>
      <c r="HL27">
        <v>2398.6999999999998</v>
      </c>
      <c r="HM27">
        <v>2435</v>
      </c>
      <c r="HN27">
        <v>2493.3000000000002</v>
      </c>
    </row>
    <row r="28" spans="1:222" x14ac:dyDescent="0.25">
      <c r="A28" s="56" t="s">
        <v>2233</v>
      </c>
      <c r="B28" s="56">
        <v>17.899999999999999</v>
      </c>
      <c r="C28" s="56">
        <v>18.100000000000001</v>
      </c>
      <c r="D28" s="56">
        <v>18.2</v>
      </c>
      <c r="E28" s="56">
        <v>18.2</v>
      </c>
      <c r="F28" s="56">
        <v>19.399999999999999</v>
      </c>
      <c r="G28" s="56">
        <v>18.7</v>
      </c>
      <c r="H28" s="56">
        <v>18.899999999999999</v>
      </c>
      <c r="I28" s="56">
        <v>19</v>
      </c>
      <c r="J28" s="56">
        <v>18.2</v>
      </c>
      <c r="K28" s="56">
        <v>18.3</v>
      </c>
      <c r="L28" s="56">
        <v>18.5</v>
      </c>
      <c r="M28" s="56">
        <v>19</v>
      </c>
      <c r="N28" s="56">
        <v>19.5</v>
      </c>
      <c r="O28" s="56">
        <v>19.899999999999999</v>
      </c>
      <c r="P28" s="56">
        <v>19.7</v>
      </c>
      <c r="Q28" s="56">
        <v>20.100000000000001</v>
      </c>
      <c r="R28" s="56">
        <v>19.8</v>
      </c>
      <c r="S28" s="56">
        <v>20.100000000000001</v>
      </c>
      <c r="T28" s="56">
        <v>20.2</v>
      </c>
      <c r="U28" s="56">
        <v>20.2</v>
      </c>
      <c r="V28" s="56">
        <v>19.8</v>
      </c>
      <c r="W28" s="56">
        <v>21.3</v>
      </c>
      <c r="X28" s="56">
        <v>23.3</v>
      </c>
      <c r="Y28" s="56">
        <v>23.9</v>
      </c>
      <c r="Z28" s="56">
        <v>20.8</v>
      </c>
      <c r="AA28" s="56">
        <v>21.3</v>
      </c>
      <c r="AB28" s="56">
        <v>21.7</v>
      </c>
      <c r="AC28" s="56">
        <v>21.7</v>
      </c>
      <c r="AD28" s="56">
        <v>22</v>
      </c>
      <c r="AE28" s="56">
        <v>22.5</v>
      </c>
      <c r="AF28" s="56">
        <v>23.2</v>
      </c>
      <c r="AG28" s="56">
        <v>23.2</v>
      </c>
      <c r="AH28" s="56">
        <v>24</v>
      </c>
      <c r="AI28" s="56">
        <v>25.4</v>
      </c>
      <c r="AJ28" s="56">
        <v>25.5</v>
      </c>
      <c r="AK28" s="56">
        <v>26.3</v>
      </c>
      <c r="AL28" s="56">
        <v>25.9</v>
      </c>
      <c r="AM28" s="56">
        <v>25.9</v>
      </c>
      <c r="AN28" s="56">
        <v>25.3</v>
      </c>
      <c r="AO28" s="56">
        <v>25.6</v>
      </c>
      <c r="AP28" s="56">
        <v>27.6</v>
      </c>
      <c r="AQ28" s="56">
        <v>33.6</v>
      </c>
      <c r="AR28" s="56">
        <v>36.1</v>
      </c>
      <c r="AS28" s="56">
        <v>37.299999999999997</v>
      </c>
      <c r="AT28" s="56">
        <v>50.7</v>
      </c>
      <c r="AU28" s="56">
        <v>51.8</v>
      </c>
      <c r="AV28" s="56">
        <v>49.1</v>
      </c>
      <c r="AW28" s="56">
        <v>48.1</v>
      </c>
      <c r="AX28" s="56">
        <v>43.5</v>
      </c>
      <c r="AY28" s="56">
        <v>40</v>
      </c>
      <c r="AZ28" s="56">
        <v>40.1</v>
      </c>
      <c r="BA28" s="56">
        <v>40.299999999999997</v>
      </c>
      <c r="BB28" s="56">
        <v>41.1</v>
      </c>
      <c r="BC28" s="56">
        <v>45.3</v>
      </c>
      <c r="BD28" s="56">
        <v>45.5</v>
      </c>
      <c r="BE28" s="56">
        <v>45.8</v>
      </c>
      <c r="BF28" s="56">
        <v>47</v>
      </c>
      <c r="BG28" s="56">
        <v>47.5</v>
      </c>
      <c r="BH28" s="56">
        <v>47.4</v>
      </c>
      <c r="BI28" s="56">
        <v>47.3</v>
      </c>
      <c r="BJ28" s="56">
        <v>46.4</v>
      </c>
      <c r="BK28" s="56">
        <v>45.7</v>
      </c>
      <c r="BL28" s="56">
        <v>46.8</v>
      </c>
      <c r="BM28" s="56">
        <v>45.4</v>
      </c>
      <c r="BN28" s="56">
        <v>44.5</v>
      </c>
      <c r="BO28" s="56">
        <v>42.9</v>
      </c>
      <c r="BP28" s="56">
        <v>43.8</v>
      </c>
      <c r="BQ28" s="56">
        <v>43.6</v>
      </c>
      <c r="BR28" s="56">
        <v>44.1</v>
      </c>
      <c r="BS28" s="56">
        <v>45.8</v>
      </c>
      <c r="BT28" s="56">
        <v>46.4</v>
      </c>
      <c r="BU28" s="56">
        <v>47.4</v>
      </c>
      <c r="BV28" s="56">
        <v>49.6</v>
      </c>
      <c r="BW28" s="56">
        <v>49.3</v>
      </c>
      <c r="BX28" s="56">
        <v>50.2</v>
      </c>
      <c r="BY28" s="56">
        <v>50.2</v>
      </c>
      <c r="BZ28" s="56">
        <v>50.8</v>
      </c>
      <c r="CA28" s="56">
        <v>49.2</v>
      </c>
      <c r="CB28" s="56">
        <v>50</v>
      </c>
      <c r="CC28" s="56">
        <v>48.9</v>
      </c>
      <c r="CD28" s="56">
        <v>50.3</v>
      </c>
      <c r="CE28" s="56">
        <v>50.8</v>
      </c>
      <c r="CF28" s="56">
        <v>51.1</v>
      </c>
      <c r="CG28" s="56">
        <v>51.5</v>
      </c>
      <c r="CH28" s="56">
        <v>59.7</v>
      </c>
      <c r="CI28" s="56">
        <v>61.3</v>
      </c>
      <c r="CJ28" s="56">
        <v>61.8</v>
      </c>
      <c r="CK28" s="56">
        <v>64.2</v>
      </c>
      <c r="CL28" s="56">
        <v>63.6</v>
      </c>
      <c r="CM28" s="56">
        <v>63.1</v>
      </c>
      <c r="CN28" s="56">
        <v>61.9</v>
      </c>
      <c r="CO28" s="56">
        <v>64.599999999999994</v>
      </c>
      <c r="CP28" s="56">
        <v>62.2</v>
      </c>
      <c r="CQ28" s="56">
        <v>64.8</v>
      </c>
      <c r="CR28" s="56">
        <v>65.400000000000006</v>
      </c>
      <c r="CS28" s="56">
        <v>73.099999999999994</v>
      </c>
      <c r="CT28" s="56">
        <v>75.5</v>
      </c>
      <c r="CU28" s="56">
        <v>78.599999999999994</v>
      </c>
      <c r="CV28" s="56">
        <v>80.5</v>
      </c>
      <c r="CW28" s="56">
        <v>81.400000000000006</v>
      </c>
      <c r="CX28" s="56">
        <v>76.599999999999994</v>
      </c>
      <c r="CY28" s="56">
        <v>75.7</v>
      </c>
      <c r="CZ28" s="56">
        <v>75.400000000000006</v>
      </c>
      <c r="DA28" s="56">
        <v>74.5</v>
      </c>
      <c r="DB28" s="56">
        <v>72.599999999999994</v>
      </c>
      <c r="DC28" s="56">
        <v>71.2</v>
      </c>
      <c r="DD28" s="56">
        <v>71.7</v>
      </c>
      <c r="DE28" s="56">
        <v>75.900000000000006</v>
      </c>
      <c r="DF28" s="56">
        <v>72</v>
      </c>
      <c r="DG28" s="56">
        <v>79.7</v>
      </c>
      <c r="DH28" s="56">
        <v>79.900000000000006</v>
      </c>
      <c r="DI28" s="56">
        <v>79.7</v>
      </c>
      <c r="DJ28" s="56">
        <v>79.5</v>
      </c>
      <c r="DK28" s="56">
        <v>80.099999999999994</v>
      </c>
      <c r="DL28" s="56">
        <v>81.5</v>
      </c>
      <c r="DM28" s="56">
        <v>81.7</v>
      </c>
      <c r="DN28" s="56">
        <v>81.3</v>
      </c>
      <c r="DO28" s="56">
        <v>81.599999999999994</v>
      </c>
      <c r="DP28" s="56">
        <v>83.8</v>
      </c>
      <c r="DQ28" s="56">
        <v>87</v>
      </c>
      <c r="DR28" s="56">
        <v>86.1</v>
      </c>
      <c r="DS28" s="56">
        <v>88.4</v>
      </c>
      <c r="DT28" s="56">
        <v>87.5</v>
      </c>
      <c r="DU28" s="56">
        <v>87</v>
      </c>
      <c r="DV28" s="56">
        <v>87.1</v>
      </c>
      <c r="DW28" s="56">
        <v>86.3</v>
      </c>
      <c r="DX28" s="56">
        <v>83.6</v>
      </c>
      <c r="DY28" s="56">
        <v>84.1</v>
      </c>
      <c r="DZ28" s="56">
        <v>84.7</v>
      </c>
      <c r="EA28" s="56">
        <v>87.3</v>
      </c>
      <c r="EB28" s="56">
        <v>88</v>
      </c>
      <c r="EC28" s="56">
        <v>87.3</v>
      </c>
      <c r="ED28" s="56">
        <v>90.1</v>
      </c>
      <c r="EE28" s="56">
        <v>90</v>
      </c>
      <c r="EF28" s="56">
        <v>89.6</v>
      </c>
      <c r="EG28" s="56">
        <v>91.1</v>
      </c>
      <c r="EH28" s="56">
        <v>94.1</v>
      </c>
      <c r="EI28" s="56">
        <v>94.8</v>
      </c>
      <c r="EJ28" s="56">
        <v>95.9</v>
      </c>
      <c r="EK28" s="56">
        <v>96.2</v>
      </c>
      <c r="EL28" s="56">
        <v>97.2</v>
      </c>
      <c r="EM28" s="56">
        <v>101.4</v>
      </c>
      <c r="EN28" s="56">
        <v>100.3</v>
      </c>
      <c r="EO28" s="56">
        <v>98.7</v>
      </c>
      <c r="EP28" s="56">
        <v>99.1</v>
      </c>
      <c r="EQ28" s="56">
        <v>99.5</v>
      </c>
      <c r="ER28" s="56">
        <v>100.2</v>
      </c>
      <c r="ES28" s="56">
        <v>98.1</v>
      </c>
      <c r="ET28" s="56">
        <v>93.9</v>
      </c>
      <c r="EU28" s="56">
        <v>93.7</v>
      </c>
      <c r="EV28" s="56">
        <v>95.4</v>
      </c>
      <c r="EW28" s="56">
        <v>95.5</v>
      </c>
      <c r="EX28" s="56">
        <v>93.2</v>
      </c>
      <c r="EY28" s="56">
        <v>95.3</v>
      </c>
      <c r="EZ28" s="56">
        <v>93.7</v>
      </c>
      <c r="FA28" s="56">
        <v>93.7</v>
      </c>
      <c r="FB28" s="56">
        <v>86.7</v>
      </c>
      <c r="FC28" s="56">
        <v>94.3</v>
      </c>
      <c r="FD28" s="56">
        <v>91.4</v>
      </c>
      <c r="FE28" s="56">
        <v>93.2</v>
      </c>
      <c r="FF28" s="56">
        <v>93.1</v>
      </c>
      <c r="FG28" s="56">
        <v>96.4</v>
      </c>
      <c r="FH28" s="56">
        <v>98.9</v>
      </c>
      <c r="FI28" s="56">
        <v>98.7</v>
      </c>
      <c r="FJ28" s="56">
        <v>104.7</v>
      </c>
      <c r="FK28" s="56">
        <v>109.1</v>
      </c>
      <c r="FL28" s="56">
        <v>109.4</v>
      </c>
      <c r="FM28" s="56">
        <v>111.4</v>
      </c>
      <c r="FN28" s="56">
        <v>113.9</v>
      </c>
      <c r="FO28" s="56">
        <v>114.4</v>
      </c>
      <c r="FP28" s="56">
        <v>114.7</v>
      </c>
      <c r="FQ28" s="56">
        <v>117.6</v>
      </c>
      <c r="FR28" s="56">
        <v>122.3</v>
      </c>
      <c r="FS28" s="56">
        <v>124.4</v>
      </c>
      <c r="FT28" s="56">
        <v>126.4</v>
      </c>
      <c r="FU28" s="56">
        <v>128.80000000000001</v>
      </c>
      <c r="FV28" s="56">
        <v>136.69999999999999</v>
      </c>
      <c r="FW28" s="56">
        <v>135.5</v>
      </c>
      <c r="FX28" s="56">
        <v>137.4</v>
      </c>
      <c r="FY28" s="56">
        <v>137.19999999999999</v>
      </c>
      <c r="FZ28" s="56">
        <v>141.19999999999999</v>
      </c>
      <c r="GA28" s="56">
        <v>145.1</v>
      </c>
      <c r="GB28" s="56">
        <v>137.80000000000001</v>
      </c>
      <c r="GC28" s="56">
        <v>143.30000000000001</v>
      </c>
      <c r="GD28" s="56">
        <v>139.5</v>
      </c>
      <c r="GE28" s="56">
        <v>136.6</v>
      </c>
      <c r="GF28" s="56">
        <v>136.6</v>
      </c>
      <c r="GG28" s="56">
        <v>136.4</v>
      </c>
      <c r="GH28" s="56">
        <v>127.6</v>
      </c>
      <c r="GI28" s="56">
        <v>131.69999999999999</v>
      </c>
      <c r="GJ28" s="56">
        <v>131.80000000000001</v>
      </c>
      <c r="GK28" s="56">
        <v>134.69999999999999</v>
      </c>
      <c r="GL28" s="56">
        <v>150.1</v>
      </c>
      <c r="GM28" s="56">
        <v>155.69999999999999</v>
      </c>
      <c r="GN28" s="56">
        <v>163.4</v>
      </c>
      <c r="GO28" s="56">
        <v>184.6</v>
      </c>
      <c r="GP28" s="56">
        <v>174.8</v>
      </c>
      <c r="GQ28" s="56">
        <v>169.2</v>
      </c>
      <c r="GR28" s="56">
        <v>176.8</v>
      </c>
      <c r="GS28" s="56">
        <v>178.8</v>
      </c>
      <c r="GT28" s="56">
        <v>184.1</v>
      </c>
      <c r="GU28" s="56">
        <v>129.30000000000001</v>
      </c>
      <c r="GV28" s="56">
        <v>149.30000000000001</v>
      </c>
      <c r="GW28" s="56">
        <v>158.69999999999999</v>
      </c>
      <c r="GX28" s="56">
        <v>162.19999999999999</v>
      </c>
      <c r="GY28" s="56">
        <v>180.5</v>
      </c>
      <c r="GZ28" s="56">
        <v>183.8</v>
      </c>
      <c r="HA28" s="56">
        <v>195.8</v>
      </c>
      <c r="HB28" s="56">
        <v>207.1</v>
      </c>
      <c r="HC28">
        <v>209</v>
      </c>
      <c r="HD28">
        <v>200.3</v>
      </c>
      <c r="HE28">
        <v>190</v>
      </c>
      <c r="HF28">
        <v>179.7</v>
      </c>
      <c r="HG28">
        <v>175.8</v>
      </c>
      <c r="HH28">
        <v>172.2</v>
      </c>
      <c r="HI28">
        <v>169.3</v>
      </c>
      <c r="HJ28">
        <v>177.2</v>
      </c>
      <c r="HK28">
        <v>172.4</v>
      </c>
      <c r="HL28">
        <v>181.4</v>
      </c>
      <c r="HM28">
        <v>182.5</v>
      </c>
      <c r="HN28">
        <v>191.3</v>
      </c>
    </row>
    <row r="29" spans="1:222" x14ac:dyDescent="0.25">
      <c r="A29" s="56" t="s">
        <v>2234</v>
      </c>
      <c r="B29" s="56">
        <v>27</v>
      </c>
      <c r="C29" s="56">
        <v>27</v>
      </c>
      <c r="D29" s="56">
        <v>27.9</v>
      </c>
      <c r="E29" s="56">
        <v>26.6</v>
      </c>
      <c r="F29" s="56">
        <v>29.9</v>
      </c>
      <c r="G29" s="56">
        <v>30.7</v>
      </c>
      <c r="H29" s="56">
        <v>29.8</v>
      </c>
      <c r="I29" s="56">
        <v>30.1</v>
      </c>
      <c r="J29" s="56">
        <v>31.8</v>
      </c>
      <c r="K29" s="56">
        <v>32</v>
      </c>
      <c r="L29" s="56">
        <v>33.1</v>
      </c>
      <c r="M29" s="56">
        <v>36.6</v>
      </c>
      <c r="N29" s="56">
        <v>39.299999999999997</v>
      </c>
      <c r="O29" s="56">
        <v>39.4</v>
      </c>
      <c r="P29" s="56">
        <v>37.6</v>
      </c>
      <c r="Q29" s="56">
        <v>39.4</v>
      </c>
      <c r="R29" s="56">
        <v>37.4</v>
      </c>
      <c r="S29" s="56">
        <v>39.299999999999997</v>
      </c>
      <c r="T29" s="56">
        <v>43.5</v>
      </c>
      <c r="U29" s="56">
        <v>38.1</v>
      </c>
      <c r="V29" s="56">
        <v>31.5</v>
      </c>
      <c r="W29" s="56">
        <v>34.200000000000003</v>
      </c>
      <c r="X29" s="56">
        <v>43.2</v>
      </c>
      <c r="Y29" s="56">
        <v>43.9</v>
      </c>
      <c r="Z29" s="56">
        <v>49.9</v>
      </c>
      <c r="AA29" s="56">
        <v>49</v>
      </c>
      <c r="AB29" s="56">
        <v>48.5</v>
      </c>
      <c r="AC29" s="56">
        <v>47.5</v>
      </c>
      <c r="AD29" s="56">
        <v>51</v>
      </c>
      <c r="AE29" s="56">
        <v>55.7</v>
      </c>
      <c r="AF29" s="56">
        <v>57.9</v>
      </c>
      <c r="AG29" s="56">
        <v>58.1</v>
      </c>
      <c r="AH29" s="56">
        <v>54.4</v>
      </c>
      <c r="AI29" s="56">
        <v>66.2</v>
      </c>
      <c r="AJ29" s="56">
        <v>66.7</v>
      </c>
      <c r="AK29" s="56">
        <v>70.3</v>
      </c>
      <c r="AL29" s="56">
        <v>66.599999999999994</v>
      </c>
      <c r="AM29" s="56">
        <v>66.5</v>
      </c>
      <c r="AN29" s="56">
        <v>65.3</v>
      </c>
      <c r="AO29" s="56">
        <v>62.1</v>
      </c>
      <c r="AP29" s="56">
        <v>67</v>
      </c>
      <c r="AQ29" s="56">
        <v>49.8</v>
      </c>
      <c r="AR29" s="56">
        <v>56</v>
      </c>
      <c r="AS29" s="56">
        <v>61.7</v>
      </c>
      <c r="AT29" s="56">
        <v>58.5</v>
      </c>
      <c r="AU29" s="56">
        <v>50.7</v>
      </c>
      <c r="AV29" s="56">
        <v>52.7</v>
      </c>
      <c r="AW29" s="56">
        <v>44.8</v>
      </c>
      <c r="AX29" s="56">
        <v>33.5</v>
      </c>
      <c r="AY29" s="56">
        <v>34.700000000000003</v>
      </c>
      <c r="AZ29" s="56">
        <v>35.4</v>
      </c>
      <c r="BA29" s="56">
        <v>31.7</v>
      </c>
      <c r="BB29" s="56">
        <v>34.299999999999997</v>
      </c>
      <c r="BC29" s="56">
        <v>46.3</v>
      </c>
      <c r="BD29" s="56">
        <v>53.3</v>
      </c>
      <c r="BE29" s="56">
        <v>54.6</v>
      </c>
      <c r="BF29" s="56">
        <v>64.8</v>
      </c>
      <c r="BG29" s="56">
        <v>63.8</v>
      </c>
      <c r="BH29" s="56">
        <v>53.8</v>
      </c>
      <c r="BI29" s="56">
        <v>54.3</v>
      </c>
      <c r="BJ29" s="56">
        <v>57.7</v>
      </c>
      <c r="BK29" s="56">
        <v>56.3</v>
      </c>
      <c r="BL29" s="56">
        <v>60.8</v>
      </c>
      <c r="BM29" s="56">
        <v>59</v>
      </c>
      <c r="BN29" s="56">
        <v>63</v>
      </c>
      <c r="BO29" s="56">
        <v>63.4</v>
      </c>
      <c r="BP29" s="56">
        <v>64.599999999999994</v>
      </c>
      <c r="BQ29" s="56">
        <v>73.099999999999994</v>
      </c>
      <c r="BR29" s="56">
        <v>76</v>
      </c>
      <c r="BS29" s="56">
        <v>87.3</v>
      </c>
      <c r="BT29" s="56">
        <v>91.3</v>
      </c>
      <c r="BU29" s="56">
        <v>87.1</v>
      </c>
      <c r="BV29" s="56">
        <v>84.5</v>
      </c>
      <c r="BW29" s="56">
        <v>90</v>
      </c>
      <c r="BX29" s="56">
        <v>97.8</v>
      </c>
      <c r="BY29" s="56">
        <v>102.7</v>
      </c>
      <c r="BZ29" s="56">
        <v>104.9</v>
      </c>
      <c r="CA29" s="56">
        <v>94.4</v>
      </c>
      <c r="CB29" s="56">
        <v>91.6</v>
      </c>
      <c r="CC29" s="56">
        <v>91.4</v>
      </c>
      <c r="CD29" s="56">
        <v>91.1</v>
      </c>
      <c r="CE29" s="56">
        <v>94.7</v>
      </c>
      <c r="CF29" s="56">
        <v>97</v>
      </c>
      <c r="CG29" s="56">
        <v>95.4</v>
      </c>
      <c r="CH29" s="56">
        <v>91.5</v>
      </c>
      <c r="CI29" s="56">
        <v>87.5</v>
      </c>
      <c r="CJ29" s="56">
        <v>88.2</v>
      </c>
      <c r="CK29" s="56">
        <v>89.5</v>
      </c>
      <c r="CL29" s="56">
        <v>99.8</v>
      </c>
      <c r="CM29" s="56">
        <v>102</v>
      </c>
      <c r="CN29" s="56">
        <v>98.9</v>
      </c>
      <c r="CO29" s="56">
        <v>107.2</v>
      </c>
      <c r="CP29" s="56">
        <v>111.5</v>
      </c>
      <c r="CQ29" s="56">
        <v>121.9</v>
      </c>
      <c r="CR29" s="56">
        <v>115.5</v>
      </c>
      <c r="CS29" s="56">
        <v>141</v>
      </c>
      <c r="CT29" s="56">
        <v>122.4</v>
      </c>
      <c r="CU29" s="56">
        <v>129.30000000000001</v>
      </c>
      <c r="CV29" s="56">
        <v>142.4</v>
      </c>
      <c r="CW29" s="56">
        <v>150.9</v>
      </c>
      <c r="CX29" s="56">
        <v>155.30000000000001</v>
      </c>
      <c r="CY29" s="56">
        <v>153.1</v>
      </c>
      <c r="CZ29" s="56">
        <v>159.1</v>
      </c>
      <c r="DA29" s="56">
        <v>156.19999999999999</v>
      </c>
      <c r="DB29" s="56">
        <v>162.4</v>
      </c>
      <c r="DC29" s="56">
        <v>171.9</v>
      </c>
      <c r="DD29" s="56">
        <v>172.6</v>
      </c>
      <c r="DE29" s="56">
        <v>175.3</v>
      </c>
      <c r="DF29" s="56">
        <v>176.9</v>
      </c>
      <c r="DG29" s="56">
        <v>180.5</v>
      </c>
      <c r="DH29" s="56">
        <v>190.5</v>
      </c>
      <c r="DI29" s="56">
        <v>181.5</v>
      </c>
      <c r="DJ29" s="56">
        <v>178.8</v>
      </c>
      <c r="DK29" s="56">
        <v>175.4</v>
      </c>
      <c r="DL29" s="56">
        <v>180.1</v>
      </c>
      <c r="DM29" s="56">
        <v>176.4</v>
      </c>
      <c r="DN29" s="56">
        <v>186</v>
      </c>
      <c r="DO29" s="56">
        <v>184.4</v>
      </c>
      <c r="DP29" s="56">
        <v>187.7</v>
      </c>
      <c r="DQ29" s="56">
        <v>192.1</v>
      </c>
      <c r="DR29" s="56">
        <v>202.2</v>
      </c>
      <c r="DS29" s="56">
        <v>201.1</v>
      </c>
      <c r="DT29" s="56">
        <v>185.6</v>
      </c>
      <c r="DU29" s="56">
        <v>187.6</v>
      </c>
      <c r="DV29" s="56">
        <v>154.9</v>
      </c>
      <c r="DW29" s="56">
        <v>148.69999999999999</v>
      </c>
      <c r="DX29" s="56">
        <v>130.9</v>
      </c>
      <c r="DY29" s="56">
        <v>115.8</v>
      </c>
      <c r="DZ29" s="56">
        <v>115.5</v>
      </c>
      <c r="EA29" s="56">
        <v>119.9</v>
      </c>
      <c r="EB29" s="56">
        <v>126.5</v>
      </c>
      <c r="EC29" s="56">
        <v>142</v>
      </c>
      <c r="ED29" s="56">
        <v>161.5</v>
      </c>
      <c r="EE29" s="56">
        <v>160.9</v>
      </c>
      <c r="EF29" s="56">
        <v>180.3</v>
      </c>
      <c r="EG29" s="56">
        <v>200.4</v>
      </c>
      <c r="EH29" s="56">
        <v>209.2</v>
      </c>
      <c r="EI29" s="56">
        <v>226</v>
      </c>
      <c r="EJ29" s="56">
        <v>244.5</v>
      </c>
      <c r="EK29" s="56">
        <v>249.2</v>
      </c>
      <c r="EL29" s="56">
        <v>315.3</v>
      </c>
      <c r="EM29" s="56">
        <v>306.10000000000002</v>
      </c>
      <c r="EN29" s="56">
        <v>311.89999999999998</v>
      </c>
      <c r="EO29" s="56">
        <v>344.7</v>
      </c>
      <c r="EP29" s="56">
        <v>357.2</v>
      </c>
      <c r="EQ29" s="56">
        <v>367.3</v>
      </c>
      <c r="ER29" s="56">
        <v>384.8</v>
      </c>
      <c r="ES29" s="56">
        <v>354.6</v>
      </c>
      <c r="ET29" s="56">
        <v>354.5</v>
      </c>
      <c r="EU29" s="56">
        <v>347.7</v>
      </c>
      <c r="EV29" s="56">
        <v>314.60000000000002</v>
      </c>
      <c r="EW29" s="56">
        <v>296.2</v>
      </c>
      <c r="EX29" s="56">
        <v>241.7</v>
      </c>
      <c r="EY29" s="56">
        <v>227.1</v>
      </c>
      <c r="EZ29" s="56">
        <v>211.5</v>
      </c>
      <c r="FA29" s="56">
        <v>127.5</v>
      </c>
      <c r="FB29" s="56">
        <v>122.7</v>
      </c>
      <c r="FC29" s="56">
        <v>138.9</v>
      </c>
      <c r="FD29" s="56">
        <v>159.4</v>
      </c>
      <c r="FE29" s="56">
        <v>190.8</v>
      </c>
      <c r="FF29" s="56">
        <v>204.7</v>
      </c>
      <c r="FG29" s="56">
        <v>212.2</v>
      </c>
      <c r="FH29" s="56">
        <v>227.1</v>
      </c>
      <c r="FI29" s="56">
        <v>233.6</v>
      </c>
      <c r="FJ29" s="56">
        <v>228.9</v>
      </c>
      <c r="FK29" s="56">
        <v>227.2</v>
      </c>
      <c r="FL29" s="56">
        <v>201.7</v>
      </c>
      <c r="FM29" s="56">
        <v>238</v>
      </c>
      <c r="FN29" s="56">
        <v>261.5</v>
      </c>
      <c r="FO29" s="56">
        <v>275.5</v>
      </c>
      <c r="FP29" s="56">
        <v>280.8</v>
      </c>
      <c r="FQ29" s="56">
        <v>280.89999999999998</v>
      </c>
      <c r="FR29" s="56">
        <v>298</v>
      </c>
      <c r="FS29" s="56">
        <v>292.89999999999998</v>
      </c>
      <c r="FT29" s="56">
        <v>300.60000000000002</v>
      </c>
      <c r="FU29" s="56">
        <v>302.2</v>
      </c>
      <c r="FV29" s="56">
        <v>337.4</v>
      </c>
      <c r="FW29" s="56">
        <v>359</v>
      </c>
      <c r="FX29" s="56">
        <v>329.6</v>
      </c>
      <c r="FY29" s="56">
        <v>332.6</v>
      </c>
      <c r="FZ29" s="56">
        <v>345.4</v>
      </c>
      <c r="GA29" s="56">
        <v>350.7</v>
      </c>
      <c r="GB29" s="56">
        <v>324.7</v>
      </c>
      <c r="GC29" s="56">
        <v>295.60000000000002</v>
      </c>
      <c r="GD29" s="56">
        <v>310.8</v>
      </c>
      <c r="GE29" s="56">
        <v>314.7</v>
      </c>
      <c r="GF29" s="56">
        <v>322.60000000000002</v>
      </c>
      <c r="GG29" s="56">
        <v>299.2</v>
      </c>
      <c r="GH29" s="56">
        <v>211.8</v>
      </c>
      <c r="GI29" s="56">
        <v>225.7</v>
      </c>
      <c r="GJ29" s="56">
        <v>241.5</v>
      </c>
      <c r="GK29" s="56">
        <v>242.4</v>
      </c>
      <c r="GL29" s="56">
        <v>215.5</v>
      </c>
      <c r="GM29" s="56">
        <v>229.1</v>
      </c>
      <c r="GN29" s="56">
        <v>225.5</v>
      </c>
      <c r="GO29" s="56">
        <v>229.7</v>
      </c>
      <c r="GP29" s="56">
        <v>197.4</v>
      </c>
      <c r="GQ29" s="56">
        <v>205.6</v>
      </c>
      <c r="GR29" s="56">
        <v>206.9</v>
      </c>
      <c r="GS29" s="56">
        <v>231.9</v>
      </c>
      <c r="GT29" s="56">
        <v>191.5</v>
      </c>
      <c r="GU29" s="56">
        <v>199.6</v>
      </c>
      <c r="GV29" s="56">
        <v>258.60000000000002</v>
      </c>
      <c r="GW29" s="56">
        <v>251.2</v>
      </c>
      <c r="GX29" s="56">
        <v>289.89999999999998</v>
      </c>
      <c r="GY29" s="56">
        <v>343.9</v>
      </c>
      <c r="GZ29" s="56">
        <v>344.5</v>
      </c>
      <c r="HA29" s="56">
        <v>357.9</v>
      </c>
      <c r="HB29">
        <v>379.6</v>
      </c>
      <c r="HC29">
        <v>417.1</v>
      </c>
      <c r="HD29">
        <v>402.2</v>
      </c>
      <c r="HE29">
        <v>406.9</v>
      </c>
      <c r="HF29">
        <v>434.3</v>
      </c>
      <c r="HG29">
        <v>429.4</v>
      </c>
      <c r="HH29">
        <v>451.9</v>
      </c>
      <c r="HI29">
        <v>464.8</v>
      </c>
      <c r="HJ29">
        <v>459.9</v>
      </c>
      <c r="HK29">
        <v>493.4</v>
      </c>
      <c r="HL29">
        <v>493.1</v>
      </c>
      <c r="HM29">
        <v>512.1</v>
      </c>
    </row>
    <row r="30" spans="1:222" x14ac:dyDescent="0.25">
      <c r="A30" s="56" t="s">
        <v>2235</v>
      </c>
      <c r="B30" s="56">
        <v>45.1</v>
      </c>
      <c r="C30" s="56">
        <v>45.4</v>
      </c>
      <c r="D30" s="56">
        <v>45.9</v>
      </c>
      <c r="E30" s="56">
        <v>45.6</v>
      </c>
      <c r="F30" s="56">
        <v>49.6</v>
      </c>
      <c r="G30" s="56">
        <v>50.2</v>
      </c>
      <c r="H30" s="56">
        <v>50.5</v>
      </c>
      <c r="I30" s="56">
        <v>51</v>
      </c>
      <c r="J30" s="56">
        <v>57.3</v>
      </c>
      <c r="K30" s="56">
        <v>57.9</v>
      </c>
      <c r="L30" s="56">
        <v>58.5</v>
      </c>
      <c r="M30" s="56">
        <v>59.4</v>
      </c>
      <c r="N30" s="56">
        <v>72.7</v>
      </c>
      <c r="O30" s="56">
        <v>73.8</v>
      </c>
      <c r="P30" s="56">
        <v>75.099999999999994</v>
      </c>
      <c r="Q30" s="56">
        <v>76.599999999999994</v>
      </c>
      <c r="R30" s="56">
        <v>82.1</v>
      </c>
      <c r="S30" s="56">
        <v>83.6</v>
      </c>
      <c r="T30" s="56">
        <v>85.2</v>
      </c>
      <c r="U30" s="56">
        <v>85.4</v>
      </c>
      <c r="V30" s="56">
        <v>86.5</v>
      </c>
      <c r="W30" s="56">
        <v>86.8</v>
      </c>
      <c r="X30" s="56">
        <v>88.5</v>
      </c>
      <c r="Y30" s="56">
        <v>90.5</v>
      </c>
      <c r="Z30" s="56">
        <v>97.5</v>
      </c>
      <c r="AA30" s="56">
        <v>98.9</v>
      </c>
      <c r="AB30" s="56">
        <v>100.6</v>
      </c>
      <c r="AC30" s="56">
        <v>102.1</v>
      </c>
      <c r="AD30" s="56">
        <v>107.5</v>
      </c>
      <c r="AE30" s="56">
        <v>110.1</v>
      </c>
      <c r="AF30" s="56">
        <v>112.2</v>
      </c>
      <c r="AG30" s="56">
        <v>114.4</v>
      </c>
      <c r="AH30" s="56">
        <v>121.6</v>
      </c>
      <c r="AI30" s="56">
        <v>126.5</v>
      </c>
      <c r="AJ30" s="56">
        <v>130.80000000000001</v>
      </c>
      <c r="AK30" s="56">
        <v>136</v>
      </c>
      <c r="AL30" s="56">
        <v>143.1</v>
      </c>
      <c r="AM30" s="56">
        <v>147.4</v>
      </c>
      <c r="AN30" s="56">
        <v>152.4</v>
      </c>
      <c r="AO30" s="56">
        <v>156.30000000000001</v>
      </c>
      <c r="AP30" s="56">
        <v>159.30000000000001</v>
      </c>
      <c r="AQ30" s="56">
        <v>161</v>
      </c>
      <c r="AR30" s="56">
        <v>164.2</v>
      </c>
      <c r="AS30" s="56">
        <v>170.1</v>
      </c>
      <c r="AT30" s="56">
        <v>187.3</v>
      </c>
      <c r="AU30" s="56">
        <v>190.9</v>
      </c>
      <c r="AV30" s="56">
        <v>195.6</v>
      </c>
      <c r="AW30" s="56">
        <v>198.2</v>
      </c>
      <c r="AX30" s="56">
        <v>203.2</v>
      </c>
      <c r="AY30" s="56">
        <v>205.2</v>
      </c>
      <c r="AZ30" s="56">
        <v>207.5</v>
      </c>
      <c r="BA30" s="56">
        <v>208.3</v>
      </c>
      <c r="BB30" s="56">
        <v>216.1</v>
      </c>
      <c r="BC30" s="56">
        <v>220.2</v>
      </c>
      <c r="BD30" s="56">
        <v>224.8</v>
      </c>
      <c r="BE30" s="56">
        <v>231.2</v>
      </c>
      <c r="BF30" s="56">
        <v>246.3</v>
      </c>
      <c r="BG30" s="56">
        <v>252.1</v>
      </c>
      <c r="BH30" s="56">
        <v>257.10000000000002</v>
      </c>
      <c r="BI30" s="56">
        <v>261.10000000000002</v>
      </c>
      <c r="BJ30" s="56">
        <v>271</v>
      </c>
      <c r="BK30" s="56">
        <v>275</v>
      </c>
      <c r="BL30" s="56">
        <v>279.7</v>
      </c>
      <c r="BM30" s="56">
        <v>285.89999999999998</v>
      </c>
      <c r="BN30" s="56">
        <v>292.7</v>
      </c>
      <c r="BO30" s="56">
        <v>296.10000000000002</v>
      </c>
      <c r="BP30" s="56">
        <v>300.8</v>
      </c>
      <c r="BQ30" s="56">
        <v>306.2</v>
      </c>
      <c r="BR30" s="56">
        <v>310.7</v>
      </c>
      <c r="BS30" s="56">
        <v>314.5</v>
      </c>
      <c r="BT30" s="56">
        <v>319</v>
      </c>
      <c r="BU30" s="56">
        <v>325.60000000000002</v>
      </c>
      <c r="BV30" s="56">
        <v>344.7</v>
      </c>
      <c r="BW30" s="56">
        <v>351.7</v>
      </c>
      <c r="BX30" s="56">
        <v>357.7</v>
      </c>
      <c r="BY30" s="56">
        <v>365</v>
      </c>
      <c r="BZ30" s="56">
        <v>370.9</v>
      </c>
      <c r="CA30" s="56">
        <v>375.4</v>
      </c>
      <c r="CB30" s="56">
        <v>379.8</v>
      </c>
      <c r="CC30" s="56">
        <v>385.6</v>
      </c>
      <c r="CD30" s="56">
        <v>394</v>
      </c>
      <c r="CE30" s="56">
        <v>399</v>
      </c>
      <c r="CF30" s="56">
        <v>406.4</v>
      </c>
      <c r="CG30" s="56">
        <v>408.9</v>
      </c>
      <c r="CH30" s="56">
        <v>412</v>
      </c>
      <c r="CI30" s="56">
        <v>418.3</v>
      </c>
      <c r="CJ30" s="56">
        <v>423.7</v>
      </c>
      <c r="CK30" s="56">
        <v>428.4</v>
      </c>
      <c r="CL30" s="56">
        <v>439.9</v>
      </c>
      <c r="CM30" s="56">
        <v>445.1</v>
      </c>
      <c r="CN30" s="56">
        <v>447.9</v>
      </c>
      <c r="CO30" s="56">
        <v>442.9</v>
      </c>
      <c r="CP30" s="56">
        <v>462.1</v>
      </c>
      <c r="CQ30" s="56">
        <v>462.4</v>
      </c>
      <c r="CR30" s="56">
        <v>466.8</v>
      </c>
      <c r="CS30" s="56">
        <v>470.8</v>
      </c>
      <c r="CT30" s="56">
        <v>485.8</v>
      </c>
      <c r="CU30" s="56">
        <v>493</v>
      </c>
      <c r="CV30" s="56">
        <v>499</v>
      </c>
      <c r="CW30" s="56">
        <v>506.8</v>
      </c>
      <c r="CX30" s="56">
        <v>514.20000000000005</v>
      </c>
      <c r="CY30" s="56">
        <v>519</v>
      </c>
      <c r="CZ30" s="56">
        <v>524.6</v>
      </c>
      <c r="DA30" s="56">
        <v>529.9</v>
      </c>
      <c r="DB30" s="56">
        <v>532.9</v>
      </c>
      <c r="DC30" s="56">
        <v>541.70000000000005</v>
      </c>
      <c r="DD30" s="56">
        <v>549.5</v>
      </c>
      <c r="DE30" s="56">
        <v>557.5</v>
      </c>
      <c r="DF30" s="56">
        <v>566</v>
      </c>
      <c r="DG30" s="56">
        <v>574</v>
      </c>
      <c r="DH30" s="56">
        <v>582.9</v>
      </c>
      <c r="DI30" s="56">
        <v>594.79999999999995</v>
      </c>
      <c r="DJ30" s="56">
        <v>602.79999999999995</v>
      </c>
      <c r="DK30" s="56">
        <v>612.29999999999995</v>
      </c>
      <c r="DL30" s="56">
        <v>622.20000000000005</v>
      </c>
      <c r="DM30" s="56">
        <v>632.20000000000005</v>
      </c>
      <c r="DN30" s="56">
        <v>643.5</v>
      </c>
      <c r="DO30" s="56">
        <v>649.29999999999995</v>
      </c>
      <c r="DP30" s="56">
        <v>656.7</v>
      </c>
      <c r="DQ30" s="56">
        <v>669.8</v>
      </c>
      <c r="DR30" s="56">
        <v>689.4</v>
      </c>
      <c r="DS30" s="56">
        <v>691.5</v>
      </c>
      <c r="DT30" s="56">
        <v>704.2</v>
      </c>
      <c r="DU30" s="56">
        <v>709.2</v>
      </c>
      <c r="DV30" s="56">
        <v>723.4</v>
      </c>
      <c r="DW30" s="56">
        <v>723.4</v>
      </c>
      <c r="DX30" s="56">
        <v>722</v>
      </c>
      <c r="DY30" s="56">
        <v>724.2</v>
      </c>
      <c r="DZ30" s="56">
        <v>732</v>
      </c>
      <c r="EA30" s="56">
        <v>739.9</v>
      </c>
      <c r="EB30" s="56">
        <v>742</v>
      </c>
      <c r="EC30" s="56">
        <v>743.8</v>
      </c>
      <c r="ED30" s="56">
        <v>749.1</v>
      </c>
      <c r="EE30" s="56">
        <v>758.6</v>
      </c>
      <c r="EF30" s="56">
        <v>767.2</v>
      </c>
      <c r="EG30" s="56">
        <v>778.2</v>
      </c>
      <c r="EH30" s="56">
        <v>790</v>
      </c>
      <c r="EI30" s="56">
        <v>803.5</v>
      </c>
      <c r="EJ30" s="56">
        <v>818.4</v>
      </c>
      <c r="EK30" s="56">
        <v>824</v>
      </c>
      <c r="EL30" s="56">
        <v>837.4</v>
      </c>
      <c r="EM30" s="56">
        <v>846</v>
      </c>
      <c r="EN30" s="56">
        <v>859.8</v>
      </c>
      <c r="EO30" s="56">
        <v>870.4</v>
      </c>
      <c r="EP30" s="56">
        <v>895.1</v>
      </c>
      <c r="EQ30" s="56">
        <v>900.8</v>
      </c>
      <c r="ER30" s="56">
        <v>906.2</v>
      </c>
      <c r="ES30" s="56">
        <v>920.6</v>
      </c>
      <c r="ET30" s="56">
        <v>940.9</v>
      </c>
      <c r="EU30" s="56">
        <v>943.1</v>
      </c>
      <c r="EV30" s="56">
        <v>946.7</v>
      </c>
      <c r="EW30" s="56">
        <v>958.4</v>
      </c>
      <c r="EX30" s="56">
        <v>970.2</v>
      </c>
      <c r="EY30" s="56">
        <v>972.3</v>
      </c>
      <c r="EZ30" s="56">
        <v>977.6</v>
      </c>
      <c r="FA30" s="56">
        <v>977.8</v>
      </c>
      <c r="FB30" s="56">
        <v>946</v>
      </c>
      <c r="FC30" s="56">
        <v>952.6</v>
      </c>
      <c r="FD30" s="56">
        <v>950.3</v>
      </c>
      <c r="FE30" s="56">
        <v>953.9</v>
      </c>
      <c r="FF30" s="56">
        <v>960.6</v>
      </c>
      <c r="FG30" s="56">
        <v>971.7</v>
      </c>
      <c r="FH30" s="56">
        <v>974.6</v>
      </c>
      <c r="FI30" s="56">
        <v>976.6</v>
      </c>
      <c r="FJ30" s="56">
        <v>898.3</v>
      </c>
      <c r="FK30" s="56">
        <v>900.9</v>
      </c>
      <c r="FL30" s="56">
        <v>909.4</v>
      </c>
      <c r="FM30" s="56">
        <v>904.2</v>
      </c>
      <c r="FN30" s="56">
        <v>927.5</v>
      </c>
      <c r="FO30" s="56">
        <v>932.2</v>
      </c>
      <c r="FP30" s="56">
        <v>935.2</v>
      </c>
      <c r="FQ30" s="56">
        <v>957</v>
      </c>
      <c r="FR30" s="56">
        <v>1078.5999999999999</v>
      </c>
      <c r="FS30" s="56">
        <v>1090.7</v>
      </c>
      <c r="FT30" s="56">
        <v>1093.5999999999999</v>
      </c>
      <c r="FU30" s="56">
        <v>1104.2</v>
      </c>
      <c r="FV30" s="56">
        <v>1126.5999999999999</v>
      </c>
      <c r="FW30" s="56">
        <v>1131</v>
      </c>
      <c r="FX30" s="56">
        <v>1142.5</v>
      </c>
      <c r="FY30" s="56">
        <v>1160.0999999999999</v>
      </c>
      <c r="FZ30" s="56">
        <v>1175.2</v>
      </c>
      <c r="GA30" s="56">
        <v>1187</v>
      </c>
      <c r="GB30" s="56">
        <v>1196.8</v>
      </c>
      <c r="GC30" s="56">
        <v>1204.0999999999999</v>
      </c>
      <c r="GD30" s="56">
        <v>1211</v>
      </c>
      <c r="GE30" s="56">
        <v>1217</v>
      </c>
      <c r="GF30" s="56">
        <v>1228</v>
      </c>
      <c r="GG30" s="56">
        <v>1241.5</v>
      </c>
      <c r="GH30" s="56">
        <v>1262.7</v>
      </c>
      <c r="GI30" s="56">
        <v>1275.0999999999999</v>
      </c>
      <c r="GJ30" s="56">
        <v>1290.3</v>
      </c>
      <c r="GK30" s="56">
        <v>1309.0999999999999</v>
      </c>
      <c r="GL30" s="56">
        <v>1328.9</v>
      </c>
      <c r="GM30" s="56">
        <v>1338.7</v>
      </c>
      <c r="GN30" s="56">
        <v>1355.2</v>
      </c>
      <c r="GO30" s="56">
        <v>1363.7</v>
      </c>
      <c r="GP30" s="56">
        <v>1396</v>
      </c>
      <c r="GQ30" s="56">
        <v>1403.5</v>
      </c>
      <c r="GR30" s="56">
        <v>1410.3</v>
      </c>
      <c r="GS30" s="56">
        <v>1428.2</v>
      </c>
      <c r="GT30" s="56">
        <v>1453.2</v>
      </c>
      <c r="GU30" s="56">
        <v>1383.7</v>
      </c>
      <c r="GV30" s="56">
        <v>1433</v>
      </c>
      <c r="GW30" s="56">
        <v>1470.2</v>
      </c>
      <c r="GX30" s="56">
        <v>1487.2</v>
      </c>
      <c r="GY30" s="56">
        <v>1522.5</v>
      </c>
      <c r="GZ30" s="56">
        <v>1559</v>
      </c>
      <c r="HA30" s="56">
        <v>1603.5</v>
      </c>
      <c r="HB30" s="56">
        <v>1642.9</v>
      </c>
      <c r="HC30">
        <v>1665.9</v>
      </c>
      <c r="HD30">
        <v>1713.2</v>
      </c>
      <c r="HE30">
        <v>1729.9</v>
      </c>
      <c r="HF30">
        <v>1761.2</v>
      </c>
      <c r="HG30">
        <v>1789.9</v>
      </c>
      <c r="HH30">
        <v>1818</v>
      </c>
      <c r="HI30">
        <v>1836.2</v>
      </c>
      <c r="HJ30">
        <v>1864.1</v>
      </c>
      <c r="HK30">
        <v>1869.4</v>
      </c>
      <c r="HL30">
        <v>1876.4</v>
      </c>
      <c r="HM30">
        <v>1896.9</v>
      </c>
      <c r="HN30">
        <v>1925.8</v>
      </c>
    </row>
    <row r="31" spans="1:222" x14ac:dyDescent="0.25">
      <c r="A31" s="56" t="s">
        <v>2236</v>
      </c>
      <c r="B31" s="56">
        <v>48.3</v>
      </c>
      <c r="C31" s="56">
        <v>57.5</v>
      </c>
      <c r="D31" s="56">
        <v>56.9</v>
      </c>
      <c r="E31" s="56">
        <v>59.8</v>
      </c>
      <c r="F31" s="56">
        <v>61</v>
      </c>
      <c r="G31" s="56">
        <v>67.900000000000006</v>
      </c>
      <c r="H31" s="56">
        <v>67.2</v>
      </c>
      <c r="I31" s="56">
        <v>68.2</v>
      </c>
      <c r="J31" s="56">
        <v>70.2</v>
      </c>
      <c r="K31" s="56">
        <v>70.2</v>
      </c>
      <c r="L31" s="56">
        <v>70.3</v>
      </c>
      <c r="M31" s="56">
        <v>80.599999999999994</v>
      </c>
      <c r="N31" s="56">
        <v>82.2</v>
      </c>
      <c r="O31" s="56">
        <v>83.6</v>
      </c>
      <c r="P31" s="56">
        <v>85.1</v>
      </c>
      <c r="Q31" s="56">
        <v>87.3</v>
      </c>
      <c r="R31" s="56">
        <v>94.1</v>
      </c>
      <c r="S31" s="56">
        <v>100.7</v>
      </c>
      <c r="T31" s="56">
        <v>106.4</v>
      </c>
      <c r="U31" s="56">
        <v>112</v>
      </c>
      <c r="V31" s="56">
        <v>120.5</v>
      </c>
      <c r="W31" s="56">
        <v>134.19999999999999</v>
      </c>
      <c r="X31" s="56">
        <v>136.80000000000001</v>
      </c>
      <c r="Y31" s="56">
        <v>137.80000000000001</v>
      </c>
      <c r="Z31" s="56">
        <v>141.30000000000001</v>
      </c>
      <c r="AA31" s="56">
        <v>139.6</v>
      </c>
      <c r="AB31" s="56">
        <v>145.4</v>
      </c>
      <c r="AC31" s="56">
        <v>147.69999999999999</v>
      </c>
      <c r="AD31" s="56">
        <v>149.80000000000001</v>
      </c>
      <c r="AE31" s="56">
        <v>148.9</v>
      </c>
      <c r="AF31" s="56">
        <v>154.4</v>
      </c>
      <c r="AG31" s="56">
        <v>156.6</v>
      </c>
      <c r="AH31" s="56">
        <v>158.5</v>
      </c>
      <c r="AI31" s="56">
        <v>158</v>
      </c>
      <c r="AJ31" s="56">
        <v>165.9</v>
      </c>
      <c r="AK31" s="56">
        <v>168.3</v>
      </c>
      <c r="AL31" s="56">
        <v>172.5</v>
      </c>
      <c r="AM31" s="56">
        <v>175.7</v>
      </c>
      <c r="AN31" s="56">
        <v>190.1</v>
      </c>
      <c r="AO31" s="56">
        <v>193.8</v>
      </c>
      <c r="AP31" s="56">
        <v>202.1</v>
      </c>
      <c r="AQ31" s="56">
        <v>207.3</v>
      </c>
      <c r="AR31" s="56">
        <v>235.4</v>
      </c>
      <c r="AS31" s="56">
        <v>236.4</v>
      </c>
      <c r="AT31" s="56">
        <v>240.5</v>
      </c>
      <c r="AU31" s="56">
        <v>241.6</v>
      </c>
      <c r="AV31" s="56">
        <v>259.3</v>
      </c>
      <c r="AW31" s="56">
        <v>261.5</v>
      </c>
      <c r="AX31" s="56">
        <v>265.2</v>
      </c>
      <c r="AY31" s="56">
        <v>272.2</v>
      </c>
      <c r="AZ31" s="56">
        <v>287.5</v>
      </c>
      <c r="BA31" s="56">
        <v>302.60000000000002</v>
      </c>
      <c r="BB31" s="56">
        <v>302.2</v>
      </c>
      <c r="BC31" s="56">
        <v>307.39999999999998</v>
      </c>
      <c r="BD31" s="56">
        <v>301.3</v>
      </c>
      <c r="BE31" s="56">
        <v>303.5</v>
      </c>
      <c r="BF31" s="56">
        <v>306.39999999999998</v>
      </c>
      <c r="BG31" s="56">
        <v>308.39999999999998</v>
      </c>
      <c r="BH31" s="56">
        <v>309.10000000000002</v>
      </c>
      <c r="BI31" s="56">
        <v>315.10000000000002</v>
      </c>
      <c r="BJ31" s="56">
        <v>323.2</v>
      </c>
      <c r="BK31" s="56">
        <v>324.2</v>
      </c>
      <c r="BL31" s="56">
        <v>327.5</v>
      </c>
      <c r="BM31" s="56">
        <v>328.5</v>
      </c>
      <c r="BN31" s="56">
        <v>338.3</v>
      </c>
      <c r="BO31" s="56">
        <v>342</v>
      </c>
      <c r="BP31" s="56">
        <v>347.8</v>
      </c>
      <c r="BQ31" s="56">
        <v>348.9</v>
      </c>
      <c r="BR31" s="56">
        <v>353.6</v>
      </c>
      <c r="BS31" s="56">
        <v>357.6</v>
      </c>
      <c r="BT31" s="56">
        <v>357.9</v>
      </c>
      <c r="BU31" s="56">
        <v>359.7</v>
      </c>
      <c r="BV31" s="56">
        <v>375</v>
      </c>
      <c r="BW31" s="56">
        <v>376.1</v>
      </c>
      <c r="BX31" s="56">
        <v>379.3</v>
      </c>
      <c r="BY31" s="56">
        <v>383</v>
      </c>
      <c r="BZ31" s="56">
        <v>403.9</v>
      </c>
      <c r="CA31" s="56">
        <v>408.3</v>
      </c>
      <c r="CB31" s="56">
        <v>413.7</v>
      </c>
      <c r="CC31" s="56">
        <v>420.9</v>
      </c>
      <c r="CD31" s="56">
        <v>437.5</v>
      </c>
      <c r="CE31" s="56">
        <v>443.4</v>
      </c>
      <c r="CF31" s="56">
        <v>447.9</v>
      </c>
      <c r="CG31" s="56">
        <v>459.4</v>
      </c>
      <c r="CH31" s="56">
        <v>481</v>
      </c>
      <c r="CI31" s="56">
        <v>491.3</v>
      </c>
      <c r="CJ31" s="56">
        <v>495.1</v>
      </c>
      <c r="CK31" s="56">
        <v>508.5</v>
      </c>
      <c r="CL31" s="56">
        <v>540</v>
      </c>
      <c r="CM31" s="56">
        <v>550.5</v>
      </c>
      <c r="CN31" s="56">
        <v>555.5</v>
      </c>
      <c r="CO31" s="56">
        <v>561.1</v>
      </c>
      <c r="CP31" s="56">
        <v>577.6</v>
      </c>
      <c r="CQ31" s="56">
        <v>582</v>
      </c>
      <c r="CR31" s="56">
        <v>585.70000000000005</v>
      </c>
      <c r="CS31" s="56">
        <v>589.6</v>
      </c>
      <c r="CT31" s="56">
        <v>601.79999999999995</v>
      </c>
      <c r="CU31" s="56">
        <v>606.20000000000005</v>
      </c>
      <c r="CV31" s="56">
        <v>610</v>
      </c>
      <c r="CW31" s="56">
        <v>618.1</v>
      </c>
      <c r="CX31" s="56">
        <v>637.6</v>
      </c>
      <c r="CY31" s="56">
        <v>644.9</v>
      </c>
      <c r="CZ31" s="56">
        <v>650</v>
      </c>
      <c r="DA31" s="56">
        <v>655.8</v>
      </c>
      <c r="DB31" s="56">
        <v>675</v>
      </c>
      <c r="DC31" s="56">
        <v>680.7</v>
      </c>
      <c r="DD31" s="56">
        <v>683.7</v>
      </c>
      <c r="DE31" s="56">
        <v>688.9</v>
      </c>
      <c r="DF31" s="56">
        <v>704.5</v>
      </c>
      <c r="DG31" s="56">
        <v>707.5</v>
      </c>
      <c r="DH31" s="56">
        <v>709.2</v>
      </c>
      <c r="DI31" s="56">
        <v>710.2</v>
      </c>
      <c r="DJ31" s="56">
        <v>719.7</v>
      </c>
      <c r="DK31" s="56">
        <v>720.7</v>
      </c>
      <c r="DL31" s="56">
        <v>723.5</v>
      </c>
      <c r="DM31" s="56">
        <v>724.7</v>
      </c>
      <c r="DN31" s="56">
        <v>735.5</v>
      </c>
      <c r="DO31" s="56">
        <v>738.6</v>
      </c>
      <c r="DP31" s="56">
        <v>741.1</v>
      </c>
      <c r="DQ31" s="56">
        <v>744.2</v>
      </c>
      <c r="DR31" s="56">
        <v>756.8</v>
      </c>
      <c r="DS31" s="56">
        <v>772.9</v>
      </c>
      <c r="DT31" s="56">
        <v>777.5</v>
      </c>
      <c r="DU31" s="56">
        <v>786.5</v>
      </c>
      <c r="DV31" s="56">
        <v>817.3</v>
      </c>
      <c r="DW31" s="56">
        <v>831</v>
      </c>
      <c r="DX31" s="56">
        <v>849.4</v>
      </c>
      <c r="DY31" s="56">
        <v>865.2</v>
      </c>
      <c r="DZ31" s="56">
        <v>895</v>
      </c>
      <c r="EA31" s="56">
        <v>921</v>
      </c>
      <c r="EB31" s="56">
        <v>925.2</v>
      </c>
      <c r="EC31" s="56">
        <v>930.8</v>
      </c>
      <c r="ED31" s="56">
        <v>947.7</v>
      </c>
      <c r="EE31" s="56">
        <v>964.3</v>
      </c>
      <c r="EF31" s="56">
        <v>973.7</v>
      </c>
      <c r="EG31" s="56">
        <v>984.3</v>
      </c>
      <c r="EH31" s="56">
        <v>1003.6</v>
      </c>
      <c r="EI31" s="56">
        <v>1013.5</v>
      </c>
      <c r="EJ31" s="56">
        <v>1024.0999999999999</v>
      </c>
      <c r="EK31" s="56">
        <v>1036.9000000000001</v>
      </c>
      <c r="EL31" s="56">
        <v>1065.3</v>
      </c>
      <c r="EM31" s="56">
        <v>1076</v>
      </c>
      <c r="EN31" s="56">
        <v>1091.8</v>
      </c>
      <c r="EO31" s="56">
        <v>1104.4000000000001</v>
      </c>
      <c r="EP31" s="56">
        <v>1172.7</v>
      </c>
      <c r="EQ31" s="56">
        <v>1184</v>
      </c>
      <c r="ER31" s="56">
        <v>1194.0999999999999</v>
      </c>
      <c r="ES31" s="56">
        <v>1205.5999999999999</v>
      </c>
      <c r="ET31" s="56">
        <v>1240.0999999999999</v>
      </c>
      <c r="EU31" s="56">
        <v>1256.7</v>
      </c>
      <c r="EV31" s="56">
        <v>1270.2</v>
      </c>
      <c r="EW31" s="56">
        <v>1286.3</v>
      </c>
      <c r="EX31" s="56">
        <v>1321.9</v>
      </c>
      <c r="EY31" s="56">
        <v>1657</v>
      </c>
      <c r="EZ31" s="56">
        <v>1445.3</v>
      </c>
      <c r="FA31" s="56">
        <v>1428.7</v>
      </c>
      <c r="FB31" s="56">
        <v>1521.8</v>
      </c>
      <c r="FC31" s="56">
        <v>1648</v>
      </c>
      <c r="FD31" s="56">
        <v>1634.5</v>
      </c>
      <c r="FE31" s="56">
        <v>1653.9</v>
      </c>
      <c r="FF31" s="56">
        <v>1753.5</v>
      </c>
      <c r="FG31" s="56">
        <v>1755.7</v>
      </c>
      <c r="FH31" s="56">
        <v>1758.8</v>
      </c>
      <c r="FI31" s="56">
        <v>1761.9</v>
      </c>
      <c r="FJ31" s="56">
        <v>1768.6</v>
      </c>
      <c r="FK31" s="56">
        <v>1777.4</v>
      </c>
      <c r="FL31" s="56">
        <v>1782.4</v>
      </c>
      <c r="FM31" s="56">
        <v>1789.3</v>
      </c>
      <c r="FN31" s="56">
        <v>1772.9</v>
      </c>
      <c r="FO31" s="56">
        <v>1777.5</v>
      </c>
      <c r="FP31" s="56">
        <v>1783.6</v>
      </c>
      <c r="FQ31" s="56">
        <v>1793.4</v>
      </c>
      <c r="FR31" s="56">
        <v>1817.3</v>
      </c>
      <c r="FS31" s="56">
        <v>1815.5</v>
      </c>
      <c r="FT31" s="56">
        <v>1823.2</v>
      </c>
      <c r="FU31" s="56">
        <v>1830.1</v>
      </c>
      <c r="FV31" s="56">
        <v>1848.1</v>
      </c>
      <c r="FW31" s="56">
        <v>1876.8</v>
      </c>
      <c r="FX31" s="56">
        <v>1890.5</v>
      </c>
      <c r="FY31" s="56">
        <v>1909</v>
      </c>
      <c r="FZ31" s="56">
        <v>1945.5</v>
      </c>
      <c r="GA31" s="56">
        <v>1966.6</v>
      </c>
      <c r="GB31" s="56">
        <v>1977.6</v>
      </c>
      <c r="GC31" s="56">
        <v>1989.7</v>
      </c>
      <c r="GD31" s="56">
        <v>2006.2</v>
      </c>
      <c r="GE31" s="56">
        <v>2018</v>
      </c>
      <c r="GF31" s="56">
        <v>2029.1</v>
      </c>
      <c r="GG31" s="56">
        <v>2043.5</v>
      </c>
      <c r="GH31" s="56">
        <v>2074</v>
      </c>
      <c r="GI31" s="56">
        <v>2087.4</v>
      </c>
      <c r="GJ31" s="56">
        <v>2105.5</v>
      </c>
      <c r="GK31" s="56">
        <v>2124.1999999999998</v>
      </c>
      <c r="GL31" s="56">
        <v>2171.5</v>
      </c>
      <c r="GM31" s="56">
        <v>2184.4</v>
      </c>
      <c r="GN31" s="56">
        <v>2200.6</v>
      </c>
      <c r="GO31" s="56">
        <v>2223</v>
      </c>
      <c r="GP31" s="56">
        <v>2303.8000000000002</v>
      </c>
      <c r="GQ31" s="56">
        <v>2321.6999999999998</v>
      </c>
      <c r="GR31" s="56">
        <v>2337.1</v>
      </c>
      <c r="GS31" s="56">
        <v>2349.5</v>
      </c>
      <c r="GT31" s="56">
        <v>2414.4</v>
      </c>
      <c r="GU31" s="56">
        <v>4654.1000000000004</v>
      </c>
      <c r="GV31" s="56">
        <v>3504.7</v>
      </c>
      <c r="GW31" s="56">
        <v>2888.4</v>
      </c>
      <c r="GX31" s="56">
        <v>5138.1000000000004</v>
      </c>
      <c r="GY31" s="56">
        <v>3397.8</v>
      </c>
      <c r="GZ31" s="56">
        <v>3124.9</v>
      </c>
      <c r="HA31" s="56">
        <v>2952.6</v>
      </c>
      <c r="HB31" s="56">
        <v>2970.9</v>
      </c>
      <c r="HC31">
        <v>2976.2</v>
      </c>
      <c r="HD31">
        <v>2970.4</v>
      </c>
      <c r="HE31">
        <v>3024.4</v>
      </c>
      <c r="HF31">
        <v>3038.4</v>
      </c>
      <c r="HG31">
        <v>3049.1</v>
      </c>
      <c r="HH31">
        <v>3078</v>
      </c>
      <c r="HI31">
        <v>3095.6</v>
      </c>
      <c r="HJ31">
        <v>3201.1</v>
      </c>
      <c r="HK31">
        <v>3243.1</v>
      </c>
      <c r="HL31">
        <v>3283.8</v>
      </c>
      <c r="HM31">
        <v>3328.6</v>
      </c>
      <c r="HN31">
        <v>3435.7</v>
      </c>
    </row>
    <row r="32" spans="1:222" x14ac:dyDescent="0.25">
      <c r="A32" s="56" t="s">
        <v>2237</v>
      </c>
      <c r="B32" s="56">
        <v>16.600000000000001</v>
      </c>
      <c r="C32" s="56">
        <v>17.899999999999999</v>
      </c>
      <c r="D32" s="56">
        <v>19.2</v>
      </c>
      <c r="E32" s="56">
        <v>19.8</v>
      </c>
      <c r="F32" s="56">
        <v>20.5</v>
      </c>
      <c r="G32" s="56">
        <v>22.1</v>
      </c>
      <c r="H32" s="56">
        <v>22.4</v>
      </c>
      <c r="I32" s="56">
        <v>23.7</v>
      </c>
      <c r="J32" s="56">
        <v>24.4</v>
      </c>
      <c r="K32" s="56">
        <v>32.700000000000003</v>
      </c>
      <c r="L32" s="56">
        <v>25.6</v>
      </c>
      <c r="M32" s="56">
        <v>39.299999999999997</v>
      </c>
      <c r="N32" s="56">
        <v>34.299999999999997</v>
      </c>
      <c r="O32" s="56">
        <v>33.4</v>
      </c>
      <c r="P32" s="56">
        <v>32.6</v>
      </c>
      <c r="Q32" s="56">
        <v>33.6</v>
      </c>
      <c r="R32" s="56">
        <v>33.299999999999997</v>
      </c>
      <c r="S32" s="56">
        <v>34.1</v>
      </c>
      <c r="T32" s="56">
        <v>35.4</v>
      </c>
      <c r="U32" s="56">
        <v>36.799999999999997</v>
      </c>
      <c r="V32" s="56">
        <v>39.299999999999997</v>
      </c>
      <c r="W32" s="56">
        <v>44.3</v>
      </c>
      <c r="X32" s="56">
        <v>45</v>
      </c>
      <c r="Y32" s="56">
        <v>45.9</v>
      </c>
      <c r="Z32" s="56">
        <v>47</v>
      </c>
      <c r="AA32" s="56">
        <v>47.8</v>
      </c>
      <c r="AB32" s="56">
        <v>48.7</v>
      </c>
      <c r="AC32" s="56">
        <v>52.7</v>
      </c>
      <c r="AD32" s="56">
        <v>50.7</v>
      </c>
      <c r="AE32" s="56">
        <v>53.7</v>
      </c>
      <c r="AF32" s="56">
        <v>57.3</v>
      </c>
      <c r="AG32" s="56">
        <v>57.3</v>
      </c>
      <c r="AH32" s="56">
        <v>61.5</v>
      </c>
      <c r="AI32" s="56">
        <v>64.099999999999994</v>
      </c>
      <c r="AJ32" s="56">
        <v>63.4</v>
      </c>
      <c r="AK32" s="56">
        <v>64.900000000000006</v>
      </c>
      <c r="AL32" s="56">
        <v>62.1</v>
      </c>
      <c r="AM32" s="56">
        <v>62.6</v>
      </c>
      <c r="AN32" s="56">
        <v>65.2</v>
      </c>
      <c r="AO32" s="56">
        <v>65.900000000000006</v>
      </c>
      <c r="AP32" s="56">
        <v>66.7</v>
      </c>
      <c r="AQ32" s="56">
        <v>68.2</v>
      </c>
      <c r="AR32" s="56">
        <v>70.7</v>
      </c>
      <c r="AS32" s="56">
        <v>73.099999999999994</v>
      </c>
      <c r="AT32" s="56">
        <v>71.5</v>
      </c>
      <c r="AU32" s="56">
        <v>71.400000000000006</v>
      </c>
      <c r="AV32" s="56">
        <v>68.8</v>
      </c>
      <c r="AW32" s="56">
        <v>66</v>
      </c>
      <c r="AX32" s="56">
        <v>65.8</v>
      </c>
      <c r="AY32" s="56">
        <v>67.3</v>
      </c>
      <c r="AZ32" s="56">
        <v>65.599999999999994</v>
      </c>
      <c r="BA32" s="56">
        <v>66.3</v>
      </c>
      <c r="BB32" s="56">
        <v>67.2</v>
      </c>
      <c r="BC32" s="56">
        <v>69.2</v>
      </c>
      <c r="BD32" s="56">
        <v>68.400000000000006</v>
      </c>
      <c r="BE32" s="56">
        <v>67</v>
      </c>
      <c r="BF32" s="56">
        <v>71.3</v>
      </c>
      <c r="BG32" s="56">
        <v>73.099999999999994</v>
      </c>
      <c r="BH32" s="56">
        <v>70.7</v>
      </c>
      <c r="BI32" s="56">
        <v>74.3</v>
      </c>
      <c r="BJ32" s="56">
        <v>74.8</v>
      </c>
      <c r="BK32" s="56">
        <v>75.3</v>
      </c>
      <c r="BL32" s="56">
        <v>76.400000000000006</v>
      </c>
      <c r="BM32" s="56">
        <v>78.099999999999994</v>
      </c>
      <c r="BN32" s="56">
        <v>79.7</v>
      </c>
      <c r="BO32" s="56">
        <v>83.8</v>
      </c>
      <c r="BP32" s="56">
        <v>86.7</v>
      </c>
      <c r="BQ32" s="56">
        <v>79.5</v>
      </c>
      <c r="BR32" s="56">
        <v>76.900000000000006</v>
      </c>
      <c r="BS32" s="56">
        <v>80.2</v>
      </c>
      <c r="BT32" s="56">
        <v>78.2</v>
      </c>
      <c r="BU32" s="56">
        <v>78.2</v>
      </c>
      <c r="BV32" s="56">
        <v>84.1</v>
      </c>
      <c r="BW32" s="56">
        <v>84.1</v>
      </c>
      <c r="BX32" s="56">
        <v>87</v>
      </c>
      <c r="BY32" s="56">
        <v>87.7</v>
      </c>
      <c r="BZ32" s="56">
        <v>88.7</v>
      </c>
      <c r="CA32" s="56">
        <v>89.1</v>
      </c>
      <c r="CB32" s="56">
        <v>95</v>
      </c>
      <c r="CC32" s="56">
        <v>94.5</v>
      </c>
      <c r="CD32" s="56">
        <v>99.9</v>
      </c>
      <c r="CE32" s="56">
        <v>103.2</v>
      </c>
      <c r="CF32" s="56">
        <v>105.5</v>
      </c>
      <c r="CG32" s="56">
        <v>108.8</v>
      </c>
      <c r="CH32" s="56">
        <v>115.6</v>
      </c>
      <c r="CI32" s="56">
        <v>120.5</v>
      </c>
      <c r="CJ32" s="56">
        <v>127</v>
      </c>
      <c r="CK32" s="56">
        <v>132.9</v>
      </c>
      <c r="CL32" s="56">
        <v>136.19999999999999</v>
      </c>
      <c r="CM32" s="56">
        <v>139</v>
      </c>
      <c r="CN32" s="56">
        <v>145</v>
      </c>
      <c r="CO32" s="56">
        <v>146.5</v>
      </c>
      <c r="CP32" s="56">
        <v>148.80000000000001</v>
      </c>
      <c r="CQ32" s="56">
        <v>151.4</v>
      </c>
      <c r="CR32" s="56">
        <v>157.19999999999999</v>
      </c>
      <c r="CS32" s="56">
        <v>165.5</v>
      </c>
      <c r="CT32" s="56">
        <v>162.4</v>
      </c>
      <c r="CU32" s="56">
        <v>164.9</v>
      </c>
      <c r="CV32" s="56">
        <v>167.3</v>
      </c>
      <c r="CW32" s="56">
        <v>172.8</v>
      </c>
      <c r="CX32" s="56">
        <v>175.6</v>
      </c>
      <c r="CY32" s="56">
        <v>174.8</v>
      </c>
      <c r="CZ32" s="56">
        <v>175.8</v>
      </c>
      <c r="DA32" s="56">
        <v>171.7</v>
      </c>
      <c r="DB32" s="56">
        <v>177.1</v>
      </c>
      <c r="DC32" s="56">
        <v>185.5</v>
      </c>
      <c r="DD32" s="56">
        <v>182.9</v>
      </c>
      <c r="DE32" s="56">
        <v>180.3</v>
      </c>
      <c r="DF32" s="56">
        <v>184.6</v>
      </c>
      <c r="DG32" s="56">
        <v>184.2</v>
      </c>
      <c r="DH32" s="56">
        <v>187.5</v>
      </c>
      <c r="DI32" s="56">
        <v>196.3</v>
      </c>
      <c r="DJ32" s="56">
        <v>197.3</v>
      </c>
      <c r="DK32" s="56">
        <v>197</v>
      </c>
      <c r="DL32" s="56">
        <v>201.8</v>
      </c>
      <c r="DM32" s="56">
        <v>207</v>
      </c>
      <c r="DN32" s="56">
        <v>214.7</v>
      </c>
      <c r="DO32" s="56">
        <v>211.8</v>
      </c>
      <c r="DP32" s="56">
        <v>223.1</v>
      </c>
      <c r="DQ32" s="56">
        <v>227</v>
      </c>
      <c r="DR32" s="56">
        <v>224.5</v>
      </c>
      <c r="DS32" s="56">
        <v>227.4</v>
      </c>
      <c r="DT32" s="56">
        <v>239.5</v>
      </c>
      <c r="DU32" s="56">
        <v>241.1</v>
      </c>
      <c r="DV32" s="56">
        <v>254</v>
      </c>
      <c r="DW32" s="56">
        <v>262.2</v>
      </c>
      <c r="DX32" s="56">
        <v>258.5</v>
      </c>
      <c r="DY32" s="56">
        <v>270.39999999999998</v>
      </c>
      <c r="DZ32" s="56">
        <v>277.3</v>
      </c>
      <c r="EA32" s="56">
        <v>285.7</v>
      </c>
      <c r="EB32" s="56">
        <v>294.3</v>
      </c>
      <c r="EC32" s="56">
        <v>297.39999999999998</v>
      </c>
      <c r="ED32" s="56">
        <v>299.60000000000002</v>
      </c>
      <c r="EE32" s="56">
        <v>323.3</v>
      </c>
      <c r="EF32" s="56">
        <v>329.6</v>
      </c>
      <c r="EG32" s="56">
        <v>334.3</v>
      </c>
      <c r="EH32" s="56">
        <v>328</v>
      </c>
      <c r="EI32" s="56">
        <v>332.8</v>
      </c>
      <c r="EJ32" s="56">
        <v>328.4</v>
      </c>
      <c r="EK32" s="56">
        <v>340</v>
      </c>
      <c r="EL32" s="56">
        <v>341.6</v>
      </c>
      <c r="EM32" s="56">
        <v>344.8</v>
      </c>
      <c r="EN32" s="56">
        <v>342.5</v>
      </c>
      <c r="EO32" s="56">
        <v>345.1</v>
      </c>
      <c r="EP32" s="56">
        <v>340</v>
      </c>
      <c r="EQ32" s="56">
        <v>341.5</v>
      </c>
      <c r="ER32" s="56">
        <v>347.9</v>
      </c>
      <c r="ES32" s="56">
        <v>334.7</v>
      </c>
      <c r="ET32" s="56">
        <v>358.4</v>
      </c>
      <c r="EU32" s="56">
        <v>359.4</v>
      </c>
      <c r="EV32" s="56">
        <v>359.8</v>
      </c>
      <c r="EW32" s="56">
        <v>358.9</v>
      </c>
      <c r="EX32" s="56">
        <v>365.7</v>
      </c>
      <c r="EY32" s="56">
        <v>371.5</v>
      </c>
      <c r="EZ32" s="56">
        <v>368.8</v>
      </c>
      <c r="FA32" s="56">
        <v>378.6</v>
      </c>
      <c r="FB32" s="56">
        <v>421.1</v>
      </c>
      <c r="FC32" s="56">
        <v>473.9</v>
      </c>
      <c r="FD32" s="56">
        <v>465.4</v>
      </c>
      <c r="FE32" s="56">
        <v>472.1</v>
      </c>
      <c r="FF32" s="56">
        <v>496.2</v>
      </c>
      <c r="FG32" s="56">
        <v>492.6</v>
      </c>
      <c r="FH32" s="56">
        <v>517.79999999999995</v>
      </c>
      <c r="FI32" s="56">
        <v>514.4</v>
      </c>
      <c r="FJ32" s="56">
        <v>500.5</v>
      </c>
      <c r="FK32" s="56">
        <v>503.4</v>
      </c>
      <c r="FL32" s="56">
        <v>448.3</v>
      </c>
      <c r="FM32" s="56">
        <v>437.7</v>
      </c>
      <c r="FN32" s="56">
        <v>441.7</v>
      </c>
      <c r="FO32" s="56">
        <v>447.9</v>
      </c>
      <c r="FP32" s="56">
        <v>440</v>
      </c>
      <c r="FQ32" s="56">
        <v>448.2</v>
      </c>
      <c r="FR32" s="56">
        <v>440</v>
      </c>
      <c r="FS32" s="56">
        <v>459.2</v>
      </c>
      <c r="FT32" s="56">
        <v>454</v>
      </c>
      <c r="FU32" s="56">
        <v>447.3</v>
      </c>
      <c r="FV32" s="56">
        <v>467.8</v>
      </c>
      <c r="FW32" s="56">
        <v>492.5</v>
      </c>
      <c r="FX32" s="56">
        <v>511.1</v>
      </c>
      <c r="FY32" s="56">
        <v>508.8</v>
      </c>
      <c r="FZ32" s="56">
        <v>524.79999999999995</v>
      </c>
      <c r="GA32" s="56">
        <v>528.9</v>
      </c>
      <c r="GB32" s="56">
        <v>530.4</v>
      </c>
      <c r="GC32" s="56">
        <v>548.20000000000005</v>
      </c>
      <c r="GD32" s="56">
        <v>544.4</v>
      </c>
      <c r="GE32" s="56">
        <v>546.6</v>
      </c>
      <c r="GF32" s="56">
        <v>562.79999999999995</v>
      </c>
      <c r="GG32" s="56">
        <v>573.1</v>
      </c>
      <c r="GH32" s="56">
        <v>562.79999999999995</v>
      </c>
      <c r="GI32" s="56">
        <v>542.4</v>
      </c>
      <c r="GJ32" s="56">
        <v>562.9</v>
      </c>
      <c r="GK32" s="56">
        <v>573.6</v>
      </c>
      <c r="GL32" s="56">
        <v>582</v>
      </c>
      <c r="GM32" s="56">
        <v>576.70000000000005</v>
      </c>
      <c r="GN32" s="56">
        <v>581.4</v>
      </c>
      <c r="GO32" s="56">
        <v>590.1</v>
      </c>
      <c r="GP32" s="56">
        <v>591.20000000000005</v>
      </c>
      <c r="GQ32" s="56">
        <v>610.70000000000005</v>
      </c>
      <c r="GR32" s="56">
        <v>608.79999999999995</v>
      </c>
      <c r="GS32" s="56">
        <v>625</v>
      </c>
      <c r="GT32" s="56">
        <v>635</v>
      </c>
      <c r="GU32" s="56">
        <v>1387</v>
      </c>
      <c r="GV32" s="56">
        <v>734.9</v>
      </c>
      <c r="GW32" s="56">
        <v>757.9</v>
      </c>
      <c r="GX32" s="56">
        <v>777.7</v>
      </c>
      <c r="GY32" s="56">
        <v>1640.8</v>
      </c>
      <c r="GZ32" s="56">
        <v>1085.5999999999999</v>
      </c>
      <c r="HA32" s="56">
        <v>936.3</v>
      </c>
      <c r="HB32" s="56">
        <v>930</v>
      </c>
      <c r="HC32">
        <v>951.4</v>
      </c>
      <c r="HD32">
        <v>956.4</v>
      </c>
      <c r="HE32">
        <v>955.4</v>
      </c>
      <c r="HF32">
        <v>977.7</v>
      </c>
      <c r="HG32">
        <v>967.9</v>
      </c>
      <c r="HH32">
        <v>915.6</v>
      </c>
      <c r="HI32">
        <v>941.4</v>
      </c>
      <c r="HJ32">
        <v>941</v>
      </c>
      <c r="HK32">
        <v>949.1</v>
      </c>
      <c r="HL32">
        <v>981.6</v>
      </c>
      <c r="HM32">
        <v>981.1</v>
      </c>
      <c r="HN32">
        <v>953.1</v>
      </c>
    </row>
    <row r="33" spans="1:222" x14ac:dyDescent="0.25">
      <c r="A33" s="56" t="s">
        <v>2238</v>
      </c>
      <c r="B33" s="56">
        <v>14</v>
      </c>
      <c r="C33" s="56">
        <v>14.1</v>
      </c>
      <c r="D33" s="56">
        <v>14.3</v>
      </c>
      <c r="E33" s="56">
        <v>14.4</v>
      </c>
      <c r="F33" s="56">
        <v>14.7</v>
      </c>
      <c r="G33" s="56">
        <v>15.6</v>
      </c>
      <c r="H33" s="56">
        <v>16</v>
      </c>
      <c r="I33" s="56">
        <v>17.3</v>
      </c>
      <c r="J33" s="56">
        <v>19.5</v>
      </c>
      <c r="K33" s="56">
        <v>21</v>
      </c>
      <c r="L33" s="56">
        <v>21.2</v>
      </c>
      <c r="M33" s="56">
        <v>21.8</v>
      </c>
      <c r="N33" s="56">
        <v>21.9</v>
      </c>
      <c r="O33" s="56">
        <v>22.3</v>
      </c>
      <c r="P33" s="56">
        <v>23.1</v>
      </c>
      <c r="Q33" s="56">
        <v>24</v>
      </c>
      <c r="R33" s="56">
        <v>23.3</v>
      </c>
      <c r="S33" s="56">
        <v>24.1</v>
      </c>
      <c r="T33" s="56">
        <v>25.2</v>
      </c>
      <c r="U33" s="56">
        <v>25.6</v>
      </c>
      <c r="V33" s="56">
        <v>25.7</v>
      </c>
      <c r="W33" s="56">
        <v>26.5</v>
      </c>
      <c r="X33" s="56">
        <v>27.2</v>
      </c>
      <c r="Y33" s="56">
        <v>28.2</v>
      </c>
      <c r="Z33" s="56">
        <v>29.5</v>
      </c>
      <c r="AA33" s="56">
        <v>30.6</v>
      </c>
      <c r="AB33" s="56">
        <v>31.6</v>
      </c>
      <c r="AC33" s="56">
        <v>32.6</v>
      </c>
      <c r="AD33" s="56">
        <v>33.5</v>
      </c>
      <c r="AE33" s="56">
        <v>34.700000000000003</v>
      </c>
      <c r="AF33" s="56">
        <v>35.9</v>
      </c>
      <c r="AG33" s="56">
        <v>37.299999999999997</v>
      </c>
      <c r="AH33" s="56">
        <v>38.6</v>
      </c>
      <c r="AI33" s="56">
        <v>40.1</v>
      </c>
      <c r="AJ33" s="56">
        <v>40.9</v>
      </c>
      <c r="AK33" s="56">
        <v>42.1</v>
      </c>
      <c r="AL33" s="56">
        <v>42</v>
      </c>
      <c r="AM33" s="56">
        <v>42.1</v>
      </c>
      <c r="AN33" s="56">
        <v>45.4</v>
      </c>
      <c r="AO33" s="56">
        <v>46.6</v>
      </c>
      <c r="AP33" s="56">
        <v>46.6</v>
      </c>
      <c r="AQ33" s="56">
        <v>48</v>
      </c>
      <c r="AR33" s="56">
        <v>49.4</v>
      </c>
      <c r="AS33" s="56">
        <v>51.6</v>
      </c>
      <c r="AT33" s="56">
        <v>52.5</v>
      </c>
      <c r="AU33" s="56">
        <v>53.7</v>
      </c>
      <c r="AV33" s="56">
        <v>55.5</v>
      </c>
      <c r="AW33" s="56">
        <v>56.8</v>
      </c>
      <c r="AX33" s="56">
        <v>57.3</v>
      </c>
      <c r="AY33" s="56">
        <v>58.1</v>
      </c>
      <c r="AZ33" s="56">
        <v>60.4</v>
      </c>
      <c r="BA33" s="56">
        <v>60.8</v>
      </c>
      <c r="BB33" s="56">
        <v>61.3</v>
      </c>
      <c r="BC33" s="56">
        <v>64.3</v>
      </c>
      <c r="BD33" s="56">
        <v>68.099999999999994</v>
      </c>
      <c r="BE33" s="56">
        <v>70.7</v>
      </c>
      <c r="BF33" s="56">
        <v>73.3</v>
      </c>
      <c r="BG33" s="56">
        <v>75.8</v>
      </c>
      <c r="BH33" s="56">
        <v>76.8</v>
      </c>
      <c r="BI33" s="56">
        <v>78.2</v>
      </c>
      <c r="BJ33" s="56">
        <v>79.3</v>
      </c>
      <c r="BK33" s="56">
        <v>80.900000000000006</v>
      </c>
      <c r="BL33" s="56">
        <v>81.5</v>
      </c>
      <c r="BM33" s="56">
        <v>83.7</v>
      </c>
      <c r="BN33" s="56">
        <v>84.5</v>
      </c>
      <c r="BO33" s="56">
        <v>85</v>
      </c>
      <c r="BP33" s="56">
        <v>87.5</v>
      </c>
      <c r="BQ33" s="56">
        <v>91.8</v>
      </c>
      <c r="BR33" s="56">
        <v>92.4</v>
      </c>
      <c r="BS33" s="56">
        <v>101.5</v>
      </c>
      <c r="BT33" s="56">
        <v>94.1</v>
      </c>
      <c r="BU33" s="56">
        <v>98.4</v>
      </c>
      <c r="BV33" s="56">
        <v>99.4</v>
      </c>
      <c r="BW33" s="56">
        <v>97.2</v>
      </c>
      <c r="BX33" s="56">
        <v>104.1</v>
      </c>
      <c r="BY33" s="56">
        <v>107.6</v>
      </c>
      <c r="BZ33" s="56">
        <v>113.4</v>
      </c>
      <c r="CA33" s="56">
        <v>118.3</v>
      </c>
      <c r="CB33" s="56">
        <v>114.5</v>
      </c>
      <c r="CC33" s="56">
        <v>112.4</v>
      </c>
      <c r="CD33" s="56">
        <v>119.4</v>
      </c>
      <c r="CE33" s="56">
        <v>122.6</v>
      </c>
      <c r="CF33" s="56">
        <v>123.7</v>
      </c>
      <c r="CG33" s="56">
        <v>124.6</v>
      </c>
      <c r="CH33" s="56">
        <v>121.2</v>
      </c>
      <c r="CI33" s="56">
        <v>124.5</v>
      </c>
      <c r="CJ33" s="56">
        <v>126.1</v>
      </c>
      <c r="CK33" s="56">
        <v>129.5</v>
      </c>
      <c r="CL33" s="56">
        <v>127.6</v>
      </c>
      <c r="CM33" s="56">
        <v>136.9</v>
      </c>
      <c r="CN33" s="56">
        <v>136.80000000000001</v>
      </c>
      <c r="CO33" s="56">
        <v>140</v>
      </c>
      <c r="CP33" s="56">
        <v>136.69999999999999</v>
      </c>
      <c r="CQ33" s="56">
        <v>138.30000000000001</v>
      </c>
      <c r="CR33" s="56">
        <v>143.6</v>
      </c>
      <c r="CS33" s="56">
        <v>145.80000000000001</v>
      </c>
      <c r="CT33" s="56">
        <v>146.9</v>
      </c>
      <c r="CU33" s="56">
        <v>141.9</v>
      </c>
      <c r="CV33" s="56">
        <v>151.19999999999999</v>
      </c>
      <c r="CW33" s="56">
        <v>152</v>
      </c>
      <c r="CX33" s="56">
        <v>156.9</v>
      </c>
      <c r="CY33" s="56">
        <v>152.4</v>
      </c>
      <c r="CZ33" s="56">
        <v>160.69999999999999</v>
      </c>
      <c r="DA33" s="56">
        <v>162.4</v>
      </c>
      <c r="DB33" s="56">
        <v>165.3</v>
      </c>
      <c r="DC33" s="56">
        <v>165.9</v>
      </c>
      <c r="DD33" s="56">
        <v>169.3</v>
      </c>
      <c r="DE33" s="56">
        <v>174.1</v>
      </c>
      <c r="DF33" s="56">
        <v>177.8</v>
      </c>
      <c r="DG33" s="56">
        <v>176.9</v>
      </c>
      <c r="DH33" s="56">
        <v>184.1</v>
      </c>
      <c r="DI33" s="56">
        <v>189.2</v>
      </c>
      <c r="DJ33" s="56">
        <v>195.6</v>
      </c>
      <c r="DK33" s="56">
        <v>201.4</v>
      </c>
      <c r="DL33" s="56">
        <v>201.6</v>
      </c>
      <c r="DM33" s="56">
        <v>206.3</v>
      </c>
      <c r="DN33" s="56">
        <v>208.2</v>
      </c>
      <c r="DO33" s="56">
        <v>209.4</v>
      </c>
      <c r="DP33" s="56">
        <v>216.4</v>
      </c>
      <c r="DQ33" s="56">
        <v>224</v>
      </c>
      <c r="DR33" s="56">
        <v>232.2</v>
      </c>
      <c r="DS33" s="56">
        <v>243.3</v>
      </c>
      <c r="DT33" s="56">
        <v>236.6</v>
      </c>
      <c r="DU33" s="56">
        <v>234.8</v>
      </c>
      <c r="DV33" s="56">
        <v>250.9</v>
      </c>
      <c r="DW33" s="56">
        <v>259.89999999999998</v>
      </c>
      <c r="DX33" s="56">
        <v>231.9</v>
      </c>
      <c r="DY33" s="56">
        <v>229.3</v>
      </c>
      <c r="DZ33" s="56">
        <v>227.4</v>
      </c>
      <c r="EA33" s="56">
        <v>214.3</v>
      </c>
      <c r="EB33" s="56">
        <v>218.8</v>
      </c>
      <c r="EC33" s="56">
        <v>218.9</v>
      </c>
      <c r="ED33" s="56">
        <v>217.9</v>
      </c>
      <c r="EE33" s="56">
        <v>207.9</v>
      </c>
      <c r="EF33" s="56">
        <v>234.2</v>
      </c>
      <c r="EG33" s="56">
        <v>239.7</v>
      </c>
      <c r="EH33" s="56">
        <v>239</v>
      </c>
      <c r="EI33" s="56">
        <v>234.3</v>
      </c>
      <c r="EJ33" s="56">
        <v>247.7</v>
      </c>
      <c r="EK33" s="56">
        <v>261.8</v>
      </c>
      <c r="EL33" s="56">
        <v>269.39999999999998</v>
      </c>
      <c r="EM33" s="56">
        <v>270.39999999999998</v>
      </c>
      <c r="EN33" s="56">
        <v>276</v>
      </c>
      <c r="EO33" s="56">
        <v>285.2</v>
      </c>
      <c r="EP33" s="56">
        <v>294.89999999999998</v>
      </c>
      <c r="EQ33" s="56">
        <v>310.10000000000002</v>
      </c>
      <c r="ER33" s="56">
        <v>297.7</v>
      </c>
      <c r="ES33" s="56">
        <v>301.7</v>
      </c>
      <c r="ET33" s="56">
        <v>320.5</v>
      </c>
      <c r="EU33" s="56">
        <v>332</v>
      </c>
      <c r="EV33" s="56">
        <v>319.60000000000002</v>
      </c>
      <c r="EW33" s="56">
        <v>314.2</v>
      </c>
      <c r="EX33" s="56">
        <v>333.4</v>
      </c>
      <c r="EY33" s="56">
        <v>361.1</v>
      </c>
      <c r="EZ33" s="56">
        <v>323.8</v>
      </c>
      <c r="FA33" s="56">
        <v>305.10000000000002</v>
      </c>
      <c r="FB33" s="56">
        <v>281.10000000000002</v>
      </c>
      <c r="FC33" s="56">
        <v>275.60000000000002</v>
      </c>
      <c r="FD33" s="56">
        <v>293.3</v>
      </c>
      <c r="FE33" s="56">
        <v>293.3</v>
      </c>
      <c r="FF33" s="56">
        <v>288.39999999999998</v>
      </c>
      <c r="FG33" s="56">
        <v>278</v>
      </c>
      <c r="FH33" s="56">
        <v>297.8</v>
      </c>
      <c r="FI33" s="56">
        <v>311.89999999999998</v>
      </c>
      <c r="FJ33" s="56">
        <v>315.2</v>
      </c>
      <c r="FK33" s="56">
        <v>319.39999999999998</v>
      </c>
      <c r="FL33" s="56">
        <v>327.2</v>
      </c>
      <c r="FM33" s="56">
        <v>329.9</v>
      </c>
      <c r="FN33" s="56">
        <v>330.1</v>
      </c>
      <c r="FO33" s="56">
        <v>337</v>
      </c>
      <c r="FP33" s="56">
        <v>346.2</v>
      </c>
      <c r="FQ33" s="56">
        <v>359.2</v>
      </c>
      <c r="FR33" s="56">
        <v>377.3</v>
      </c>
      <c r="FS33" s="56">
        <v>387.5</v>
      </c>
      <c r="FT33" s="56">
        <v>368</v>
      </c>
      <c r="FU33" s="56">
        <v>365.9</v>
      </c>
      <c r="FV33" s="56">
        <v>376.7</v>
      </c>
      <c r="FW33" s="56">
        <v>370.5</v>
      </c>
      <c r="FX33" s="56">
        <v>386.5</v>
      </c>
      <c r="FY33" s="56">
        <v>394.1</v>
      </c>
      <c r="FZ33" s="56">
        <v>396.4</v>
      </c>
      <c r="GA33" s="56">
        <v>416.2</v>
      </c>
      <c r="GB33" s="56">
        <v>407.4</v>
      </c>
      <c r="GC33" s="56">
        <v>413.2</v>
      </c>
      <c r="GD33" s="56">
        <v>398.5</v>
      </c>
      <c r="GE33" s="56">
        <v>407.3</v>
      </c>
      <c r="GF33" s="56">
        <v>418.7</v>
      </c>
      <c r="GG33" s="56">
        <v>418.7</v>
      </c>
      <c r="GH33" s="56">
        <v>424.3</v>
      </c>
      <c r="GI33" s="56">
        <v>412.2</v>
      </c>
      <c r="GJ33" s="56">
        <v>431.9</v>
      </c>
      <c r="GK33" s="56">
        <v>474.6</v>
      </c>
      <c r="GL33" s="56">
        <v>474.3</v>
      </c>
      <c r="GM33" s="56">
        <v>450.9</v>
      </c>
      <c r="GN33" s="56">
        <v>460.4</v>
      </c>
      <c r="GO33" s="56">
        <v>453.8</v>
      </c>
      <c r="GP33" s="56">
        <v>473.5</v>
      </c>
      <c r="GQ33" s="56">
        <v>531</v>
      </c>
      <c r="GR33" s="56">
        <v>495.6</v>
      </c>
      <c r="GS33" s="56">
        <v>490.1</v>
      </c>
      <c r="GT33" s="56">
        <v>492.5</v>
      </c>
      <c r="GU33" s="56">
        <v>485.2</v>
      </c>
      <c r="GV33" s="56">
        <v>511.6</v>
      </c>
      <c r="GW33" s="56">
        <v>528.4</v>
      </c>
      <c r="GX33" s="56">
        <v>559</v>
      </c>
      <c r="GY33" s="56">
        <v>586.1</v>
      </c>
      <c r="GZ33" s="56">
        <v>576.4</v>
      </c>
      <c r="HA33" s="56">
        <v>599.1</v>
      </c>
      <c r="HB33" s="56">
        <v>656.7</v>
      </c>
      <c r="HC33">
        <v>693.1</v>
      </c>
      <c r="HD33">
        <v>596.6</v>
      </c>
      <c r="HE33">
        <v>607.6</v>
      </c>
      <c r="HF33">
        <v>578</v>
      </c>
      <c r="HG33">
        <v>581.6</v>
      </c>
      <c r="HH33">
        <v>605.5</v>
      </c>
      <c r="HI33">
        <v>612.1</v>
      </c>
      <c r="HJ33">
        <v>609.5</v>
      </c>
      <c r="HK33">
        <v>630</v>
      </c>
      <c r="HL33">
        <v>655.5</v>
      </c>
      <c r="HM33">
        <v>670.5</v>
      </c>
      <c r="HN33">
        <v>668.8</v>
      </c>
    </row>
    <row r="34" spans="1:222" x14ac:dyDescent="0.25">
      <c r="A34" s="56" t="s">
        <v>2239</v>
      </c>
      <c r="B34" s="56">
        <v>70.599999999999994</v>
      </c>
      <c r="C34" s="56">
        <v>72.400000000000006</v>
      </c>
      <c r="D34" s="56">
        <v>74.3</v>
      </c>
      <c r="E34" s="56">
        <v>76</v>
      </c>
      <c r="F34" s="56">
        <v>78.3</v>
      </c>
      <c r="G34" s="56">
        <v>80.2</v>
      </c>
      <c r="H34" s="56">
        <v>82.8</v>
      </c>
      <c r="I34" s="56">
        <v>84.7</v>
      </c>
      <c r="J34" s="56">
        <v>86.4</v>
      </c>
      <c r="K34" s="56">
        <v>88.5</v>
      </c>
      <c r="L34" s="56">
        <v>90.4</v>
      </c>
      <c r="M34" s="56">
        <v>92.5</v>
      </c>
      <c r="N34" s="56">
        <v>95.1</v>
      </c>
      <c r="O34" s="56">
        <v>96.3</v>
      </c>
      <c r="P34" s="56">
        <v>98.7</v>
      </c>
      <c r="Q34" s="56">
        <v>99.6</v>
      </c>
      <c r="R34" s="56">
        <v>101</v>
      </c>
      <c r="S34" s="56">
        <v>104</v>
      </c>
      <c r="T34" s="56">
        <v>106.8</v>
      </c>
      <c r="U34" s="56">
        <v>107.5</v>
      </c>
      <c r="V34" s="56">
        <v>109</v>
      </c>
      <c r="W34" s="56">
        <v>111.7</v>
      </c>
      <c r="X34" s="56">
        <v>114.9</v>
      </c>
      <c r="Y34" s="56">
        <v>117.3</v>
      </c>
      <c r="Z34" s="56">
        <v>120.9</v>
      </c>
      <c r="AA34" s="56">
        <v>123.5</v>
      </c>
      <c r="AB34" s="56">
        <v>126</v>
      </c>
      <c r="AC34" s="56">
        <v>129.6</v>
      </c>
      <c r="AD34" s="56">
        <v>132.9</v>
      </c>
      <c r="AE34" s="56">
        <v>135.5</v>
      </c>
      <c r="AF34" s="56">
        <v>138.30000000000001</v>
      </c>
      <c r="AG34" s="56">
        <v>141.1</v>
      </c>
      <c r="AH34" s="56">
        <v>143</v>
      </c>
      <c r="AI34" s="56">
        <v>147.69999999999999</v>
      </c>
      <c r="AJ34" s="56">
        <v>144.19999999999999</v>
      </c>
      <c r="AK34" s="56">
        <v>147.6</v>
      </c>
      <c r="AL34" s="56">
        <v>150.6</v>
      </c>
      <c r="AM34" s="56">
        <v>152.6</v>
      </c>
      <c r="AN34" s="56">
        <v>155.6</v>
      </c>
      <c r="AO34" s="56">
        <v>159</v>
      </c>
      <c r="AP34" s="56">
        <v>161.9</v>
      </c>
      <c r="AQ34" s="56">
        <v>163.30000000000001</v>
      </c>
      <c r="AR34" s="56">
        <v>168.2</v>
      </c>
      <c r="AS34" s="56">
        <v>173.3</v>
      </c>
      <c r="AT34" s="56">
        <v>180.2</v>
      </c>
      <c r="AU34" s="56">
        <v>183.7</v>
      </c>
      <c r="AV34" s="56">
        <v>188.3</v>
      </c>
      <c r="AW34" s="56">
        <v>190.7</v>
      </c>
      <c r="AX34" s="56">
        <v>193.9</v>
      </c>
      <c r="AY34" s="56">
        <v>198.3</v>
      </c>
      <c r="AZ34" s="56">
        <v>201.7</v>
      </c>
      <c r="BA34" s="56">
        <v>206</v>
      </c>
      <c r="BB34" s="56">
        <v>209.6</v>
      </c>
      <c r="BC34" s="56">
        <v>216</v>
      </c>
      <c r="BD34" s="56">
        <v>222</v>
      </c>
      <c r="BE34" s="56">
        <v>228</v>
      </c>
      <c r="BF34" s="56">
        <v>234.7</v>
      </c>
      <c r="BG34" s="56">
        <v>240.3</v>
      </c>
      <c r="BH34" s="56">
        <v>244.7</v>
      </c>
      <c r="BI34" s="56">
        <v>250.2</v>
      </c>
      <c r="BJ34" s="56">
        <v>254.7</v>
      </c>
      <c r="BK34" s="56">
        <v>260</v>
      </c>
      <c r="BL34" s="56">
        <v>265.10000000000002</v>
      </c>
      <c r="BM34" s="56">
        <v>268.5</v>
      </c>
      <c r="BN34" s="56">
        <v>273</v>
      </c>
      <c r="BO34" s="56">
        <v>276.60000000000002</v>
      </c>
      <c r="BP34" s="56">
        <v>282.3</v>
      </c>
      <c r="BQ34" s="56">
        <v>286.8</v>
      </c>
      <c r="BR34" s="56">
        <v>291.89999999999998</v>
      </c>
      <c r="BS34" s="56">
        <v>298.5</v>
      </c>
      <c r="BT34" s="56">
        <v>306</v>
      </c>
      <c r="BU34" s="56">
        <v>310</v>
      </c>
      <c r="BV34" s="56">
        <v>315.7</v>
      </c>
      <c r="BW34" s="56">
        <v>323.2</v>
      </c>
      <c r="BX34" s="56">
        <v>327.3</v>
      </c>
      <c r="BY34" s="56">
        <v>332.4</v>
      </c>
      <c r="BZ34" s="56">
        <v>340.2</v>
      </c>
      <c r="CA34" s="56">
        <v>348.2</v>
      </c>
      <c r="CB34" s="56">
        <v>353.9</v>
      </c>
      <c r="CC34" s="56">
        <v>354.2</v>
      </c>
      <c r="CD34" s="56">
        <v>369.3</v>
      </c>
      <c r="CE34" s="56">
        <v>368.7</v>
      </c>
      <c r="CF34" s="56">
        <v>375.6</v>
      </c>
      <c r="CG34" s="56">
        <v>382.7</v>
      </c>
      <c r="CH34" s="56">
        <v>384.3</v>
      </c>
      <c r="CI34" s="56">
        <v>390.2</v>
      </c>
      <c r="CJ34" s="56">
        <v>399.4</v>
      </c>
      <c r="CK34" s="56">
        <v>407.3</v>
      </c>
      <c r="CL34" s="56">
        <v>412.8</v>
      </c>
      <c r="CM34" s="56">
        <v>418.2</v>
      </c>
      <c r="CN34" s="56">
        <v>424.1</v>
      </c>
      <c r="CO34" s="56">
        <v>425.3</v>
      </c>
      <c r="CP34" s="56">
        <v>427.5</v>
      </c>
      <c r="CQ34" s="56">
        <v>432.8</v>
      </c>
      <c r="CR34" s="56">
        <v>439.5</v>
      </c>
      <c r="CS34" s="56">
        <v>447.2</v>
      </c>
      <c r="CT34" s="56">
        <v>456</v>
      </c>
      <c r="CU34" s="56">
        <v>465.8</v>
      </c>
      <c r="CV34" s="56">
        <v>470</v>
      </c>
      <c r="CW34" s="56">
        <v>473.3</v>
      </c>
      <c r="CX34" s="56">
        <v>478.8</v>
      </c>
      <c r="CY34" s="56">
        <v>477.9</v>
      </c>
      <c r="CZ34" s="56">
        <v>483.5</v>
      </c>
      <c r="DA34" s="56">
        <v>489.3</v>
      </c>
      <c r="DB34" s="56">
        <v>497.8</v>
      </c>
      <c r="DC34" s="56">
        <v>506.5</v>
      </c>
      <c r="DD34" s="56">
        <v>510.1</v>
      </c>
      <c r="DE34" s="56">
        <v>517.29999999999995</v>
      </c>
      <c r="DF34" s="56">
        <v>523.79999999999995</v>
      </c>
      <c r="DG34" s="56">
        <v>530.70000000000005</v>
      </c>
      <c r="DH34" s="56">
        <v>536.6</v>
      </c>
      <c r="DI34" s="56">
        <v>544</v>
      </c>
      <c r="DJ34" s="56">
        <v>549.6</v>
      </c>
      <c r="DK34" s="56">
        <v>555.4</v>
      </c>
      <c r="DL34" s="56">
        <v>561.6</v>
      </c>
      <c r="DM34" s="56">
        <v>568.6</v>
      </c>
      <c r="DN34" s="56">
        <v>576.20000000000005</v>
      </c>
      <c r="DO34" s="56">
        <v>585.4</v>
      </c>
      <c r="DP34" s="56">
        <v>595.20000000000005</v>
      </c>
      <c r="DQ34" s="56">
        <v>603.70000000000005</v>
      </c>
      <c r="DR34" s="56">
        <v>612.4</v>
      </c>
      <c r="DS34" s="56">
        <v>618.9</v>
      </c>
      <c r="DT34" s="56">
        <v>623.70000000000005</v>
      </c>
      <c r="DU34" s="56">
        <v>630.1</v>
      </c>
      <c r="DV34" s="56">
        <v>637.1</v>
      </c>
      <c r="DW34" s="56">
        <v>637.79999999999995</v>
      </c>
      <c r="DX34" s="56">
        <v>641.70000000000005</v>
      </c>
      <c r="DY34" s="56">
        <v>653</v>
      </c>
      <c r="DZ34" s="56">
        <v>659.3</v>
      </c>
      <c r="EA34" s="56">
        <v>664</v>
      </c>
      <c r="EB34" s="56">
        <v>680.5</v>
      </c>
      <c r="EC34" s="56">
        <v>689</v>
      </c>
      <c r="ED34" s="56">
        <v>698.5</v>
      </c>
      <c r="EE34" s="56">
        <v>709.9</v>
      </c>
      <c r="EF34" s="56">
        <v>723.4</v>
      </c>
      <c r="EG34" s="56">
        <v>729.8</v>
      </c>
      <c r="EH34" s="56">
        <v>753.2</v>
      </c>
      <c r="EI34" s="56">
        <v>765.1</v>
      </c>
      <c r="EJ34" s="56">
        <v>775.4</v>
      </c>
      <c r="EK34" s="56">
        <v>797.6</v>
      </c>
      <c r="EL34" s="56">
        <v>817.9</v>
      </c>
      <c r="EM34" s="56">
        <v>835.9</v>
      </c>
      <c r="EN34" s="56">
        <v>851.8</v>
      </c>
      <c r="EO34" s="56">
        <v>866.6</v>
      </c>
      <c r="EP34" s="56">
        <v>882.7</v>
      </c>
      <c r="EQ34" s="56">
        <v>892.2</v>
      </c>
      <c r="ER34" s="56">
        <v>903.9</v>
      </c>
      <c r="ES34" s="56">
        <v>912.4</v>
      </c>
      <c r="ET34" s="56">
        <v>931.9</v>
      </c>
      <c r="EU34" s="56">
        <v>939.4</v>
      </c>
      <c r="EV34" s="56">
        <v>940.4</v>
      </c>
      <c r="EW34" s="56">
        <v>957.1</v>
      </c>
      <c r="EX34" s="56">
        <v>952.5</v>
      </c>
      <c r="EY34" s="56">
        <v>959.4</v>
      </c>
      <c r="EZ34" s="56">
        <v>964.8</v>
      </c>
      <c r="FA34" s="56">
        <v>946.3</v>
      </c>
      <c r="FB34" s="56">
        <v>929.2</v>
      </c>
      <c r="FC34" s="56">
        <v>923</v>
      </c>
      <c r="FD34" s="56">
        <v>937.4</v>
      </c>
      <c r="FE34" s="56">
        <v>952.1</v>
      </c>
      <c r="FF34" s="56">
        <v>951.6</v>
      </c>
      <c r="FG34" s="56">
        <v>965.7</v>
      </c>
      <c r="FH34" s="56">
        <v>970.1</v>
      </c>
      <c r="FI34" s="56">
        <v>977.7</v>
      </c>
      <c r="FJ34" s="56">
        <v>986.8</v>
      </c>
      <c r="FK34" s="56">
        <v>996.4</v>
      </c>
      <c r="FL34" s="56">
        <v>994.5</v>
      </c>
      <c r="FM34" s="56">
        <v>1002.7</v>
      </c>
      <c r="FN34" s="56">
        <v>1016.9</v>
      </c>
      <c r="FO34" s="56">
        <v>1019.5</v>
      </c>
      <c r="FP34" s="56">
        <v>1016.6</v>
      </c>
      <c r="FQ34" s="56">
        <v>1030.8</v>
      </c>
      <c r="FR34" s="56">
        <v>1053.0999999999999</v>
      </c>
      <c r="FS34" s="56">
        <v>1054.9000000000001</v>
      </c>
      <c r="FT34" s="56">
        <v>1063.8</v>
      </c>
      <c r="FU34" s="56">
        <v>1069.5</v>
      </c>
      <c r="FV34" s="56">
        <v>1079.3</v>
      </c>
      <c r="FW34" s="56">
        <v>1099.4000000000001</v>
      </c>
      <c r="FX34" s="56">
        <v>1108.2</v>
      </c>
      <c r="FY34" s="56">
        <v>1117.2</v>
      </c>
      <c r="FZ34" s="56">
        <v>1117.9000000000001</v>
      </c>
      <c r="GA34" s="56">
        <v>1125.8</v>
      </c>
      <c r="GB34" s="56">
        <v>1138</v>
      </c>
      <c r="GC34" s="56">
        <v>1144.7</v>
      </c>
      <c r="GD34" s="56">
        <v>1153</v>
      </c>
      <c r="GE34" s="56">
        <v>1160.9000000000001</v>
      </c>
      <c r="GF34" s="56">
        <v>1183.5999999999999</v>
      </c>
      <c r="GG34" s="56">
        <v>1190</v>
      </c>
      <c r="GH34" s="56">
        <v>1209.4000000000001</v>
      </c>
      <c r="GI34" s="56">
        <v>1221.8</v>
      </c>
      <c r="GJ34" s="56">
        <v>1240.2</v>
      </c>
      <c r="GK34" s="56">
        <v>1258.8</v>
      </c>
      <c r="GL34" s="56">
        <v>1273.2</v>
      </c>
      <c r="GM34" s="56">
        <v>1285.3</v>
      </c>
      <c r="GN34" s="56">
        <v>1300.2</v>
      </c>
      <c r="GO34" s="56">
        <v>1315.9</v>
      </c>
      <c r="GP34" s="56">
        <v>1333.5</v>
      </c>
      <c r="GQ34" s="56">
        <v>1351</v>
      </c>
      <c r="GR34" s="56">
        <v>1376.8</v>
      </c>
      <c r="GS34" s="56">
        <v>1373.6</v>
      </c>
      <c r="GT34" s="56">
        <v>1373.1</v>
      </c>
      <c r="GU34" s="56">
        <v>1288.7</v>
      </c>
      <c r="GV34" s="56">
        <v>1390.2</v>
      </c>
      <c r="GW34" s="56">
        <v>1411.7</v>
      </c>
      <c r="GX34" s="56">
        <v>1436.2</v>
      </c>
      <c r="GY34" s="56">
        <v>1524.3</v>
      </c>
      <c r="GZ34" s="56">
        <v>1538.3</v>
      </c>
      <c r="HA34" s="56">
        <v>1579.3</v>
      </c>
      <c r="HB34" s="56">
        <v>1605.3</v>
      </c>
      <c r="HC34">
        <v>1644.2</v>
      </c>
      <c r="HD34">
        <v>1668.2</v>
      </c>
      <c r="HE34">
        <v>1676.9</v>
      </c>
      <c r="HF34">
        <v>1697.8</v>
      </c>
      <c r="HG34">
        <v>1709.4</v>
      </c>
      <c r="HH34">
        <v>1724</v>
      </c>
      <c r="HI34">
        <v>1744.3</v>
      </c>
      <c r="HJ34">
        <v>1760.8</v>
      </c>
      <c r="HK34">
        <v>1782.3</v>
      </c>
      <c r="HL34">
        <v>1794.5</v>
      </c>
      <c r="HM34">
        <v>1821.7</v>
      </c>
      <c r="HN34">
        <v>1846.5</v>
      </c>
    </row>
    <row r="35" spans="1:222" x14ac:dyDescent="0.25">
      <c r="A35" s="56" t="s">
        <v>2240</v>
      </c>
      <c r="B35" s="56">
        <v>3.8</v>
      </c>
      <c r="C35" s="56">
        <v>3.7</v>
      </c>
      <c r="D35" s="56">
        <v>3.8</v>
      </c>
      <c r="E35" s="56">
        <v>3.6</v>
      </c>
      <c r="F35" s="56">
        <v>4.0999999999999996</v>
      </c>
      <c r="G35" s="56">
        <v>4.2</v>
      </c>
      <c r="H35" s="56">
        <v>4.4000000000000004</v>
      </c>
      <c r="I35" s="56">
        <v>4.5</v>
      </c>
      <c r="J35" s="56">
        <v>5</v>
      </c>
      <c r="K35" s="56">
        <v>5</v>
      </c>
      <c r="L35" s="56">
        <v>5.2</v>
      </c>
      <c r="M35" s="56">
        <v>5.7</v>
      </c>
      <c r="N35" s="56">
        <v>6</v>
      </c>
      <c r="O35" s="56">
        <v>6.1</v>
      </c>
      <c r="P35" s="56">
        <v>5.9</v>
      </c>
      <c r="Q35" s="56">
        <v>6.1</v>
      </c>
      <c r="R35" s="56">
        <v>6.3</v>
      </c>
      <c r="S35" s="56">
        <v>6.6</v>
      </c>
      <c r="T35" s="56">
        <v>7.3</v>
      </c>
      <c r="U35" s="56">
        <v>6.5</v>
      </c>
      <c r="V35" s="56">
        <v>6.1</v>
      </c>
      <c r="W35" s="56">
        <v>6.6</v>
      </c>
      <c r="X35" s="56">
        <v>8.1999999999999993</v>
      </c>
      <c r="Y35" s="56">
        <v>8.4</v>
      </c>
      <c r="Z35" s="56">
        <v>9.6999999999999993</v>
      </c>
      <c r="AA35" s="56">
        <v>9.6</v>
      </c>
      <c r="AB35" s="56">
        <v>9.6999999999999993</v>
      </c>
      <c r="AC35" s="56">
        <v>9.6</v>
      </c>
      <c r="AD35" s="56">
        <v>10.5</v>
      </c>
      <c r="AE35" s="56">
        <v>11.4</v>
      </c>
      <c r="AF35" s="56">
        <v>11.8</v>
      </c>
      <c r="AG35" s="56">
        <v>12</v>
      </c>
      <c r="AH35" s="56">
        <v>10.5</v>
      </c>
      <c r="AI35" s="56">
        <v>12.4</v>
      </c>
      <c r="AJ35" s="56">
        <v>12.5</v>
      </c>
      <c r="AK35" s="56">
        <v>13.1</v>
      </c>
      <c r="AL35" s="56">
        <v>13.7</v>
      </c>
      <c r="AM35" s="56">
        <v>13.8</v>
      </c>
      <c r="AN35" s="56">
        <v>13.6</v>
      </c>
      <c r="AO35" s="56">
        <v>13.2</v>
      </c>
      <c r="AP35" s="56">
        <v>16.100000000000001</v>
      </c>
      <c r="AQ35" s="56">
        <v>12.8</v>
      </c>
      <c r="AR35" s="56">
        <v>14</v>
      </c>
      <c r="AS35" s="56">
        <v>15.1</v>
      </c>
      <c r="AT35" s="56">
        <v>16.8</v>
      </c>
      <c r="AU35" s="56">
        <v>15.2</v>
      </c>
      <c r="AV35" s="56">
        <v>15.7</v>
      </c>
      <c r="AW35" s="56">
        <v>14.1</v>
      </c>
      <c r="AX35" s="56">
        <v>14.1</v>
      </c>
      <c r="AY35" s="56">
        <v>14.3</v>
      </c>
      <c r="AZ35" s="56">
        <v>14.4</v>
      </c>
      <c r="BA35" s="56">
        <v>13.3</v>
      </c>
      <c r="BB35" s="56">
        <v>12.8</v>
      </c>
      <c r="BC35" s="56">
        <v>15.7</v>
      </c>
      <c r="BD35" s="56">
        <v>17.399999999999999</v>
      </c>
      <c r="BE35" s="56">
        <v>17.7</v>
      </c>
      <c r="BF35" s="56">
        <v>20.100000000000001</v>
      </c>
      <c r="BG35" s="56">
        <v>19.899999999999999</v>
      </c>
      <c r="BH35" s="56">
        <v>17.5</v>
      </c>
      <c r="BI35" s="56">
        <v>17.7</v>
      </c>
      <c r="BJ35" s="56">
        <v>20</v>
      </c>
      <c r="BK35" s="56">
        <v>19.600000000000001</v>
      </c>
      <c r="BL35" s="56">
        <v>20.9</v>
      </c>
      <c r="BM35" s="56">
        <v>20.5</v>
      </c>
      <c r="BN35" s="56">
        <v>21.4</v>
      </c>
      <c r="BO35" s="56">
        <v>22</v>
      </c>
      <c r="BP35" s="56">
        <v>22.4</v>
      </c>
      <c r="BQ35" s="56">
        <v>24.8</v>
      </c>
      <c r="BR35" s="56">
        <v>22.7</v>
      </c>
      <c r="BS35" s="56">
        <v>24.5</v>
      </c>
      <c r="BT35" s="56">
        <v>24.8</v>
      </c>
      <c r="BU35" s="56">
        <v>23.6</v>
      </c>
      <c r="BV35" s="56">
        <v>23.4</v>
      </c>
      <c r="BW35" s="56">
        <v>25.2</v>
      </c>
      <c r="BX35" s="56">
        <v>27.3</v>
      </c>
      <c r="BY35" s="56">
        <v>28.2</v>
      </c>
      <c r="BZ35" s="56">
        <v>27.8</v>
      </c>
      <c r="CA35" s="56">
        <v>24.2</v>
      </c>
      <c r="CB35" s="56">
        <v>22.8</v>
      </c>
      <c r="CC35" s="56">
        <v>22.1</v>
      </c>
      <c r="CD35" s="56">
        <v>21.4</v>
      </c>
      <c r="CE35" s="56">
        <v>22.1</v>
      </c>
      <c r="CF35" s="56">
        <v>23</v>
      </c>
      <c r="CG35" s="56">
        <v>23.4</v>
      </c>
      <c r="CH35" s="56">
        <v>23.8</v>
      </c>
      <c r="CI35" s="56">
        <v>23.4</v>
      </c>
      <c r="CJ35" s="56">
        <v>23.7</v>
      </c>
      <c r="CK35" s="56">
        <v>23.6</v>
      </c>
      <c r="CL35" s="56">
        <v>25.2</v>
      </c>
      <c r="CM35" s="56">
        <v>24.7</v>
      </c>
      <c r="CN35" s="56">
        <v>23.2</v>
      </c>
      <c r="CO35" s="56">
        <v>24.4</v>
      </c>
      <c r="CP35" s="56">
        <v>24.8</v>
      </c>
      <c r="CQ35" s="56">
        <v>26.8</v>
      </c>
      <c r="CR35" s="56">
        <v>25.2</v>
      </c>
      <c r="CS35" s="56">
        <v>30.8</v>
      </c>
      <c r="CT35" s="56">
        <v>27.1</v>
      </c>
      <c r="CU35" s="56">
        <v>28.7</v>
      </c>
      <c r="CV35" s="56">
        <v>31.4</v>
      </c>
      <c r="CW35" s="56">
        <v>32.700000000000003</v>
      </c>
      <c r="CX35" s="56">
        <v>32.5</v>
      </c>
      <c r="CY35" s="56">
        <v>31.3</v>
      </c>
      <c r="CZ35" s="56">
        <v>31.9</v>
      </c>
      <c r="DA35" s="56">
        <v>30.9</v>
      </c>
      <c r="DB35" s="56">
        <v>31.9</v>
      </c>
      <c r="DC35" s="56">
        <v>33.5</v>
      </c>
      <c r="DD35" s="56">
        <v>33.299999999999997</v>
      </c>
      <c r="DE35" s="56">
        <v>33.4</v>
      </c>
      <c r="DF35" s="56">
        <v>33.1</v>
      </c>
      <c r="DG35" s="56">
        <v>33.6</v>
      </c>
      <c r="DH35" s="56">
        <v>35.5</v>
      </c>
      <c r="DI35" s="56">
        <v>34.4</v>
      </c>
      <c r="DJ35" s="56">
        <v>34.700000000000003</v>
      </c>
      <c r="DK35" s="56">
        <v>34.5</v>
      </c>
      <c r="DL35" s="56">
        <v>35.700000000000003</v>
      </c>
      <c r="DM35" s="56">
        <v>34.799999999999997</v>
      </c>
      <c r="DN35" s="56">
        <v>36.299999999999997</v>
      </c>
      <c r="DO35" s="56">
        <v>35.5</v>
      </c>
      <c r="DP35" s="56">
        <v>35.6</v>
      </c>
      <c r="DQ35" s="56">
        <v>35.9</v>
      </c>
      <c r="DR35" s="56">
        <v>37.200000000000003</v>
      </c>
      <c r="DS35" s="56">
        <v>36.5</v>
      </c>
      <c r="DT35" s="56">
        <v>33.5</v>
      </c>
      <c r="DU35" s="56">
        <v>33.700000000000003</v>
      </c>
      <c r="DV35" s="56">
        <v>30.1</v>
      </c>
      <c r="DW35" s="56">
        <v>30.4</v>
      </c>
      <c r="DX35" s="56">
        <v>28.3</v>
      </c>
      <c r="DY35" s="56">
        <v>26.6</v>
      </c>
      <c r="DZ35" s="56">
        <v>28.3</v>
      </c>
      <c r="EA35" s="56">
        <v>30.2</v>
      </c>
      <c r="EB35" s="56">
        <v>31.5</v>
      </c>
      <c r="EC35" s="56">
        <v>33.5</v>
      </c>
      <c r="ED35" s="56">
        <v>34.5</v>
      </c>
      <c r="EE35" s="56">
        <v>31.7</v>
      </c>
      <c r="EF35" s="56">
        <v>33.6</v>
      </c>
      <c r="EG35" s="56">
        <v>36.200000000000003</v>
      </c>
      <c r="EH35" s="56">
        <v>37.799999999999997</v>
      </c>
      <c r="EI35" s="56">
        <v>40.799999999999997</v>
      </c>
      <c r="EJ35" s="56">
        <v>43.9</v>
      </c>
      <c r="EK35" s="56">
        <v>44.3</v>
      </c>
      <c r="EL35" s="56">
        <v>55.3</v>
      </c>
      <c r="EM35" s="56">
        <v>53</v>
      </c>
      <c r="EN35" s="56">
        <v>53.3</v>
      </c>
      <c r="EO35" s="56">
        <v>58.2</v>
      </c>
      <c r="EP35" s="56">
        <v>59.6</v>
      </c>
      <c r="EQ35" s="56">
        <v>60.3</v>
      </c>
      <c r="ER35" s="56">
        <v>61.8</v>
      </c>
      <c r="ES35" s="56">
        <v>55.2</v>
      </c>
      <c r="ET35" s="56">
        <v>59.2</v>
      </c>
      <c r="EU35" s="56">
        <v>59.4</v>
      </c>
      <c r="EV35" s="56">
        <v>56.3</v>
      </c>
      <c r="EW35" s="56">
        <v>56.6</v>
      </c>
      <c r="EX35" s="56">
        <v>50.2</v>
      </c>
      <c r="EY35" s="56">
        <v>51.6</v>
      </c>
      <c r="EZ35" s="56">
        <v>52.8</v>
      </c>
      <c r="FA35" s="56">
        <v>35.1</v>
      </c>
      <c r="FB35" s="56">
        <v>43.7</v>
      </c>
      <c r="FC35" s="56">
        <v>49.6</v>
      </c>
      <c r="FD35" s="56">
        <v>41.3</v>
      </c>
      <c r="FE35" s="56">
        <v>43.4</v>
      </c>
      <c r="FF35" s="56">
        <v>45.1</v>
      </c>
      <c r="FG35" s="56">
        <v>43.4</v>
      </c>
      <c r="FH35" s="56">
        <v>45.5</v>
      </c>
      <c r="FI35" s="56">
        <v>50.4</v>
      </c>
      <c r="FJ35" s="56">
        <v>48.4</v>
      </c>
      <c r="FK35" s="56">
        <v>49.8</v>
      </c>
      <c r="FL35" s="56">
        <v>46.4</v>
      </c>
      <c r="FM35" s="56">
        <v>49</v>
      </c>
      <c r="FN35" s="56">
        <v>49.2</v>
      </c>
      <c r="FO35" s="56">
        <v>49.5</v>
      </c>
      <c r="FP35" s="56">
        <v>52.1</v>
      </c>
      <c r="FQ35" s="56">
        <v>51.9</v>
      </c>
      <c r="FR35" s="56">
        <v>52.6</v>
      </c>
      <c r="FS35" s="56">
        <v>54.3</v>
      </c>
      <c r="FT35" s="56">
        <v>53.3</v>
      </c>
      <c r="FU35" s="56">
        <v>54.4</v>
      </c>
      <c r="FV35" s="56">
        <v>55.2</v>
      </c>
      <c r="FW35" s="56">
        <v>55.3</v>
      </c>
      <c r="FX35" s="56">
        <v>57.1</v>
      </c>
      <c r="FY35" s="56">
        <v>57.8</v>
      </c>
      <c r="FZ35" s="56">
        <v>57.3</v>
      </c>
      <c r="GA35" s="56">
        <v>57.6</v>
      </c>
      <c r="GB35" s="56">
        <v>55.6</v>
      </c>
      <c r="GC35" s="56">
        <v>53.7</v>
      </c>
      <c r="GD35" s="56">
        <v>53.3</v>
      </c>
      <c r="GE35" s="56">
        <v>52.4</v>
      </c>
      <c r="GF35" s="56">
        <v>52.9</v>
      </c>
      <c r="GG35" s="56">
        <v>54.2</v>
      </c>
      <c r="GH35" s="56">
        <v>55.1</v>
      </c>
      <c r="GI35" s="56">
        <v>53.8</v>
      </c>
      <c r="GJ35" s="56">
        <v>54.2</v>
      </c>
      <c r="GK35" s="56">
        <v>54.5</v>
      </c>
      <c r="GL35" s="56">
        <v>54.9</v>
      </c>
      <c r="GM35" s="56">
        <v>60.4</v>
      </c>
      <c r="GN35" s="56">
        <v>61.6</v>
      </c>
      <c r="GO35" s="56">
        <v>63.6</v>
      </c>
      <c r="GP35" s="56">
        <v>71.8</v>
      </c>
      <c r="GQ35" s="56">
        <v>76.8</v>
      </c>
      <c r="GR35" s="56">
        <v>74.099999999999994</v>
      </c>
      <c r="GS35" s="56">
        <v>70.3</v>
      </c>
      <c r="GT35" s="56">
        <v>64.5</v>
      </c>
      <c r="GU35" s="56">
        <v>66.400000000000006</v>
      </c>
      <c r="GV35" s="56">
        <v>81.5</v>
      </c>
      <c r="GW35" s="56">
        <v>82.4</v>
      </c>
      <c r="GX35" s="56">
        <v>83.1</v>
      </c>
      <c r="GY35" s="56">
        <v>93.7</v>
      </c>
      <c r="GZ35" s="56">
        <v>119.3</v>
      </c>
      <c r="HA35" s="56">
        <v>168.1</v>
      </c>
      <c r="HB35">
        <v>170.8</v>
      </c>
      <c r="HC35">
        <v>157.6</v>
      </c>
      <c r="HD35">
        <v>159.1</v>
      </c>
      <c r="HE35">
        <v>162.19999999999999</v>
      </c>
      <c r="HF35">
        <v>158.69999999999999</v>
      </c>
      <c r="HG35">
        <v>162.4</v>
      </c>
      <c r="HH35">
        <v>165.9</v>
      </c>
      <c r="HI35">
        <v>166.9</v>
      </c>
      <c r="HJ35">
        <v>170.4</v>
      </c>
      <c r="HK35">
        <v>164</v>
      </c>
      <c r="HL35">
        <v>162.6</v>
      </c>
      <c r="HM35">
        <v>164.2</v>
      </c>
    </row>
    <row r="36" spans="1:222" x14ac:dyDescent="0.25">
      <c r="A36" s="56" t="s">
        <v>2241</v>
      </c>
      <c r="B36" s="56">
        <v>1.1000000000000001</v>
      </c>
      <c r="C36" s="56">
        <v>1.1000000000000001</v>
      </c>
      <c r="D36" s="56">
        <v>1.1000000000000001</v>
      </c>
      <c r="E36" s="56">
        <v>1.1000000000000001</v>
      </c>
      <c r="F36" s="56">
        <v>1.1000000000000001</v>
      </c>
      <c r="G36" s="56">
        <v>1.2</v>
      </c>
      <c r="H36" s="56">
        <v>1.2</v>
      </c>
      <c r="I36" s="56">
        <v>1.2</v>
      </c>
      <c r="J36" s="56">
        <v>1.3</v>
      </c>
      <c r="K36" s="56">
        <v>1.3</v>
      </c>
      <c r="L36" s="56">
        <v>1.3</v>
      </c>
      <c r="M36" s="56">
        <v>1.4</v>
      </c>
      <c r="N36" s="56">
        <v>1.4</v>
      </c>
      <c r="O36" s="56">
        <v>1.5</v>
      </c>
      <c r="P36" s="56">
        <v>1.5</v>
      </c>
      <c r="Q36" s="56">
        <v>1.6</v>
      </c>
      <c r="R36" s="56">
        <v>1.6</v>
      </c>
      <c r="S36" s="56">
        <v>1.6</v>
      </c>
      <c r="T36" s="56">
        <v>1.7</v>
      </c>
      <c r="U36" s="56">
        <v>1.7</v>
      </c>
      <c r="V36" s="56">
        <v>1.8</v>
      </c>
      <c r="W36" s="56">
        <v>1.8</v>
      </c>
      <c r="X36" s="56">
        <v>1.9</v>
      </c>
      <c r="Y36" s="56">
        <v>2</v>
      </c>
      <c r="Z36" s="56">
        <v>2</v>
      </c>
      <c r="AA36" s="56">
        <v>2.1</v>
      </c>
      <c r="AB36" s="56">
        <v>2.2000000000000002</v>
      </c>
      <c r="AC36" s="56">
        <v>2.2999999999999998</v>
      </c>
      <c r="AD36" s="56">
        <v>2.5</v>
      </c>
      <c r="AE36" s="56">
        <v>2.7</v>
      </c>
      <c r="AF36" s="56">
        <v>2.9</v>
      </c>
      <c r="AG36" s="56">
        <v>3</v>
      </c>
      <c r="AH36" s="56">
        <v>3.2</v>
      </c>
      <c r="AI36" s="56">
        <v>3.3</v>
      </c>
      <c r="AJ36" s="56">
        <v>3.5</v>
      </c>
      <c r="AK36" s="56">
        <v>3.6</v>
      </c>
      <c r="AL36" s="56">
        <v>3.8</v>
      </c>
      <c r="AM36" s="56">
        <v>3.9</v>
      </c>
      <c r="AN36" s="56">
        <v>3.9</v>
      </c>
      <c r="AO36" s="56">
        <v>4</v>
      </c>
      <c r="AP36" s="56">
        <v>3.6</v>
      </c>
      <c r="AQ36" s="56">
        <v>2.9</v>
      </c>
      <c r="AR36" s="56">
        <v>3.8</v>
      </c>
      <c r="AS36" s="56">
        <v>4</v>
      </c>
      <c r="AT36" s="56">
        <v>3.7</v>
      </c>
      <c r="AU36" s="56">
        <v>3.8</v>
      </c>
      <c r="AV36" s="56">
        <v>3.9</v>
      </c>
      <c r="AW36" s="56">
        <v>4</v>
      </c>
      <c r="AX36" s="56">
        <v>4</v>
      </c>
      <c r="AY36" s="56">
        <v>4</v>
      </c>
      <c r="AZ36" s="56">
        <v>4.0999999999999996</v>
      </c>
      <c r="BA36" s="56">
        <v>4.0999999999999996</v>
      </c>
      <c r="BB36" s="56">
        <v>4</v>
      </c>
      <c r="BC36" s="56">
        <v>4.0999999999999996</v>
      </c>
      <c r="BD36" s="56">
        <v>4.0999999999999996</v>
      </c>
      <c r="BE36" s="56">
        <v>4.3</v>
      </c>
      <c r="BF36" s="56">
        <v>4.5</v>
      </c>
      <c r="BG36" s="56">
        <v>4.7</v>
      </c>
      <c r="BH36" s="56">
        <v>4.8</v>
      </c>
      <c r="BI36" s="56">
        <v>4.8</v>
      </c>
      <c r="BJ36" s="56">
        <v>4.7</v>
      </c>
      <c r="BK36" s="56">
        <v>4.8</v>
      </c>
      <c r="BL36" s="56">
        <v>4.9000000000000004</v>
      </c>
      <c r="BM36" s="56">
        <v>5.2</v>
      </c>
      <c r="BN36" s="56">
        <v>5.5</v>
      </c>
      <c r="BO36" s="56">
        <v>5.8</v>
      </c>
      <c r="BP36" s="56">
        <v>6.1</v>
      </c>
      <c r="BQ36" s="56">
        <v>6.4</v>
      </c>
      <c r="BR36" s="56">
        <v>6.7</v>
      </c>
      <c r="BS36" s="56">
        <v>7</v>
      </c>
      <c r="BT36" s="56">
        <v>7.3</v>
      </c>
      <c r="BU36" s="56">
        <v>7.7</v>
      </c>
      <c r="BV36" s="56">
        <v>8</v>
      </c>
      <c r="BW36" s="56">
        <v>8.3000000000000007</v>
      </c>
      <c r="BX36" s="56">
        <v>8.5</v>
      </c>
      <c r="BY36" s="56">
        <v>8.6999999999999993</v>
      </c>
      <c r="BZ36" s="56">
        <v>8.8000000000000007</v>
      </c>
      <c r="CA36" s="56">
        <v>8.9</v>
      </c>
      <c r="CB36" s="56">
        <v>9</v>
      </c>
      <c r="CC36" s="56">
        <v>9.3000000000000007</v>
      </c>
      <c r="CD36" s="56">
        <v>9.5</v>
      </c>
      <c r="CE36" s="56">
        <v>9.9</v>
      </c>
      <c r="CF36" s="56">
        <v>10.199999999999999</v>
      </c>
      <c r="CG36" s="56">
        <v>10.5</v>
      </c>
      <c r="CH36" s="56">
        <v>11</v>
      </c>
      <c r="CI36" s="56">
        <v>11.4</v>
      </c>
      <c r="CJ36" s="56">
        <v>11.8</v>
      </c>
      <c r="CK36" s="56">
        <v>12.2</v>
      </c>
      <c r="CL36" s="56">
        <v>12.6</v>
      </c>
      <c r="CM36" s="56">
        <v>13</v>
      </c>
      <c r="CN36" s="56">
        <v>13.3</v>
      </c>
      <c r="CO36" s="56">
        <v>13.6</v>
      </c>
      <c r="CP36" s="56">
        <v>13.8</v>
      </c>
      <c r="CQ36" s="56">
        <v>14.1</v>
      </c>
      <c r="CR36" s="56">
        <v>14.2</v>
      </c>
      <c r="CS36" s="56">
        <v>14.4</v>
      </c>
      <c r="CT36" s="56">
        <v>14.6</v>
      </c>
      <c r="CU36" s="56">
        <v>14.6</v>
      </c>
      <c r="CV36" s="56">
        <v>14.5</v>
      </c>
      <c r="CW36" s="56">
        <v>14.4</v>
      </c>
      <c r="CX36" s="56">
        <v>14</v>
      </c>
      <c r="CY36" s="56">
        <v>13.7</v>
      </c>
      <c r="CZ36" s="56">
        <v>13.5</v>
      </c>
      <c r="DA36" s="56">
        <v>13.2</v>
      </c>
      <c r="DB36" s="56">
        <v>13</v>
      </c>
      <c r="DC36" s="56">
        <v>12.7</v>
      </c>
      <c r="DD36" s="56">
        <v>12.3</v>
      </c>
      <c r="DE36" s="56">
        <v>11.9</v>
      </c>
      <c r="DF36" s="56">
        <v>11.3</v>
      </c>
      <c r="DG36" s="56">
        <v>10.9</v>
      </c>
      <c r="DH36" s="56">
        <v>10.6</v>
      </c>
      <c r="DI36" s="56">
        <v>10.5</v>
      </c>
      <c r="DJ36" s="56">
        <v>10.5</v>
      </c>
      <c r="DK36" s="56">
        <v>10.5</v>
      </c>
      <c r="DL36" s="56">
        <v>10.3</v>
      </c>
      <c r="DM36" s="56">
        <v>10.1</v>
      </c>
      <c r="DN36" s="56">
        <v>9.9</v>
      </c>
      <c r="DO36" s="56">
        <v>9.6999999999999993</v>
      </c>
      <c r="DP36" s="56">
        <v>9.6999999999999993</v>
      </c>
      <c r="DQ36" s="56">
        <v>9.8000000000000007</v>
      </c>
      <c r="DR36" s="56">
        <v>10</v>
      </c>
      <c r="DS36" s="56">
        <v>10.4</v>
      </c>
      <c r="DT36" s="56">
        <v>11</v>
      </c>
      <c r="DU36" s="56">
        <v>11.8</v>
      </c>
      <c r="DV36" s="56">
        <v>12.7</v>
      </c>
      <c r="DW36" s="56">
        <v>13.5</v>
      </c>
      <c r="DX36" s="56">
        <v>14.1</v>
      </c>
      <c r="DY36" s="56">
        <v>14.5</v>
      </c>
      <c r="DZ36" s="56">
        <v>14.9</v>
      </c>
      <c r="EA36" s="56">
        <v>15.4</v>
      </c>
      <c r="EB36" s="56">
        <v>16.100000000000001</v>
      </c>
      <c r="EC36" s="56">
        <v>17</v>
      </c>
      <c r="ED36" s="56">
        <v>18</v>
      </c>
      <c r="EE36" s="56">
        <v>19.2</v>
      </c>
      <c r="EF36" s="56">
        <v>20.5</v>
      </c>
      <c r="EG36" s="56">
        <v>22</v>
      </c>
      <c r="EH36" s="56">
        <v>23.4</v>
      </c>
      <c r="EI36" s="56">
        <v>24.5</v>
      </c>
      <c r="EJ36" s="56">
        <v>25.2</v>
      </c>
      <c r="EK36" s="56">
        <v>25.5</v>
      </c>
      <c r="EL36" s="56">
        <v>25.3</v>
      </c>
      <c r="EM36" s="56">
        <v>25</v>
      </c>
      <c r="EN36" s="56">
        <v>24.4</v>
      </c>
      <c r="EO36" s="56">
        <v>23.7</v>
      </c>
      <c r="EP36" s="56">
        <v>22.8</v>
      </c>
      <c r="EQ36" s="56">
        <v>21.9</v>
      </c>
      <c r="ER36" s="56">
        <v>21</v>
      </c>
      <c r="ES36" s="56">
        <v>20.2</v>
      </c>
      <c r="ET36" s="56">
        <v>19.399999999999999</v>
      </c>
      <c r="EU36" s="56">
        <v>18.899999999999999</v>
      </c>
      <c r="EV36" s="56">
        <v>18.5</v>
      </c>
      <c r="EW36" s="56">
        <v>18.5</v>
      </c>
      <c r="EX36" s="56">
        <v>18.600000000000001</v>
      </c>
      <c r="EY36" s="56">
        <v>18.7</v>
      </c>
      <c r="EZ36" s="56">
        <v>18.7</v>
      </c>
      <c r="FA36" s="56">
        <v>18.8</v>
      </c>
      <c r="FB36" s="56">
        <v>18.8</v>
      </c>
      <c r="FC36" s="56">
        <v>18.7</v>
      </c>
      <c r="FD36" s="56">
        <v>18.5</v>
      </c>
      <c r="FE36" s="56">
        <v>18.3</v>
      </c>
      <c r="FF36" s="56">
        <v>18</v>
      </c>
      <c r="FG36" s="56">
        <v>17.7</v>
      </c>
      <c r="FH36" s="56">
        <v>17.7</v>
      </c>
      <c r="FI36" s="56">
        <v>17.7</v>
      </c>
      <c r="FJ36" s="56">
        <v>17.899999999999999</v>
      </c>
      <c r="FK36" s="56">
        <v>18</v>
      </c>
      <c r="FL36" s="56">
        <v>17.899999999999999</v>
      </c>
      <c r="FM36" s="56">
        <v>17.7</v>
      </c>
      <c r="FN36" s="56">
        <v>17.399999999999999</v>
      </c>
      <c r="FO36" s="56">
        <v>17.2</v>
      </c>
      <c r="FP36" s="56">
        <v>17.100000000000001</v>
      </c>
      <c r="FQ36" s="56">
        <v>17.100000000000001</v>
      </c>
      <c r="FR36" s="56">
        <v>17.3</v>
      </c>
      <c r="FS36" s="56">
        <v>17.5</v>
      </c>
      <c r="FT36" s="56">
        <v>17.8</v>
      </c>
      <c r="FU36" s="56">
        <v>18.100000000000001</v>
      </c>
      <c r="FV36" s="56">
        <v>18.399999999999999</v>
      </c>
      <c r="FW36" s="56">
        <v>18.7</v>
      </c>
      <c r="FX36" s="56">
        <v>18.899999999999999</v>
      </c>
      <c r="FY36" s="56">
        <v>19</v>
      </c>
      <c r="FZ36" s="56">
        <v>19</v>
      </c>
      <c r="GA36" s="56">
        <v>19.100000000000001</v>
      </c>
      <c r="GB36" s="56">
        <v>19.3</v>
      </c>
      <c r="GC36" s="56">
        <v>19.5</v>
      </c>
      <c r="GD36" s="56">
        <v>19.8</v>
      </c>
      <c r="GE36" s="56">
        <v>20</v>
      </c>
      <c r="GF36" s="56">
        <v>20</v>
      </c>
      <c r="GG36" s="56">
        <v>20</v>
      </c>
      <c r="GH36" s="56">
        <v>19.8</v>
      </c>
      <c r="GI36" s="56">
        <v>19.8</v>
      </c>
      <c r="GJ36" s="56">
        <v>19.8</v>
      </c>
      <c r="GK36" s="56">
        <v>20</v>
      </c>
      <c r="GL36" s="56">
        <v>20.2</v>
      </c>
      <c r="GM36" s="56">
        <v>20.399999999999999</v>
      </c>
      <c r="GN36" s="56">
        <v>20.6</v>
      </c>
      <c r="GO36" s="56">
        <v>20.6</v>
      </c>
      <c r="GP36" s="56">
        <v>20.8</v>
      </c>
      <c r="GQ36" s="56">
        <v>20.8</v>
      </c>
      <c r="GR36" s="56">
        <v>20.6</v>
      </c>
      <c r="GS36" s="56">
        <v>20.5</v>
      </c>
      <c r="GT36" s="56">
        <v>20.3</v>
      </c>
      <c r="GU36" s="56">
        <v>19.3</v>
      </c>
      <c r="GV36" s="56">
        <v>19.899999999999999</v>
      </c>
      <c r="GW36" s="56">
        <v>20.6</v>
      </c>
      <c r="GX36" s="56">
        <v>21.3</v>
      </c>
      <c r="GY36" s="56">
        <v>22</v>
      </c>
      <c r="GZ36" s="56">
        <v>22.6</v>
      </c>
      <c r="HA36" s="56">
        <v>23.1</v>
      </c>
      <c r="HB36" s="56">
        <v>23.4</v>
      </c>
      <c r="HC36">
        <v>23.1</v>
      </c>
      <c r="HD36">
        <v>22.7</v>
      </c>
      <c r="HE36">
        <v>21.8</v>
      </c>
      <c r="HF36">
        <v>20.8</v>
      </c>
      <c r="HG36">
        <v>20.5</v>
      </c>
      <c r="HH36">
        <v>21.2</v>
      </c>
      <c r="HI36">
        <v>22.8</v>
      </c>
      <c r="HJ36">
        <v>25</v>
      </c>
      <c r="HK36">
        <v>26.7</v>
      </c>
      <c r="HL36">
        <v>27.5</v>
      </c>
      <c r="HM36">
        <v>27.6</v>
      </c>
      <c r="HN36">
        <v>27</v>
      </c>
    </row>
    <row r="37" spans="1:222" x14ac:dyDescent="0.25">
      <c r="A37" s="56" t="s">
        <v>2242</v>
      </c>
      <c r="B37" s="56">
        <v>14.7</v>
      </c>
      <c r="C37" s="56">
        <v>15.6</v>
      </c>
      <c r="D37" s="56">
        <v>16.600000000000001</v>
      </c>
      <c r="E37" s="56">
        <v>17.5</v>
      </c>
      <c r="F37" s="56">
        <v>18.3</v>
      </c>
      <c r="G37" s="56">
        <v>19.100000000000001</v>
      </c>
      <c r="H37" s="56">
        <v>19.600000000000001</v>
      </c>
      <c r="I37" s="56">
        <v>20.3</v>
      </c>
      <c r="J37" s="56">
        <v>21.2</v>
      </c>
      <c r="K37" s="56">
        <v>21.6</v>
      </c>
      <c r="L37" s="56">
        <v>22.5</v>
      </c>
      <c r="M37" s="56">
        <v>22.5</v>
      </c>
      <c r="N37" s="56">
        <v>23.2</v>
      </c>
      <c r="O37" s="56">
        <v>24</v>
      </c>
      <c r="P37" s="56">
        <v>24.2</v>
      </c>
      <c r="Q37" s="56">
        <v>25</v>
      </c>
      <c r="R37" s="56">
        <v>23.4</v>
      </c>
      <c r="S37" s="56">
        <v>24.7</v>
      </c>
      <c r="T37" s="56">
        <v>25.9</v>
      </c>
      <c r="U37" s="56">
        <v>27.1</v>
      </c>
      <c r="V37" s="56">
        <v>29.2</v>
      </c>
      <c r="W37" s="56">
        <v>30.5</v>
      </c>
      <c r="X37" s="56">
        <v>31</v>
      </c>
      <c r="Y37" s="56">
        <v>32.6</v>
      </c>
      <c r="Z37" s="56">
        <v>33.4</v>
      </c>
      <c r="AA37" s="56">
        <v>33.4</v>
      </c>
      <c r="AB37" s="56">
        <v>34.700000000000003</v>
      </c>
      <c r="AC37" s="56">
        <v>35</v>
      </c>
      <c r="AD37" s="56">
        <v>35.700000000000003</v>
      </c>
      <c r="AE37" s="56">
        <v>37.5</v>
      </c>
      <c r="AF37" s="56">
        <v>37.299999999999997</v>
      </c>
      <c r="AG37" s="56">
        <v>37.700000000000003</v>
      </c>
      <c r="AH37" s="56">
        <v>39.200000000000003</v>
      </c>
      <c r="AI37" s="56">
        <v>41</v>
      </c>
      <c r="AJ37" s="56">
        <v>41.3</v>
      </c>
      <c r="AK37" s="56">
        <v>41.7</v>
      </c>
      <c r="AL37" s="56">
        <v>42.4</v>
      </c>
      <c r="AM37" s="56">
        <v>43.5</v>
      </c>
      <c r="AN37" s="56">
        <v>44.5</v>
      </c>
      <c r="AO37" s="56">
        <v>46.9</v>
      </c>
      <c r="AP37" s="56">
        <v>49.1</v>
      </c>
      <c r="AQ37" s="56">
        <v>49</v>
      </c>
      <c r="AR37" s="56">
        <v>52.4</v>
      </c>
      <c r="AS37" s="56">
        <v>54.3</v>
      </c>
      <c r="AT37" s="56">
        <v>55.6</v>
      </c>
      <c r="AU37" s="56">
        <v>57.4</v>
      </c>
      <c r="AV37" s="56">
        <v>57.7</v>
      </c>
      <c r="AW37" s="56">
        <v>57.7</v>
      </c>
      <c r="AX37" s="56">
        <v>59</v>
      </c>
      <c r="AY37" s="56">
        <v>61</v>
      </c>
      <c r="AZ37" s="56">
        <v>62.1</v>
      </c>
      <c r="BA37" s="56">
        <v>62.6</v>
      </c>
      <c r="BB37" s="56">
        <v>65.8</v>
      </c>
      <c r="BC37" s="56">
        <v>66.3</v>
      </c>
      <c r="BD37" s="56">
        <v>67.2</v>
      </c>
      <c r="BE37" s="56">
        <v>68.3</v>
      </c>
      <c r="BF37" s="56">
        <v>69.900000000000006</v>
      </c>
      <c r="BG37" s="56">
        <v>70.599999999999994</v>
      </c>
      <c r="BH37" s="56">
        <v>71.3</v>
      </c>
      <c r="BI37" s="56">
        <v>72.8</v>
      </c>
      <c r="BJ37" s="56">
        <v>74.900000000000006</v>
      </c>
      <c r="BK37" s="56">
        <v>76.3</v>
      </c>
      <c r="BL37" s="56">
        <v>78.099999999999994</v>
      </c>
      <c r="BM37" s="56">
        <v>79.8</v>
      </c>
      <c r="BN37" s="56">
        <v>81.599999999999994</v>
      </c>
      <c r="BO37" s="56">
        <v>83.6</v>
      </c>
      <c r="BP37" s="56">
        <v>85.3</v>
      </c>
      <c r="BQ37" s="56">
        <v>86.9</v>
      </c>
      <c r="BR37" s="56">
        <v>88.3</v>
      </c>
      <c r="BS37" s="56">
        <v>89.9</v>
      </c>
      <c r="BT37" s="56">
        <v>91.6</v>
      </c>
      <c r="BU37" s="56">
        <v>93.1</v>
      </c>
      <c r="BV37" s="56">
        <v>95.3</v>
      </c>
      <c r="BW37" s="56">
        <v>97.3</v>
      </c>
      <c r="BX37" s="56">
        <v>99.5</v>
      </c>
      <c r="BY37" s="56">
        <v>101.9</v>
      </c>
      <c r="BZ37" s="56">
        <v>104.2</v>
      </c>
      <c r="CA37" s="56">
        <v>107.3</v>
      </c>
      <c r="CB37" s="56">
        <v>111</v>
      </c>
      <c r="CC37" s="56">
        <v>114.8</v>
      </c>
      <c r="CD37" s="56">
        <v>118.8</v>
      </c>
      <c r="CE37" s="56">
        <v>124.2</v>
      </c>
      <c r="CF37" s="56">
        <v>130.30000000000001</v>
      </c>
      <c r="CG37" s="56">
        <v>137.4</v>
      </c>
      <c r="CH37" s="56">
        <v>141.5</v>
      </c>
      <c r="CI37" s="56">
        <v>152.19999999999999</v>
      </c>
      <c r="CJ37" s="56">
        <v>158.6</v>
      </c>
      <c r="CK37" s="56">
        <v>173.8</v>
      </c>
      <c r="CL37" s="56">
        <v>170.5</v>
      </c>
      <c r="CM37" s="56">
        <v>178.6</v>
      </c>
      <c r="CN37" s="56">
        <v>185.8</v>
      </c>
      <c r="CO37" s="56">
        <v>185</v>
      </c>
      <c r="CP37" s="56">
        <v>188.9</v>
      </c>
      <c r="CQ37" s="56">
        <v>189.7</v>
      </c>
      <c r="CR37" s="56">
        <v>200.6</v>
      </c>
      <c r="CS37" s="56">
        <v>201.7</v>
      </c>
      <c r="CT37" s="56">
        <v>203.6</v>
      </c>
      <c r="CU37" s="56">
        <v>203.9</v>
      </c>
      <c r="CV37" s="56">
        <v>203.7</v>
      </c>
      <c r="CW37" s="56">
        <v>215.7</v>
      </c>
      <c r="CX37" s="56">
        <v>220.4</v>
      </c>
      <c r="CY37" s="56">
        <v>220.7</v>
      </c>
      <c r="CZ37" s="56">
        <v>220.7</v>
      </c>
      <c r="DA37" s="56">
        <v>208.8</v>
      </c>
      <c r="DB37" s="56">
        <v>218.2</v>
      </c>
      <c r="DC37" s="56">
        <v>232.2</v>
      </c>
      <c r="DD37" s="56">
        <v>224.8</v>
      </c>
      <c r="DE37" s="56">
        <v>221.7</v>
      </c>
      <c r="DF37" s="56">
        <v>226</v>
      </c>
      <c r="DG37" s="56">
        <v>223.7</v>
      </c>
      <c r="DH37" s="56">
        <v>228</v>
      </c>
      <c r="DI37" s="56">
        <v>232.4</v>
      </c>
      <c r="DJ37" s="56">
        <v>232.1</v>
      </c>
      <c r="DK37" s="56">
        <v>235.3</v>
      </c>
      <c r="DL37" s="56">
        <v>233.9</v>
      </c>
      <c r="DM37" s="56">
        <v>241.7</v>
      </c>
      <c r="DN37" s="56">
        <v>247.8</v>
      </c>
      <c r="DO37" s="56">
        <v>246.4</v>
      </c>
      <c r="DP37" s="56">
        <v>255</v>
      </c>
      <c r="DQ37" s="56">
        <v>260.2</v>
      </c>
      <c r="DR37" s="56">
        <v>260.10000000000002</v>
      </c>
      <c r="DS37" s="56">
        <v>269.39999999999998</v>
      </c>
      <c r="DT37" s="56">
        <v>277.2</v>
      </c>
      <c r="DU37" s="56">
        <v>279.10000000000002</v>
      </c>
      <c r="DV37" s="56">
        <v>290.39999999999998</v>
      </c>
      <c r="DW37" s="56">
        <v>308</v>
      </c>
      <c r="DX37" s="56">
        <v>295.8</v>
      </c>
      <c r="DY37" s="56">
        <v>326</v>
      </c>
      <c r="DZ37" s="56">
        <v>326</v>
      </c>
      <c r="EA37" s="56">
        <v>326</v>
      </c>
      <c r="EB37" s="56">
        <v>334.7</v>
      </c>
      <c r="EC37" s="56">
        <v>345.4</v>
      </c>
      <c r="ED37" s="56">
        <v>347</v>
      </c>
      <c r="EE37" s="56">
        <v>348.3</v>
      </c>
      <c r="EF37" s="56">
        <v>361.8</v>
      </c>
      <c r="EG37" s="56">
        <v>357</v>
      </c>
      <c r="EH37" s="56">
        <v>376</v>
      </c>
      <c r="EI37" s="56">
        <v>387.1</v>
      </c>
      <c r="EJ37" s="56">
        <v>385.7</v>
      </c>
      <c r="EK37" s="56">
        <v>391</v>
      </c>
      <c r="EL37" s="56">
        <v>399.1</v>
      </c>
      <c r="EM37" s="56">
        <v>410</v>
      </c>
      <c r="EN37" s="56">
        <v>409.1</v>
      </c>
      <c r="EO37" s="56">
        <v>407.9</v>
      </c>
      <c r="EP37" s="56">
        <v>394</v>
      </c>
      <c r="EQ37" s="56">
        <v>399.2</v>
      </c>
      <c r="ER37" s="56">
        <v>414.4</v>
      </c>
      <c r="ES37" s="56">
        <v>408.1</v>
      </c>
      <c r="ET37" s="56">
        <v>440.1</v>
      </c>
      <c r="EU37" s="56">
        <v>423.7</v>
      </c>
      <c r="EV37" s="56">
        <v>429.9</v>
      </c>
      <c r="EW37" s="56">
        <v>442.3</v>
      </c>
      <c r="EX37" s="56">
        <v>446.3</v>
      </c>
      <c r="EY37" s="56">
        <v>456</v>
      </c>
      <c r="EZ37" s="56">
        <v>460</v>
      </c>
      <c r="FA37" s="56">
        <v>462.1</v>
      </c>
      <c r="FB37" s="56">
        <v>480.2</v>
      </c>
      <c r="FC37" s="56">
        <v>492</v>
      </c>
      <c r="FD37" s="56">
        <v>502.4</v>
      </c>
      <c r="FE37" s="56">
        <v>498.2</v>
      </c>
      <c r="FF37" s="56">
        <v>508.7</v>
      </c>
      <c r="FG37" s="56">
        <v>513</v>
      </c>
      <c r="FH37" s="56">
        <v>533.20000000000005</v>
      </c>
      <c r="FI37" s="56">
        <v>540.79999999999995</v>
      </c>
      <c r="FJ37" s="56">
        <v>544.4</v>
      </c>
      <c r="FK37" s="56">
        <v>534.70000000000005</v>
      </c>
      <c r="FL37" s="56">
        <v>520.70000000000005</v>
      </c>
      <c r="FM37" s="56">
        <v>522.9</v>
      </c>
      <c r="FN37" s="56">
        <v>523.9</v>
      </c>
      <c r="FO37" s="56">
        <v>544.4</v>
      </c>
      <c r="FP37" s="56">
        <v>542</v>
      </c>
      <c r="FQ37" s="56">
        <v>552.70000000000005</v>
      </c>
      <c r="FR37" s="56">
        <v>548.4</v>
      </c>
      <c r="FS37" s="56">
        <v>562.79999999999995</v>
      </c>
      <c r="FT37" s="56">
        <v>572.79999999999995</v>
      </c>
      <c r="FU37" s="56">
        <v>573.6</v>
      </c>
      <c r="FV37" s="56">
        <v>585.1</v>
      </c>
      <c r="FW37" s="56">
        <v>607.79999999999995</v>
      </c>
      <c r="FX37" s="56">
        <v>634.1</v>
      </c>
      <c r="FY37" s="56">
        <v>643.20000000000005</v>
      </c>
      <c r="FZ37" s="56">
        <v>652.20000000000005</v>
      </c>
      <c r="GA37" s="56">
        <v>667.3</v>
      </c>
      <c r="GB37" s="56">
        <v>670.2</v>
      </c>
      <c r="GC37" s="56">
        <v>671.5</v>
      </c>
      <c r="GD37" s="56">
        <v>679.9</v>
      </c>
      <c r="GE37" s="56">
        <v>688.5</v>
      </c>
      <c r="GF37" s="56">
        <v>697.2</v>
      </c>
      <c r="GG37" s="56">
        <v>706.6</v>
      </c>
      <c r="GH37" s="56">
        <v>705.1</v>
      </c>
      <c r="GI37" s="56">
        <v>702.3</v>
      </c>
      <c r="GJ37" s="56">
        <v>718</v>
      </c>
      <c r="GK37" s="56">
        <v>713.3</v>
      </c>
      <c r="GL37" s="56">
        <v>720.7</v>
      </c>
      <c r="GM37" s="56">
        <v>732.9</v>
      </c>
      <c r="GN37" s="56">
        <v>737.3</v>
      </c>
      <c r="GO37" s="56">
        <v>733.6</v>
      </c>
      <c r="GP37" s="56">
        <v>744.3</v>
      </c>
      <c r="GQ37" s="56">
        <v>762.3</v>
      </c>
      <c r="GR37" s="56">
        <v>772.2</v>
      </c>
      <c r="GS37" s="56">
        <v>772.1</v>
      </c>
      <c r="GT37" s="56">
        <v>760.8</v>
      </c>
      <c r="GU37" s="56">
        <v>811.3</v>
      </c>
      <c r="GV37" s="56">
        <v>850.3</v>
      </c>
      <c r="GW37" s="56">
        <v>840.3</v>
      </c>
      <c r="GX37" s="56">
        <v>869.7</v>
      </c>
      <c r="GY37" s="56">
        <v>913.8</v>
      </c>
      <c r="GZ37" s="56">
        <v>923.8</v>
      </c>
      <c r="HA37" s="56">
        <v>923.5</v>
      </c>
      <c r="HB37" s="56">
        <v>973.6</v>
      </c>
      <c r="HC37">
        <v>1010.5</v>
      </c>
      <c r="HD37">
        <v>1032.5999999999999</v>
      </c>
      <c r="HE37">
        <v>1096.5999999999999</v>
      </c>
      <c r="HF37">
        <v>1083.2</v>
      </c>
      <c r="HG37">
        <v>1111.0999999999999</v>
      </c>
      <c r="HH37">
        <v>1069.4000000000001</v>
      </c>
      <c r="HI37">
        <v>1061</v>
      </c>
      <c r="HJ37">
        <v>1113.5</v>
      </c>
      <c r="HK37">
        <v>1136.9000000000001</v>
      </c>
      <c r="HL37">
        <v>1154</v>
      </c>
      <c r="HM37">
        <v>1162.5</v>
      </c>
      <c r="HN37">
        <v>1184.8</v>
      </c>
    </row>
    <row r="38" spans="1:222" x14ac:dyDescent="0.25">
      <c r="A38" s="56" t="s">
        <v>2243</v>
      </c>
      <c r="B38" s="56">
        <v>129.9</v>
      </c>
      <c r="C38" s="56">
        <v>134.1</v>
      </c>
      <c r="D38" s="56">
        <v>140.1</v>
      </c>
      <c r="E38" s="56">
        <v>144.30000000000001</v>
      </c>
      <c r="F38" s="56">
        <v>149.1</v>
      </c>
      <c r="G38" s="56">
        <v>153.6</v>
      </c>
      <c r="H38" s="56">
        <v>156.9</v>
      </c>
      <c r="I38" s="56">
        <v>161</v>
      </c>
      <c r="J38" s="56">
        <v>165.7</v>
      </c>
      <c r="K38" s="56">
        <v>167.9</v>
      </c>
      <c r="L38" s="56">
        <v>172.5</v>
      </c>
      <c r="M38" s="56">
        <v>176.8</v>
      </c>
      <c r="N38" s="56">
        <v>181.7</v>
      </c>
      <c r="O38" s="56">
        <v>185.7</v>
      </c>
      <c r="P38" s="56">
        <v>190</v>
      </c>
      <c r="Q38" s="56">
        <v>195.9</v>
      </c>
      <c r="R38" s="56">
        <v>201.1</v>
      </c>
      <c r="S38" s="56">
        <v>210.1</v>
      </c>
      <c r="T38" s="56">
        <v>217</v>
      </c>
      <c r="U38" s="56">
        <v>223.7</v>
      </c>
      <c r="V38" s="56">
        <v>235.9</v>
      </c>
      <c r="W38" s="56">
        <v>240.3</v>
      </c>
      <c r="X38" s="56">
        <v>246.6</v>
      </c>
      <c r="Y38" s="56">
        <v>254.2</v>
      </c>
      <c r="Z38" s="56">
        <v>260.3</v>
      </c>
      <c r="AA38" s="56">
        <v>259.39999999999998</v>
      </c>
      <c r="AB38" s="56">
        <v>261.3</v>
      </c>
      <c r="AC38" s="56">
        <v>263.89999999999998</v>
      </c>
      <c r="AD38" s="56">
        <v>271.10000000000002</v>
      </c>
      <c r="AE38" s="56">
        <v>278.60000000000002</v>
      </c>
      <c r="AF38" s="56">
        <v>282.3</v>
      </c>
      <c r="AG38" s="56">
        <v>287.5</v>
      </c>
      <c r="AH38" s="56">
        <v>292.5</v>
      </c>
      <c r="AI38" s="56">
        <v>306</v>
      </c>
      <c r="AJ38" s="56">
        <v>313.5</v>
      </c>
      <c r="AK38" s="56">
        <v>320.5</v>
      </c>
      <c r="AL38" s="56">
        <v>323.2</v>
      </c>
      <c r="AM38" s="56">
        <v>333.2</v>
      </c>
      <c r="AN38" s="56">
        <v>344.8</v>
      </c>
      <c r="AO38" s="56">
        <v>356.1</v>
      </c>
      <c r="AP38" s="56">
        <v>367.6</v>
      </c>
      <c r="AQ38" s="56">
        <v>371.7</v>
      </c>
      <c r="AR38" s="56">
        <v>379.1</v>
      </c>
      <c r="AS38" s="56">
        <v>388.1</v>
      </c>
      <c r="AT38" s="56">
        <v>402.6</v>
      </c>
      <c r="AU38" s="56">
        <v>405.3</v>
      </c>
      <c r="AV38" s="56">
        <v>409.8</v>
      </c>
      <c r="AW38" s="56">
        <v>418.5</v>
      </c>
      <c r="AX38" s="56">
        <v>425.5</v>
      </c>
      <c r="AY38" s="56">
        <v>435.4</v>
      </c>
      <c r="AZ38" s="56">
        <v>443.4</v>
      </c>
      <c r="BA38" s="56">
        <v>452.9</v>
      </c>
      <c r="BB38" s="56">
        <v>461.9</v>
      </c>
      <c r="BC38" s="56">
        <v>467.5</v>
      </c>
      <c r="BD38" s="56">
        <v>476.7</v>
      </c>
      <c r="BE38" s="56">
        <v>482.1</v>
      </c>
      <c r="BF38" s="56">
        <v>495.1</v>
      </c>
      <c r="BG38" s="56">
        <v>505.9</v>
      </c>
      <c r="BH38" s="56">
        <v>518.29999999999995</v>
      </c>
      <c r="BI38" s="56">
        <v>529.29999999999995</v>
      </c>
      <c r="BJ38" s="56">
        <v>542.70000000000005</v>
      </c>
      <c r="BK38" s="56">
        <v>557.70000000000005</v>
      </c>
      <c r="BL38" s="56">
        <v>571.6</v>
      </c>
      <c r="BM38" s="56">
        <v>582.20000000000005</v>
      </c>
      <c r="BN38" s="56">
        <v>595.9</v>
      </c>
      <c r="BO38" s="56">
        <v>605.5</v>
      </c>
      <c r="BP38" s="56">
        <v>616.5</v>
      </c>
      <c r="BQ38" s="56">
        <v>626.29999999999995</v>
      </c>
      <c r="BR38" s="56">
        <v>637.79999999999995</v>
      </c>
      <c r="BS38" s="56">
        <v>646.9</v>
      </c>
      <c r="BT38" s="56">
        <v>656.4</v>
      </c>
      <c r="BU38" s="56">
        <v>668.1</v>
      </c>
      <c r="BV38" s="56">
        <v>678.6</v>
      </c>
      <c r="BW38" s="56">
        <v>693.1</v>
      </c>
      <c r="BX38" s="56">
        <v>703.2</v>
      </c>
      <c r="BY38" s="56">
        <v>720.1</v>
      </c>
      <c r="BZ38" s="56">
        <v>736.6</v>
      </c>
      <c r="CA38" s="56">
        <v>755.1</v>
      </c>
      <c r="CB38" s="56">
        <v>770.4</v>
      </c>
      <c r="CC38" s="56">
        <v>790</v>
      </c>
      <c r="CD38" s="56">
        <v>811.4</v>
      </c>
      <c r="CE38" s="56">
        <v>824.1</v>
      </c>
      <c r="CF38" s="56">
        <v>843.9</v>
      </c>
      <c r="CG38" s="56">
        <v>871</v>
      </c>
      <c r="CH38" s="56">
        <v>881.6</v>
      </c>
      <c r="CI38" s="56">
        <v>901.3</v>
      </c>
      <c r="CJ38" s="56">
        <v>919.2</v>
      </c>
      <c r="CK38" s="56">
        <v>947</v>
      </c>
      <c r="CL38" s="56">
        <v>959.3</v>
      </c>
      <c r="CM38" s="56">
        <v>975.2</v>
      </c>
      <c r="CN38" s="56">
        <v>988.2</v>
      </c>
      <c r="CO38" s="56">
        <v>991.3</v>
      </c>
      <c r="CP38" s="56">
        <v>1001.1</v>
      </c>
      <c r="CQ38" s="56">
        <v>1011.6</v>
      </c>
      <c r="CR38" s="56">
        <v>1028.0999999999999</v>
      </c>
      <c r="CS38" s="56">
        <v>1036.0999999999999</v>
      </c>
      <c r="CT38" s="56">
        <v>1046.5999999999999</v>
      </c>
      <c r="CU38" s="56">
        <v>1060.5</v>
      </c>
      <c r="CV38" s="56">
        <v>1077.4000000000001</v>
      </c>
      <c r="CW38" s="56">
        <v>1100.7</v>
      </c>
      <c r="CX38" s="56">
        <v>1118.5</v>
      </c>
      <c r="CY38" s="56">
        <v>1132.8</v>
      </c>
      <c r="CZ38" s="56">
        <v>1136.8</v>
      </c>
      <c r="DA38" s="56">
        <v>1131.2</v>
      </c>
      <c r="DB38" s="56">
        <v>1145.0999999999999</v>
      </c>
      <c r="DC38" s="56">
        <v>1171.4000000000001</v>
      </c>
      <c r="DD38" s="56">
        <v>1176</v>
      </c>
      <c r="DE38" s="56">
        <v>1192</v>
      </c>
      <c r="DF38" s="56">
        <v>1202.5</v>
      </c>
      <c r="DG38" s="56">
        <v>1209</v>
      </c>
      <c r="DH38" s="56">
        <v>1225.5</v>
      </c>
      <c r="DI38" s="56">
        <v>1243.5</v>
      </c>
      <c r="DJ38" s="56">
        <v>1250.5</v>
      </c>
      <c r="DK38" s="56">
        <v>1272.2</v>
      </c>
      <c r="DL38" s="56">
        <v>1290.9000000000001</v>
      </c>
      <c r="DM38" s="56">
        <v>1312.2</v>
      </c>
      <c r="DN38" s="56">
        <v>1338.9</v>
      </c>
      <c r="DO38" s="56">
        <v>1357.5</v>
      </c>
      <c r="DP38" s="56">
        <v>1388.2</v>
      </c>
      <c r="DQ38" s="56">
        <v>1417.2</v>
      </c>
      <c r="DR38" s="56">
        <v>1435.6</v>
      </c>
      <c r="DS38" s="56">
        <v>1453</v>
      </c>
      <c r="DT38" s="56">
        <v>1478</v>
      </c>
      <c r="DU38" s="56">
        <v>1507</v>
      </c>
      <c r="DV38" s="56">
        <v>1560.6</v>
      </c>
      <c r="DW38" s="56">
        <v>1617.6</v>
      </c>
      <c r="DX38" s="56">
        <v>1597.3</v>
      </c>
      <c r="DY38" s="56">
        <v>1656.2</v>
      </c>
      <c r="DZ38" s="56">
        <v>1677.3</v>
      </c>
      <c r="EA38" s="56">
        <v>1694.5</v>
      </c>
      <c r="EB38" s="56">
        <v>1724.4</v>
      </c>
      <c r="EC38" s="56">
        <v>1756.3</v>
      </c>
      <c r="ED38" s="56">
        <v>1781.7</v>
      </c>
      <c r="EE38" s="56">
        <v>1783.4</v>
      </c>
      <c r="EF38" s="56">
        <v>1811.7</v>
      </c>
      <c r="EG38" s="56">
        <v>1814.6</v>
      </c>
      <c r="EH38" s="56">
        <v>1843.6</v>
      </c>
      <c r="EI38" s="56">
        <v>1868.2</v>
      </c>
      <c r="EJ38" s="56">
        <v>1895.3</v>
      </c>
      <c r="EK38" s="56">
        <v>1903</v>
      </c>
      <c r="EL38" s="56">
        <v>1925.1</v>
      </c>
      <c r="EM38" s="56">
        <v>1952.9</v>
      </c>
      <c r="EN38" s="56">
        <v>1978</v>
      </c>
      <c r="EO38" s="56">
        <v>2024.5</v>
      </c>
      <c r="EP38" s="56">
        <v>2008</v>
      </c>
      <c r="EQ38" s="56">
        <v>2042.4</v>
      </c>
      <c r="ER38" s="56">
        <v>2078.5</v>
      </c>
      <c r="ES38" s="56">
        <v>2094.1999999999998</v>
      </c>
      <c r="ET38" s="56">
        <v>2165.9</v>
      </c>
      <c r="EU38" s="56">
        <v>2182.4</v>
      </c>
      <c r="EV38" s="56">
        <v>2205.9</v>
      </c>
      <c r="EW38" s="56">
        <v>2242.1</v>
      </c>
      <c r="EX38" s="56">
        <v>2256.4</v>
      </c>
      <c r="EY38" s="56">
        <v>2293.3000000000002</v>
      </c>
      <c r="EZ38" s="56">
        <v>2337.8000000000002</v>
      </c>
      <c r="FA38" s="56">
        <v>2337.1999999999998</v>
      </c>
      <c r="FB38" s="56">
        <v>2371.5</v>
      </c>
      <c r="FC38" s="56">
        <v>2419.8000000000002</v>
      </c>
      <c r="FD38" s="56">
        <v>2446.9</v>
      </c>
      <c r="FE38" s="56">
        <v>2444.5</v>
      </c>
      <c r="FF38" s="56">
        <v>2439.1</v>
      </c>
      <c r="FG38" s="56">
        <v>2443.1</v>
      </c>
      <c r="FH38" s="56">
        <v>2451.4</v>
      </c>
      <c r="FI38" s="56">
        <v>2452.3000000000002</v>
      </c>
      <c r="FJ38" s="56">
        <v>2451.4</v>
      </c>
      <c r="FK38" s="56">
        <v>2445</v>
      </c>
      <c r="FL38" s="56">
        <v>2423.3000000000002</v>
      </c>
      <c r="FM38" s="56">
        <v>2417.9</v>
      </c>
      <c r="FN38" s="56">
        <v>2431.3000000000002</v>
      </c>
      <c r="FO38" s="56">
        <v>2447.1999999999998</v>
      </c>
      <c r="FP38" s="56">
        <v>2448.6</v>
      </c>
      <c r="FQ38" s="56">
        <v>2475.8000000000002</v>
      </c>
      <c r="FR38" s="56">
        <v>2483.9</v>
      </c>
      <c r="FS38" s="56">
        <v>2506.1999999999998</v>
      </c>
      <c r="FT38" s="56">
        <v>2526.9</v>
      </c>
      <c r="FU38" s="56">
        <v>2529.9</v>
      </c>
      <c r="FV38" s="56">
        <v>2540.3000000000002</v>
      </c>
      <c r="FW38" s="56">
        <v>2577.6</v>
      </c>
      <c r="FX38" s="56">
        <v>2619.9</v>
      </c>
      <c r="FY38" s="56">
        <v>2643.5</v>
      </c>
      <c r="FZ38" s="56">
        <v>2650.2</v>
      </c>
      <c r="GA38" s="56">
        <v>2706.1</v>
      </c>
      <c r="GB38" s="56">
        <v>2730.1</v>
      </c>
      <c r="GC38" s="56">
        <v>2731.2</v>
      </c>
      <c r="GD38" s="56">
        <v>2755.7</v>
      </c>
      <c r="GE38" s="56">
        <v>2784.2</v>
      </c>
      <c r="GF38" s="56">
        <v>2809.5</v>
      </c>
      <c r="GG38" s="56">
        <v>2835</v>
      </c>
      <c r="GH38" s="56">
        <v>2849.2</v>
      </c>
      <c r="GI38" s="56">
        <v>2851.8</v>
      </c>
      <c r="GJ38" s="56">
        <v>2892.4</v>
      </c>
      <c r="GK38" s="56">
        <v>2918.9</v>
      </c>
      <c r="GL38" s="56">
        <v>2940.4</v>
      </c>
      <c r="GM38" s="56">
        <v>2985</v>
      </c>
      <c r="GN38" s="56">
        <v>3020.2</v>
      </c>
      <c r="GO38" s="56">
        <v>3027</v>
      </c>
      <c r="GP38" s="56">
        <v>3069.1</v>
      </c>
      <c r="GQ38" s="56">
        <v>3141.9</v>
      </c>
      <c r="GR38" s="56">
        <v>3185.2</v>
      </c>
      <c r="GS38" s="56">
        <v>3217.2</v>
      </c>
      <c r="GT38" s="56">
        <v>3255.1</v>
      </c>
      <c r="GU38" s="56">
        <v>3273.8</v>
      </c>
      <c r="GV38" s="56">
        <v>3321.8</v>
      </c>
      <c r="GW38" s="56">
        <v>3321.3</v>
      </c>
      <c r="GX38" s="56">
        <v>3391.7</v>
      </c>
      <c r="GY38" s="56">
        <v>3467.1</v>
      </c>
      <c r="GZ38" s="56">
        <v>3507.6</v>
      </c>
      <c r="HA38" s="56">
        <v>3518.9</v>
      </c>
      <c r="HB38" s="56">
        <v>3599.4</v>
      </c>
      <c r="HC38">
        <v>3703.4</v>
      </c>
      <c r="HD38">
        <v>3749.1</v>
      </c>
      <c r="HE38">
        <v>3838.5</v>
      </c>
      <c r="HF38">
        <v>3861.7</v>
      </c>
      <c r="HG38">
        <v>3911.8</v>
      </c>
      <c r="HH38">
        <v>3944.8</v>
      </c>
      <c r="HI38">
        <v>3975.3</v>
      </c>
      <c r="HJ38">
        <v>4067.2</v>
      </c>
      <c r="HK38">
        <v>4111.1000000000004</v>
      </c>
      <c r="HL38">
        <v>4161.6000000000004</v>
      </c>
      <c r="HM38">
        <v>4201.3999999999996</v>
      </c>
      <c r="HN38">
        <v>4245.8999999999996</v>
      </c>
    </row>
    <row r="39" spans="1:222" x14ac:dyDescent="0.25">
      <c r="A39" s="56" t="s">
        <v>2244</v>
      </c>
      <c r="B39" s="56"/>
      <c r="C39" s="56"/>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v>78.072000000000003</v>
      </c>
      <c r="CQ39" s="56">
        <v>80.831000000000003</v>
      </c>
      <c r="CR39" s="56">
        <v>85.251000000000005</v>
      </c>
      <c r="CS39" s="56">
        <v>88.177999999999997</v>
      </c>
      <c r="CT39" s="56">
        <v>84.001999999999995</v>
      </c>
      <c r="CU39" s="56">
        <v>86.254999999999995</v>
      </c>
      <c r="CV39" s="56">
        <v>87.977999999999994</v>
      </c>
      <c r="CW39" s="56">
        <v>89.828999999999994</v>
      </c>
      <c r="CX39" s="56">
        <v>95.218000000000004</v>
      </c>
      <c r="CY39" s="56">
        <v>94.483999999999995</v>
      </c>
      <c r="CZ39" s="56">
        <v>93.858000000000004</v>
      </c>
      <c r="DA39" s="56">
        <v>92.180999999999997</v>
      </c>
      <c r="DB39" s="56">
        <v>94.539000000000001</v>
      </c>
      <c r="DC39" s="56">
        <v>102.461</v>
      </c>
      <c r="DD39" s="56">
        <v>99.671999999999997</v>
      </c>
      <c r="DE39" s="56">
        <v>97.608999999999995</v>
      </c>
      <c r="DF39" s="56">
        <v>98.691000000000003</v>
      </c>
      <c r="DG39" s="56">
        <v>98.641999999999996</v>
      </c>
      <c r="DH39" s="56">
        <v>101.001</v>
      </c>
      <c r="DI39" s="56">
        <v>105.738</v>
      </c>
      <c r="DJ39" s="56">
        <v>103.992</v>
      </c>
      <c r="DK39" s="56">
        <v>106.28700000000001</v>
      </c>
      <c r="DL39" s="56">
        <v>106.646</v>
      </c>
      <c r="DM39" s="56">
        <v>110.762</v>
      </c>
      <c r="DN39" s="56">
        <v>114.027</v>
      </c>
      <c r="DO39" s="56">
        <v>113.559</v>
      </c>
      <c r="DP39" s="56">
        <v>120.524</v>
      </c>
      <c r="DQ39" s="56">
        <v>121.904</v>
      </c>
      <c r="DR39" s="56">
        <v>121.898</v>
      </c>
      <c r="DS39" s="56">
        <v>123.319</v>
      </c>
      <c r="DT39" s="56">
        <v>133.626</v>
      </c>
      <c r="DU39" s="56">
        <v>129.62200000000001</v>
      </c>
      <c r="DV39" s="56">
        <v>138.71600000000001</v>
      </c>
      <c r="DW39" s="56">
        <v>145.774</v>
      </c>
      <c r="DX39" s="56">
        <v>143.21899999999999</v>
      </c>
      <c r="DY39" s="56">
        <v>153.809</v>
      </c>
      <c r="DZ39" s="56">
        <v>156.084</v>
      </c>
      <c r="EA39" s="56">
        <v>157.45500000000001</v>
      </c>
      <c r="EB39" s="56">
        <v>164.01</v>
      </c>
      <c r="EC39" s="56">
        <v>166.934</v>
      </c>
      <c r="ED39" s="56">
        <v>165.90600000000001</v>
      </c>
      <c r="EE39" s="56">
        <v>171.10599999999999</v>
      </c>
      <c r="EF39" s="56">
        <v>186.792</v>
      </c>
      <c r="EG39" s="56">
        <v>182.54300000000001</v>
      </c>
      <c r="EH39" s="56">
        <v>190.07</v>
      </c>
      <c r="EI39" s="56">
        <v>194.96299999999999</v>
      </c>
      <c r="EJ39" s="56">
        <v>186.476</v>
      </c>
      <c r="EK39" s="56">
        <v>191.75200000000001</v>
      </c>
      <c r="EL39" s="56">
        <v>199.036</v>
      </c>
      <c r="EM39" s="56">
        <v>200.24600000000001</v>
      </c>
      <c r="EN39" s="56">
        <v>195.23099999999999</v>
      </c>
      <c r="EO39" s="56">
        <v>197.352</v>
      </c>
      <c r="EP39" s="56">
        <v>191.74700000000001</v>
      </c>
      <c r="EQ39" s="56">
        <v>189.018</v>
      </c>
      <c r="ER39" s="56">
        <v>197.488</v>
      </c>
      <c r="ES39" s="56">
        <v>189.083</v>
      </c>
      <c r="ET39" s="56">
        <v>209.34700000000001</v>
      </c>
      <c r="EU39" s="56">
        <v>201.38300000000001</v>
      </c>
      <c r="EV39" s="56">
        <v>204.31800000000001</v>
      </c>
      <c r="EW39" s="56">
        <v>206.11</v>
      </c>
      <c r="EX39" s="56">
        <v>209.60300000000001</v>
      </c>
      <c r="EY39" s="56">
        <v>216.57</v>
      </c>
      <c r="EZ39" s="56">
        <v>213.01599999999999</v>
      </c>
      <c r="FA39" s="56">
        <v>217.49100000000001</v>
      </c>
      <c r="FB39" s="56">
        <v>266.40699999999998</v>
      </c>
      <c r="FC39" s="56">
        <v>284.52600000000001</v>
      </c>
      <c r="FD39" s="56">
        <v>273.90300000000002</v>
      </c>
      <c r="FE39" s="56">
        <v>272.34500000000003</v>
      </c>
      <c r="FF39" s="56">
        <v>283.26799999999997</v>
      </c>
      <c r="FG39" s="56">
        <v>290.80799999999999</v>
      </c>
      <c r="FH39" s="56">
        <v>297.13</v>
      </c>
      <c r="FI39" s="56">
        <v>309.66800000000001</v>
      </c>
      <c r="FJ39" s="56">
        <v>293.83999999999997</v>
      </c>
      <c r="FK39" s="56">
        <v>288.89999999999998</v>
      </c>
      <c r="FL39" s="56">
        <v>248.81299999999999</v>
      </c>
      <c r="FM39" s="56">
        <v>249.625</v>
      </c>
      <c r="FN39" s="56">
        <v>258.161</v>
      </c>
      <c r="FO39" s="56">
        <v>273.39</v>
      </c>
      <c r="FP39" s="56">
        <v>263.07900000000001</v>
      </c>
      <c r="FQ39" s="56">
        <v>269.70999999999998</v>
      </c>
      <c r="FR39" s="56">
        <v>272.06299999999999</v>
      </c>
      <c r="FS39" s="56">
        <v>283.40800000000002</v>
      </c>
      <c r="FT39" s="56">
        <v>281.45499999999998</v>
      </c>
      <c r="FU39" s="56">
        <v>282.10700000000003</v>
      </c>
      <c r="FV39" s="56">
        <v>303.39</v>
      </c>
      <c r="FW39" s="56">
        <v>320.01499999999999</v>
      </c>
      <c r="FX39" s="56">
        <v>343.69200000000001</v>
      </c>
      <c r="FY39" s="56">
        <v>345.71199999999999</v>
      </c>
      <c r="FZ39" s="56">
        <v>362.79199999999997</v>
      </c>
      <c r="GA39" s="56">
        <v>363.41</v>
      </c>
      <c r="GB39" s="56">
        <v>365.38400000000001</v>
      </c>
      <c r="GC39" s="56">
        <v>384.03199999999998</v>
      </c>
      <c r="GD39" s="56">
        <v>378.24599999999998</v>
      </c>
      <c r="GE39" s="56">
        <v>382.36700000000002</v>
      </c>
      <c r="GF39" s="56">
        <v>396.21600000000001</v>
      </c>
      <c r="GG39" s="56">
        <v>408.32299999999998</v>
      </c>
      <c r="GH39" s="56">
        <v>396.16199999999998</v>
      </c>
      <c r="GI39" s="56">
        <v>373.916</v>
      </c>
      <c r="GJ39" s="56">
        <v>396.06599999999997</v>
      </c>
      <c r="GK39" s="56">
        <v>401.38499999999999</v>
      </c>
      <c r="GL39" s="56">
        <v>411.488</v>
      </c>
      <c r="GM39" s="56">
        <v>404.339</v>
      </c>
      <c r="GN39" s="56">
        <v>411.95499999999998</v>
      </c>
      <c r="GO39" s="56">
        <v>412.702</v>
      </c>
      <c r="GP39" s="56">
        <v>427.00200000000001</v>
      </c>
      <c r="GQ39" s="56">
        <v>436.45400000000001</v>
      </c>
      <c r="GR39" s="56">
        <v>437.673</v>
      </c>
      <c r="GS39" s="56">
        <v>439.75400000000002</v>
      </c>
      <c r="GT39" s="56">
        <v>445.96899999999999</v>
      </c>
      <c r="GU39" s="56">
        <v>580.00900000000001</v>
      </c>
      <c r="GV39" s="56">
        <v>532.596</v>
      </c>
      <c r="GW39" s="56">
        <v>548.31500000000005</v>
      </c>
      <c r="GX39" s="56">
        <v>537.87199999999996</v>
      </c>
      <c r="GY39" s="56">
        <v>552.75199999999995</v>
      </c>
      <c r="GZ39" s="56">
        <v>583.20100000000002</v>
      </c>
      <c r="HA39" s="56">
        <v>617.22900000000004</v>
      </c>
      <c r="HB39" s="56">
        <v>633.91999999999996</v>
      </c>
      <c r="HC39">
        <v>630.31700000000001</v>
      </c>
      <c r="HD39">
        <v>648.99599999999998</v>
      </c>
      <c r="HE39">
        <v>647.52599999999995</v>
      </c>
      <c r="HF39">
        <v>665.99900000000002</v>
      </c>
      <c r="HG39">
        <v>661.47299999999996</v>
      </c>
      <c r="HH39">
        <v>617.13900000000001</v>
      </c>
      <c r="HI39">
        <v>643.48</v>
      </c>
      <c r="HJ39">
        <v>651.15800000000002</v>
      </c>
      <c r="HK39">
        <v>660.255</v>
      </c>
      <c r="HL39">
        <v>673.4</v>
      </c>
      <c r="HM39">
        <v>689.81600000000003</v>
      </c>
      <c r="HN39">
        <v>679.93299999999999</v>
      </c>
    </row>
    <row r="40" spans="1:222" x14ac:dyDescent="0.25">
      <c r="A40" s="56" t="s">
        <v>2245</v>
      </c>
      <c r="B40" s="56"/>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v>73.888000000000005</v>
      </c>
      <c r="CQ40" s="56">
        <v>76.036000000000001</v>
      </c>
      <c r="CR40" s="56">
        <v>80.603999999999999</v>
      </c>
      <c r="CS40" s="56">
        <v>84.1</v>
      </c>
      <c r="CT40" s="56">
        <v>78.947999999999993</v>
      </c>
      <c r="CU40" s="56">
        <v>81.772000000000006</v>
      </c>
      <c r="CV40" s="56">
        <v>82.891999999999996</v>
      </c>
      <c r="CW40" s="56">
        <v>85.54</v>
      </c>
      <c r="CX40" s="56">
        <v>90.524000000000001</v>
      </c>
      <c r="CY40" s="56">
        <v>90.54</v>
      </c>
      <c r="CZ40" s="56">
        <v>89.28</v>
      </c>
      <c r="DA40" s="56">
        <v>87.567999999999998</v>
      </c>
      <c r="DB40" s="56">
        <v>88.772000000000006</v>
      </c>
      <c r="DC40" s="56">
        <v>96.376000000000005</v>
      </c>
      <c r="DD40" s="56">
        <v>94.872</v>
      </c>
      <c r="DE40" s="56">
        <v>93.891999999999996</v>
      </c>
      <c r="DF40" s="56">
        <v>95.98</v>
      </c>
      <c r="DG40" s="56">
        <v>94.924000000000007</v>
      </c>
      <c r="DH40" s="56">
        <v>97.108000000000004</v>
      </c>
      <c r="DI40" s="56">
        <v>101.384</v>
      </c>
      <c r="DJ40" s="56">
        <v>99.444000000000003</v>
      </c>
      <c r="DK40" s="56">
        <v>101.608</v>
      </c>
      <c r="DL40" s="56">
        <v>102.26</v>
      </c>
      <c r="DM40" s="56">
        <v>103.952</v>
      </c>
      <c r="DN40" s="56">
        <v>107.1</v>
      </c>
      <c r="DO40" s="56">
        <v>107.208</v>
      </c>
      <c r="DP40" s="56">
        <v>113.428</v>
      </c>
      <c r="DQ40" s="56">
        <v>114.62</v>
      </c>
      <c r="DR40" s="56">
        <v>114.852</v>
      </c>
      <c r="DS40" s="56">
        <v>116.16800000000001</v>
      </c>
      <c r="DT40" s="56">
        <v>125.392</v>
      </c>
      <c r="DU40" s="56">
        <v>121.748</v>
      </c>
      <c r="DV40" s="56">
        <v>129.38800000000001</v>
      </c>
      <c r="DW40" s="56">
        <v>132.12799999999999</v>
      </c>
      <c r="DX40" s="56">
        <v>133.364</v>
      </c>
      <c r="DY40" s="56">
        <v>143.65199999999999</v>
      </c>
      <c r="DZ40" s="56">
        <v>145.547</v>
      </c>
      <c r="EA40" s="56">
        <v>146.352</v>
      </c>
      <c r="EB40" s="56">
        <v>152.89599999999999</v>
      </c>
      <c r="EC40" s="56">
        <v>155.30699999999999</v>
      </c>
      <c r="ED40" s="56">
        <v>154.37799999999999</v>
      </c>
      <c r="EE40" s="56">
        <v>158.02000000000001</v>
      </c>
      <c r="EF40" s="56">
        <v>174.22900000000001</v>
      </c>
      <c r="EG40" s="56">
        <v>170.506</v>
      </c>
      <c r="EH40" s="56">
        <v>177.77199999999999</v>
      </c>
      <c r="EI40" s="56">
        <v>182.69200000000001</v>
      </c>
      <c r="EJ40" s="56">
        <v>173.33</v>
      </c>
      <c r="EK40" s="56">
        <v>177.28200000000001</v>
      </c>
      <c r="EL40" s="56">
        <v>183.90799999999999</v>
      </c>
      <c r="EM40" s="56">
        <v>185.81800000000001</v>
      </c>
      <c r="EN40" s="56">
        <v>179.68299999999999</v>
      </c>
      <c r="EO40" s="56">
        <v>182.94399999999999</v>
      </c>
      <c r="EP40" s="56">
        <v>175.95599999999999</v>
      </c>
      <c r="EQ40" s="56">
        <v>176.53</v>
      </c>
      <c r="ER40" s="56">
        <v>186.733</v>
      </c>
      <c r="ES40" s="56">
        <v>177.65899999999999</v>
      </c>
      <c r="ET40" s="56">
        <v>200.21799999999999</v>
      </c>
      <c r="EU40" s="56">
        <v>190.602</v>
      </c>
      <c r="EV40" s="56">
        <v>194.11099999999999</v>
      </c>
      <c r="EW40" s="56">
        <v>196.02799999999999</v>
      </c>
      <c r="EX40" s="56">
        <v>200.29400000000001</v>
      </c>
      <c r="EY40" s="56">
        <v>203.79400000000001</v>
      </c>
      <c r="EZ40" s="56">
        <v>205.059</v>
      </c>
      <c r="FA40" s="56">
        <v>208.505</v>
      </c>
      <c r="FB40" s="56">
        <v>256.94400000000002</v>
      </c>
      <c r="FC40" s="56">
        <v>274.66399999999999</v>
      </c>
      <c r="FD40" s="56">
        <v>263.92399999999998</v>
      </c>
      <c r="FE40" s="56">
        <v>261.94400000000002</v>
      </c>
      <c r="FF40" s="56">
        <v>271.84399999999999</v>
      </c>
      <c r="FG40" s="56">
        <v>272.45600000000002</v>
      </c>
      <c r="FH40" s="56">
        <v>283.69099999999997</v>
      </c>
      <c r="FI40" s="56">
        <v>297.60899999999998</v>
      </c>
      <c r="FJ40" s="56">
        <v>282.44499999999999</v>
      </c>
      <c r="FK40" s="56">
        <v>277.19600000000003</v>
      </c>
      <c r="FL40" s="56">
        <v>237.739</v>
      </c>
      <c r="FM40" s="56">
        <v>239.291</v>
      </c>
      <c r="FN40" s="56">
        <v>246.24799999999999</v>
      </c>
      <c r="FO40" s="56">
        <v>262.32400000000001</v>
      </c>
      <c r="FP40" s="56">
        <v>250.54</v>
      </c>
      <c r="FQ40" s="56">
        <v>259.56200000000001</v>
      </c>
      <c r="FR40" s="56">
        <v>258.45</v>
      </c>
      <c r="FS40" s="56">
        <v>270.887</v>
      </c>
      <c r="FT40" s="56">
        <v>269.279</v>
      </c>
      <c r="FU40" s="56">
        <v>269.98200000000003</v>
      </c>
      <c r="FV40" s="56">
        <v>291.58999999999997</v>
      </c>
      <c r="FW40" s="56">
        <v>307.77499999999998</v>
      </c>
      <c r="FX40" s="56">
        <v>332.4</v>
      </c>
      <c r="FY40" s="56">
        <v>335.61099999999999</v>
      </c>
      <c r="FZ40" s="56">
        <v>352.18799999999999</v>
      </c>
      <c r="GA40" s="56">
        <v>353.44200000000001</v>
      </c>
      <c r="GB40" s="56">
        <v>352.90899999999999</v>
      </c>
      <c r="GC40" s="56">
        <v>366.274</v>
      </c>
      <c r="GD40" s="56">
        <v>360.221</v>
      </c>
      <c r="GE40" s="56">
        <v>363.84399999999999</v>
      </c>
      <c r="GF40" s="56">
        <v>377.96699999999998</v>
      </c>
      <c r="GG40" s="56">
        <v>388.17599999999999</v>
      </c>
      <c r="GH40" s="56">
        <v>376.56400000000002</v>
      </c>
      <c r="GI40" s="56">
        <v>354.404</v>
      </c>
      <c r="GJ40" s="56">
        <v>375.43799999999999</v>
      </c>
      <c r="GK40" s="56">
        <v>382.68</v>
      </c>
      <c r="GL40" s="56">
        <v>389.90100000000001</v>
      </c>
      <c r="GM40" s="56">
        <v>385.517</v>
      </c>
      <c r="GN40" s="56">
        <v>390.85199999999998</v>
      </c>
      <c r="GO40" s="56">
        <v>391.92099999999999</v>
      </c>
      <c r="GP40" s="56">
        <v>405.36799999999999</v>
      </c>
      <c r="GQ40" s="56">
        <v>414.19600000000003</v>
      </c>
      <c r="GR40" s="56">
        <v>418.68599999999998</v>
      </c>
      <c r="GS40" s="56">
        <v>416.185</v>
      </c>
      <c r="GT40" s="56">
        <v>422.89</v>
      </c>
      <c r="GU40" s="56">
        <v>502.90600000000001</v>
      </c>
      <c r="GV40" s="56">
        <v>484.48</v>
      </c>
      <c r="GW40" s="56">
        <v>509.88400000000001</v>
      </c>
      <c r="GX40" s="56">
        <v>499.42899999999997</v>
      </c>
      <c r="GY40" s="56">
        <v>520.79</v>
      </c>
      <c r="GZ40" s="56">
        <v>545.32600000000002</v>
      </c>
      <c r="HA40" s="56">
        <v>567.61</v>
      </c>
      <c r="HB40" s="56">
        <v>589.92700000000002</v>
      </c>
      <c r="HC40">
        <v>585.74599999999998</v>
      </c>
      <c r="HD40">
        <v>617.88900000000001</v>
      </c>
      <c r="HE40">
        <v>611.67999999999995</v>
      </c>
      <c r="HF40">
        <v>632.66</v>
      </c>
      <c r="HG40">
        <v>628.88699999999994</v>
      </c>
      <c r="HH40">
        <v>585.98400000000004</v>
      </c>
      <c r="HI40">
        <v>612.03399999999999</v>
      </c>
      <c r="HJ40">
        <v>618.72699999999998</v>
      </c>
      <c r="HK40">
        <v>628.15700000000004</v>
      </c>
      <c r="HL40">
        <v>641.23699999999997</v>
      </c>
      <c r="HM40">
        <v>655.17499999999995</v>
      </c>
      <c r="HN40">
        <v>647.03</v>
      </c>
    </row>
    <row r="41" spans="1:222" x14ac:dyDescent="0.25">
      <c r="A41" s="56" t="s">
        <v>2246</v>
      </c>
      <c r="B41" s="56">
        <v>5.5759999999999996</v>
      </c>
      <c r="C41" s="56">
        <v>5.2279999999999998</v>
      </c>
      <c r="D41" s="56">
        <v>4.8159999999999998</v>
      </c>
      <c r="E41" s="56">
        <v>4.9000000000000004</v>
      </c>
      <c r="F41" s="56">
        <v>5.4640000000000004</v>
      </c>
      <c r="G41" s="56">
        <v>6.3120000000000003</v>
      </c>
      <c r="H41" s="56">
        <v>5.7560000000000002</v>
      </c>
      <c r="I41" s="56">
        <v>5.6440000000000001</v>
      </c>
      <c r="J41" s="56">
        <v>5.6680000000000001</v>
      </c>
      <c r="K41" s="56">
        <v>5.2160000000000002</v>
      </c>
      <c r="L41" s="56">
        <v>6.7240000000000002</v>
      </c>
      <c r="M41" s="56">
        <v>5.7</v>
      </c>
      <c r="N41" s="56">
        <v>5.74</v>
      </c>
      <c r="O41" s="56">
        <v>6.2080000000000002</v>
      </c>
      <c r="P41" s="56">
        <v>5.3440000000000003</v>
      </c>
      <c r="Q41" s="56">
        <v>5.92</v>
      </c>
      <c r="R41" s="56">
        <v>7.76</v>
      </c>
      <c r="S41" s="56">
        <v>8.5719999999999992</v>
      </c>
      <c r="T41" s="56">
        <v>6.4960000000000004</v>
      </c>
      <c r="U41" s="56">
        <v>7.84</v>
      </c>
      <c r="V41" s="56">
        <v>8.6519999999999992</v>
      </c>
      <c r="W41" s="56">
        <v>7.8040000000000003</v>
      </c>
      <c r="X41" s="56">
        <v>10.772</v>
      </c>
      <c r="Y41" s="56">
        <v>10.423999999999999</v>
      </c>
      <c r="Z41" s="56">
        <v>10.012</v>
      </c>
      <c r="AA41" s="56">
        <v>9.76</v>
      </c>
      <c r="AB41" s="56">
        <v>10.592000000000001</v>
      </c>
      <c r="AC41" s="56">
        <v>11.108000000000001</v>
      </c>
      <c r="AD41" s="56">
        <v>10.715999999999999</v>
      </c>
      <c r="AE41" s="56">
        <v>10.651999999999999</v>
      </c>
      <c r="AF41" s="56">
        <v>11.804</v>
      </c>
      <c r="AG41" s="56">
        <v>10.7</v>
      </c>
      <c r="AH41" s="56">
        <v>10.968</v>
      </c>
      <c r="AI41" s="56">
        <v>11.528</v>
      </c>
      <c r="AJ41" s="56">
        <v>11.907999999999999</v>
      </c>
      <c r="AK41" s="56">
        <v>12.528</v>
      </c>
      <c r="AL41" s="56">
        <v>13.592000000000001</v>
      </c>
      <c r="AM41" s="56">
        <v>13.048</v>
      </c>
      <c r="AN41" s="56">
        <v>14.292</v>
      </c>
      <c r="AO41" s="56">
        <v>15.752000000000001</v>
      </c>
      <c r="AP41" s="56">
        <v>16.260000000000002</v>
      </c>
      <c r="AQ41" s="56">
        <v>16.536000000000001</v>
      </c>
      <c r="AR41" s="56">
        <v>15.916</v>
      </c>
      <c r="AS41" s="56">
        <v>16.628</v>
      </c>
      <c r="AT41" s="56">
        <v>16.091999999999999</v>
      </c>
      <c r="AU41" s="56">
        <v>15.715999999999999</v>
      </c>
      <c r="AV41" s="56">
        <v>14.827999999999999</v>
      </c>
      <c r="AW41" s="56">
        <v>15.012</v>
      </c>
      <c r="AX41" s="56">
        <v>13.852</v>
      </c>
      <c r="AY41" s="56">
        <v>14.552</v>
      </c>
      <c r="AZ41" s="56">
        <v>14.544</v>
      </c>
      <c r="BA41" s="56">
        <v>14.484</v>
      </c>
      <c r="BB41" s="56">
        <v>15.9</v>
      </c>
      <c r="BC41" s="56">
        <v>14.2</v>
      </c>
      <c r="BD41" s="56">
        <v>15.904</v>
      </c>
      <c r="BE41" s="56">
        <v>15.768000000000001</v>
      </c>
      <c r="BF41" s="56">
        <v>16.556000000000001</v>
      </c>
      <c r="BG41" s="56">
        <v>17.236000000000001</v>
      </c>
      <c r="BH41" s="56">
        <v>18.091999999999999</v>
      </c>
      <c r="BI41" s="56">
        <v>18.824000000000002</v>
      </c>
      <c r="BJ41" s="56">
        <v>17.044</v>
      </c>
      <c r="BK41" s="56">
        <v>19.408000000000001</v>
      </c>
      <c r="BL41" s="56">
        <v>20.036000000000001</v>
      </c>
      <c r="BM41" s="56">
        <v>21.184000000000001</v>
      </c>
      <c r="BN41" s="56">
        <v>19.72</v>
      </c>
      <c r="BO41" s="56">
        <v>20.556000000000001</v>
      </c>
      <c r="BP41" s="56">
        <v>21.283999999999999</v>
      </c>
      <c r="BQ41" s="56">
        <v>18.32</v>
      </c>
      <c r="BR41" s="56">
        <v>18.760000000000002</v>
      </c>
      <c r="BS41" s="56">
        <v>19.559999999999999</v>
      </c>
      <c r="BT41" s="56">
        <v>18.827999999999999</v>
      </c>
      <c r="BU41" s="56">
        <v>18.696000000000002</v>
      </c>
      <c r="BV41" s="56">
        <v>18.972000000000001</v>
      </c>
      <c r="BW41" s="56">
        <v>19.835999999999999</v>
      </c>
      <c r="BX41" s="56">
        <v>20.388000000000002</v>
      </c>
      <c r="BY41" s="56">
        <v>19.283999999999999</v>
      </c>
      <c r="BZ41" s="56">
        <v>20.192</v>
      </c>
      <c r="CA41" s="56">
        <v>19.936</v>
      </c>
      <c r="CB41" s="56">
        <v>18.832000000000001</v>
      </c>
      <c r="CC41" s="56">
        <v>20.492000000000001</v>
      </c>
      <c r="CD41" s="56">
        <v>21.448</v>
      </c>
      <c r="CE41" s="56">
        <v>20.184000000000001</v>
      </c>
      <c r="CF41" s="56">
        <v>20.507999999999999</v>
      </c>
      <c r="CG41" s="56">
        <v>21.187999999999999</v>
      </c>
      <c r="CH41" s="56">
        <v>21.552</v>
      </c>
      <c r="CI41" s="56">
        <v>21.611999999999998</v>
      </c>
      <c r="CJ41" s="56">
        <v>21.056000000000001</v>
      </c>
      <c r="CK41" s="56">
        <v>20.611999999999998</v>
      </c>
      <c r="CL41" s="56">
        <v>21.388000000000002</v>
      </c>
      <c r="CM41" s="56">
        <v>22.8</v>
      </c>
      <c r="CN41" s="56">
        <v>22.288</v>
      </c>
      <c r="CO41" s="56">
        <v>23.064</v>
      </c>
      <c r="CP41" s="56">
        <v>21.783999999999999</v>
      </c>
      <c r="CQ41" s="56">
        <v>22.472000000000001</v>
      </c>
      <c r="CR41" s="56">
        <v>24.884</v>
      </c>
      <c r="CS41" s="56">
        <v>24.763999999999999</v>
      </c>
      <c r="CT41" s="56">
        <v>23.632000000000001</v>
      </c>
      <c r="CU41" s="56">
        <v>23.952000000000002</v>
      </c>
      <c r="CV41" s="56">
        <v>25.152000000000001</v>
      </c>
      <c r="CW41" s="56">
        <v>26.475999999999999</v>
      </c>
      <c r="CX41" s="56">
        <v>27.744</v>
      </c>
      <c r="CY41" s="56">
        <v>28.027999999999999</v>
      </c>
      <c r="CZ41" s="56">
        <v>26.448</v>
      </c>
      <c r="DA41" s="56">
        <v>26.815999999999999</v>
      </c>
      <c r="DB41" s="56">
        <v>29.135999999999999</v>
      </c>
      <c r="DC41" s="56">
        <v>27.904</v>
      </c>
      <c r="DD41" s="56">
        <v>27.116</v>
      </c>
      <c r="DE41" s="56">
        <v>28.72</v>
      </c>
      <c r="DF41" s="56">
        <v>28.4</v>
      </c>
      <c r="DG41" s="56">
        <v>29.015999999999998</v>
      </c>
      <c r="DH41" s="56">
        <v>29.084</v>
      </c>
      <c r="DI41" s="56">
        <v>28.744</v>
      </c>
      <c r="DJ41" s="56">
        <v>27.052</v>
      </c>
      <c r="DK41" s="56">
        <v>27.335999999999999</v>
      </c>
      <c r="DL41" s="56">
        <v>29.103999999999999</v>
      </c>
      <c r="DM41" s="56">
        <v>31.231999999999999</v>
      </c>
      <c r="DN41" s="56">
        <v>27.78</v>
      </c>
      <c r="DO41" s="56">
        <v>32.192</v>
      </c>
      <c r="DP41" s="56">
        <v>34.264000000000003</v>
      </c>
      <c r="DQ41" s="56">
        <v>34.124000000000002</v>
      </c>
      <c r="DR41" s="56">
        <v>35.572000000000003</v>
      </c>
      <c r="DS41" s="56">
        <v>36.04</v>
      </c>
      <c r="DT41" s="56">
        <v>35.728000000000002</v>
      </c>
      <c r="DU41" s="56">
        <v>39.26</v>
      </c>
      <c r="DV41" s="56">
        <v>40.316000000000003</v>
      </c>
      <c r="DW41" s="56">
        <v>43.008000000000003</v>
      </c>
      <c r="DX41" s="56">
        <v>42.667999999999999</v>
      </c>
      <c r="DY41" s="56">
        <v>43.008000000000003</v>
      </c>
      <c r="DZ41" s="56">
        <v>50.609000000000002</v>
      </c>
      <c r="EA41" s="56">
        <v>45.405000000000001</v>
      </c>
      <c r="EB41" s="56">
        <v>41.341999999999999</v>
      </c>
      <c r="EC41" s="56">
        <v>44.814</v>
      </c>
      <c r="ED41" s="56">
        <v>43.170999999999999</v>
      </c>
      <c r="EE41" s="56">
        <v>48.719000000000001</v>
      </c>
      <c r="EF41" s="56">
        <v>46.442999999999998</v>
      </c>
      <c r="EG41" s="56">
        <v>45.506999999999998</v>
      </c>
      <c r="EH41" s="56">
        <v>47.600999999999999</v>
      </c>
      <c r="EI41" s="56">
        <v>44.213000000000001</v>
      </c>
      <c r="EJ41" s="56">
        <v>50.412999999999997</v>
      </c>
      <c r="EK41" s="56">
        <v>44.947000000000003</v>
      </c>
      <c r="EL41" s="56">
        <v>49.942999999999998</v>
      </c>
      <c r="EM41" s="56">
        <v>51.171999999999997</v>
      </c>
      <c r="EN41" s="56">
        <v>47.383000000000003</v>
      </c>
      <c r="EO41" s="56">
        <v>49.225000000000001</v>
      </c>
      <c r="EP41" s="56">
        <v>53.557000000000002</v>
      </c>
      <c r="EQ41" s="56">
        <v>53.237000000000002</v>
      </c>
      <c r="ER41" s="56">
        <v>52.164999999999999</v>
      </c>
      <c r="ES41" s="56">
        <v>51.704000000000001</v>
      </c>
      <c r="ET41" s="56">
        <v>50.936999999999998</v>
      </c>
      <c r="EU41" s="56">
        <v>56.121000000000002</v>
      </c>
      <c r="EV41" s="56">
        <v>55.527999999999999</v>
      </c>
      <c r="EW41" s="56">
        <v>54.619</v>
      </c>
      <c r="EX41" s="56">
        <v>56.613</v>
      </c>
      <c r="EY41" s="56">
        <v>58.841999999999999</v>
      </c>
      <c r="EZ41" s="56">
        <v>56.868000000000002</v>
      </c>
      <c r="FA41" s="56">
        <v>58.177</v>
      </c>
      <c r="FB41" s="56">
        <v>58.334000000000003</v>
      </c>
      <c r="FC41" s="56">
        <v>59.643000000000001</v>
      </c>
      <c r="FD41" s="56">
        <v>67.126000000000005</v>
      </c>
      <c r="FE41" s="56">
        <v>68.543000000000006</v>
      </c>
      <c r="FF41" s="56">
        <v>64.721000000000004</v>
      </c>
      <c r="FG41" s="56">
        <v>73.736999999999995</v>
      </c>
      <c r="FH41" s="56">
        <v>74.820999999999998</v>
      </c>
      <c r="FI41" s="56">
        <v>75.022000000000006</v>
      </c>
      <c r="FJ41" s="56">
        <v>70.503</v>
      </c>
      <c r="FK41" s="56">
        <v>69.144999999999996</v>
      </c>
      <c r="FL41" s="56">
        <v>65.915999999999997</v>
      </c>
      <c r="FM41" s="56">
        <v>70.531000000000006</v>
      </c>
      <c r="FN41" s="56">
        <v>67.106999999999999</v>
      </c>
      <c r="FO41" s="56">
        <v>67.67</v>
      </c>
      <c r="FP41" s="56">
        <v>65.88</v>
      </c>
      <c r="FQ41" s="56">
        <v>65.507000000000005</v>
      </c>
      <c r="FR41" s="56">
        <v>67.563999999999993</v>
      </c>
      <c r="FS41" s="56">
        <v>63.978999999999999</v>
      </c>
      <c r="FT41" s="56">
        <v>68.013999999999996</v>
      </c>
      <c r="FU41" s="56">
        <v>65.742000000000004</v>
      </c>
      <c r="FV41" s="56">
        <v>65.275999999999996</v>
      </c>
      <c r="FW41" s="56">
        <v>67.164000000000001</v>
      </c>
      <c r="FX41" s="56">
        <v>68.84</v>
      </c>
      <c r="FY41" s="56">
        <v>61.402999999999999</v>
      </c>
      <c r="FZ41" s="56">
        <v>63.533999999999999</v>
      </c>
      <c r="GA41" s="56">
        <v>62.906999999999996</v>
      </c>
      <c r="GB41" s="56">
        <v>66.760000000000005</v>
      </c>
      <c r="GC41" s="56">
        <v>64.462000000000003</v>
      </c>
      <c r="GD41" s="56">
        <v>66.301000000000002</v>
      </c>
      <c r="GE41" s="56">
        <v>67.191000000000003</v>
      </c>
      <c r="GF41" s="56">
        <v>68.578000000000003</v>
      </c>
      <c r="GG41" s="56">
        <v>66.980999999999995</v>
      </c>
      <c r="GH41" s="56">
        <v>67.222999999999999</v>
      </c>
      <c r="GI41" s="56">
        <v>69.478999999999999</v>
      </c>
      <c r="GJ41" s="56">
        <v>64.623999999999995</v>
      </c>
      <c r="GK41" s="56">
        <v>65.736999999999995</v>
      </c>
      <c r="GL41" s="56">
        <v>65.069000000000003</v>
      </c>
      <c r="GM41" s="56">
        <v>65.826999999999998</v>
      </c>
      <c r="GN41" s="56">
        <v>70.346000000000004</v>
      </c>
      <c r="GO41" s="56">
        <v>66.262</v>
      </c>
      <c r="GP41" s="56">
        <v>67.563999999999993</v>
      </c>
      <c r="GQ41" s="56">
        <v>67.513999999999996</v>
      </c>
      <c r="GR41" s="56">
        <v>70.83</v>
      </c>
      <c r="GS41" s="56">
        <v>72.497</v>
      </c>
      <c r="GT41" s="56">
        <v>75.649000000000001</v>
      </c>
      <c r="GU41" s="56">
        <v>75.483999999999995</v>
      </c>
      <c r="GV41" s="56">
        <v>79.444000000000003</v>
      </c>
      <c r="GW41" s="56">
        <v>75.742999999999995</v>
      </c>
      <c r="GX41" s="56">
        <v>73.183000000000007</v>
      </c>
      <c r="GY41" s="56">
        <v>74.421000000000006</v>
      </c>
      <c r="GZ41" s="56">
        <v>70.334000000000003</v>
      </c>
      <c r="HA41" s="56">
        <v>72.707999999999998</v>
      </c>
      <c r="HB41" s="56">
        <v>75.024000000000001</v>
      </c>
      <c r="HC41">
        <v>427.625</v>
      </c>
      <c r="HD41">
        <v>145.124</v>
      </c>
      <c r="HE41">
        <v>81.415999999999997</v>
      </c>
      <c r="HF41">
        <v>81.027000000000001</v>
      </c>
      <c r="HG41">
        <v>89.128</v>
      </c>
      <c r="HH41">
        <v>92.77</v>
      </c>
      <c r="HI41">
        <v>90.915000000000006</v>
      </c>
      <c r="HJ41">
        <v>93.025000000000006</v>
      </c>
      <c r="HK41">
        <v>95.403000000000006</v>
      </c>
      <c r="HL41">
        <v>100.43</v>
      </c>
      <c r="HM41">
        <v>179.066</v>
      </c>
      <c r="HN41">
        <v>105.59</v>
      </c>
    </row>
    <row r="42" spans="1:222" x14ac:dyDescent="0.25">
      <c r="A42" s="56" t="s">
        <v>2247</v>
      </c>
      <c r="B42" s="56">
        <v>4.7</v>
      </c>
      <c r="C42" s="56">
        <v>4.8</v>
      </c>
      <c r="D42" s="56">
        <v>4.7</v>
      </c>
      <c r="E42" s="56">
        <v>4.8</v>
      </c>
      <c r="F42" s="56">
        <v>4.7</v>
      </c>
      <c r="G42" s="56">
        <v>4.8</v>
      </c>
      <c r="H42" s="56">
        <v>4.5</v>
      </c>
      <c r="I42" s="56">
        <v>4.5999999999999996</v>
      </c>
      <c r="J42" s="56">
        <v>6.1</v>
      </c>
      <c r="K42" s="56">
        <v>6.2</v>
      </c>
      <c r="L42" s="56">
        <v>7.1</v>
      </c>
      <c r="M42" s="56">
        <v>7</v>
      </c>
      <c r="N42" s="56">
        <v>5.9</v>
      </c>
      <c r="O42" s="56">
        <v>5.6</v>
      </c>
      <c r="P42" s="56">
        <v>4.5999999999999996</v>
      </c>
      <c r="Q42" s="56">
        <v>4.5</v>
      </c>
      <c r="R42" s="56">
        <v>3.5</v>
      </c>
      <c r="S42" s="56">
        <v>2.8</v>
      </c>
      <c r="T42" s="56">
        <v>3.1</v>
      </c>
      <c r="U42" s="56">
        <v>3.5</v>
      </c>
      <c r="V42" s="56">
        <v>4.0999999999999996</v>
      </c>
      <c r="W42" s="56">
        <v>4.0999999999999996</v>
      </c>
      <c r="X42" s="56">
        <v>4.4000000000000004</v>
      </c>
      <c r="Y42" s="56">
        <v>4.8</v>
      </c>
      <c r="Z42" s="56">
        <v>5</v>
      </c>
      <c r="AA42" s="56">
        <v>4.7</v>
      </c>
      <c r="AB42" s="56">
        <v>4.9000000000000004</v>
      </c>
      <c r="AC42" s="56">
        <v>5.3</v>
      </c>
      <c r="AD42" s="56">
        <v>5.6</v>
      </c>
      <c r="AE42" s="56">
        <v>5.7</v>
      </c>
      <c r="AF42" s="56">
        <v>6.2</v>
      </c>
      <c r="AG42" s="56">
        <v>10.1</v>
      </c>
      <c r="AH42" s="56">
        <v>8.5</v>
      </c>
      <c r="AI42" s="56">
        <v>8.1</v>
      </c>
      <c r="AJ42" s="56">
        <v>8</v>
      </c>
      <c r="AK42" s="56">
        <v>10.1</v>
      </c>
      <c r="AL42" s="56">
        <v>8.1</v>
      </c>
      <c r="AM42" s="56">
        <v>8.5</v>
      </c>
      <c r="AN42" s="56">
        <v>7.8</v>
      </c>
      <c r="AO42" s="56">
        <v>8.5</v>
      </c>
      <c r="AP42" s="56">
        <v>8.9</v>
      </c>
      <c r="AQ42" s="56">
        <v>9.3000000000000007</v>
      </c>
      <c r="AR42" s="56">
        <v>9.6999999999999993</v>
      </c>
      <c r="AS42" s="56">
        <v>9.9</v>
      </c>
      <c r="AT42" s="56">
        <v>10.199999999999999</v>
      </c>
      <c r="AU42" s="56">
        <v>10.3</v>
      </c>
      <c r="AV42" s="56">
        <v>10.7</v>
      </c>
      <c r="AW42" s="56">
        <v>13.1</v>
      </c>
      <c r="AX42" s="56">
        <v>13.6</v>
      </c>
      <c r="AY42" s="56">
        <v>13.2</v>
      </c>
      <c r="AZ42" s="56">
        <v>12.6</v>
      </c>
      <c r="BA42" s="56">
        <v>19</v>
      </c>
      <c r="BB42" s="56">
        <v>19.399999999999999</v>
      </c>
      <c r="BC42" s="56">
        <v>21.1</v>
      </c>
      <c r="BD42" s="56">
        <v>21.8</v>
      </c>
      <c r="BE42" s="56">
        <v>21.1</v>
      </c>
      <c r="BF42" s="56">
        <v>20.8</v>
      </c>
      <c r="BG42" s="56">
        <v>20.6</v>
      </c>
      <c r="BH42" s="56">
        <v>20.5</v>
      </c>
      <c r="BI42" s="56">
        <v>20.8</v>
      </c>
      <c r="BJ42" s="56">
        <v>20.8</v>
      </c>
      <c r="BK42" s="56">
        <v>20.7</v>
      </c>
      <c r="BL42" s="56">
        <v>21</v>
      </c>
      <c r="BM42" s="56">
        <v>21.7</v>
      </c>
      <c r="BN42" s="56">
        <v>22.8</v>
      </c>
      <c r="BO42" s="56">
        <v>23.9</v>
      </c>
      <c r="BP42" s="56">
        <v>25.1</v>
      </c>
      <c r="BQ42" s="56">
        <v>26.5</v>
      </c>
      <c r="BR42" s="56">
        <v>28</v>
      </c>
      <c r="BS42" s="56">
        <v>30.2</v>
      </c>
      <c r="BT42" s="56">
        <v>31</v>
      </c>
      <c r="BU42" s="56">
        <v>30.8</v>
      </c>
      <c r="BV42" s="56">
        <v>30</v>
      </c>
      <c r="BW42" s="56">
        <v>29.5</v>
      </c>
      <c r="BX42" s="56">
        <v>28.9</v>
      </c>
      <c r="BY42" s="56">
        <v>28.2</v>
      </c>
      <c r="BZ42" s="56">
        <v>27.6</v>
      </c>
      <c r="CA42" s="56">
        <v>27</v>
      </c>
      <c r="CB42" s="56">
        <v>26.7</v>
      </c>
      <c r="CC42" s="56">
        <v>26.9</v>
      </c>
      <c r="CD42" s="56">
        <v>26.8</v>
      </c>
      <c r="CE42" s="56">
        <v>26.6</v>
      </c>
      <c r="CF42" s="56">
        <v>26.6</v>
      </c>
      <c r="CG42" s="56">
        <v>26.6</v>
      </c>
      <c r="CH42" s="56">
        <v>26.7</v>
      </c>
      <c r="CI42" s="56">
        <v>26.8</v>
      </c>
      <c r="CJ42" s="56">
        <v>27.1</v>
      </c>
      <c r="CK42" s="56">
        <v>27.7</v>
      </c>
      <c r="CL42" s="56">
        <v>28.2</v>
      </c>
      <c r="CM42" s="56">
        <v>28.8</v>
      </c>
      <c r="CN42" s="56">
        <v>30</v>
      </c>
      <c r="CO42" s="56">
        <v>31.8</v>
      </c>
      <c r="CP42" s="56">
        <v>35.1</v>
      </c>
      <c r="CQ42" s="56">
        <v>37.200000000000003</v>
      </c>
      <c r="CR42" s="56">
        <v>37.299999999999997</v>
      </c>
      <c r="CS42" s="56">
        <v>35.700000000000003</v>
      </c>
      <c r="CT42" s="56">
        <v>33.200000000000003</v>
      </c>
      <c r="CU42" s="56">
        <v>32</v>
      </c>
      <c r="CV42" s="56">
        <v>31.6</v>
      </c>
      <c r="CW42" s="56">
        <v>31.9</v>
      </c>
      <c r="CX42" s="56">
        <v>33.6</v>
      </c>
      <c r="CY42" s="56">
        <v>34.299999999999997</v>
      </c>
      <c r="CZ42" s="56">
        <v>34.799999999999997</v>
      </c>
      <c r="DA42" s="56">
        <v>35.200000000000003</v>
      </c>
      <c r="DB42" s="56">
        <v>35.200000000000003</v>
      </c>
      <c r="DC42" s="56">
        <v>35.1</v>
      </c>
      <c r="DD42" s="56">
        <v>34.9</v>
      </c>
      <c r="DE42" s="56">
        <v>34.4</v>
      </c>
      <c r="DF42" s="56">
        <v>34</v>
      </c>
      <c r="DG42" s="56">
        <v>33.200000000000003</v>
      </c>
      <c r="DH42" s="56">
        <v>33</v>
      </c>
      <c r="DI42" s="56">
        <v>33.299999999999997</v>
      </c>
      <c r="DJ42" s="56">
        <v>33.4</v>
      </c>
      <c r="DK42" s="56">
        <v>34.6</v>
      </c>
      <c r="DL42" s="56">
        <v>36.299999999999997</v>
      </c>
      <c r="DM42" s="56">
        <v>39.4</v>
      </c>
      <c r="DN42" s="56">
        <v>42</v>
      </c>
      <c r="DO42" s="56">
        <v>44.6</v>
      </c>
      <c r="DP42" s="56">
        <v>46</v>
      </c>
      <c r="DQ42" s="56">
        <v>46.5</v>
      </c>
      <c r="DR42" s="56">
        <v>44.6</v>
      </c>
      <c r="DS42" s="56">
        <v>45</v>
      </c>
      <c r="DT42" s="56">
        <v>45.3</v>
      </c>
      <c r="DU42" s="56">
        <v>46.4</v>
      </c>
      <c r="DV42" s="56">
        <v>47.2</v>
      </c>
      <c r="DW42" s="56">
        <v>47.6</v>
      </c>
      <c r="DX42" s="56">
        <v>66.3</v>
      </c>
      <c r="DY42" s="56">
        <v>43.1</v>
      </c>
      <c r="DZ42" s="56">
        <v>40.700000000000003</v>
      </c>
      <c r="EA42" s="56">
        <v>39.200000000000003</v>
      </c>
      <c r="EB42" s="56">
        <v>39.700000000000003</v>
      </c>
      <c r="EC42" s="56">
        <v>42.3</v>
      </c>
      <c r="ED42" s="56">
        <v>47</v>
      </c>
      <c r="EE42" s="56">
        <v>56.8</v>
      </c>
      <c r="EF42" s="56">
        <v>46.9</v>
      </c>
      <c r="EG42" s="56">
        <v>45.1</v>
      </c>
      <c r="EH42" s="56">
        <v>43.9</v>
      </c>
      <c r="EI42" s="56">
        <v>43.3</v>
      </c>
      <c r="EJ42" s="56">
        <v>45</v>
      </c>
      <c r="EK42" s="56">
        <v>51.9</v>
      </c>
      <c r="EL42" s="56">
        <v>56.4</v>
      </c>
      <c r="EM42" s="56">
        <v>60.3</v>
      </c>
      <c r="EN42" s="56">
        <v>61.6</v>
      </c>
      <c r="EO42" s="56">
        <v>63.9</v>
      </c>
      <c r="EP42" s="56">
        <v>55.4</v>
      </c>
      <c r="EQ42" s="56">
        <v>51.2</v>
      </c>
      <c r="ER42" s="56">
        <v>49.5</v>
      </c>
      <c r="ES42" s="56">
        <v>48.3</v>
      </c>
      <c r="ET42" s="56">
        <v>47.6</v>
      </c>
      <c r="EU42" s="56">
        <v>47.5</v>
      </c>
      <c r="EV42" s="56">
        <v>47.2</v>
      </c>
      <c r="EW42" s="56">
        <v>47.5</v>
      </c>
      <c r="EX42" s="56">
        <v>48</v>
      </c>
      <c r="EY42" s="56">
        <v>48.7</v>
      </c>
      <c r="EZ42" s="56">
        <v>49.8</v>
      </c>
      <c r="FA42" s="56">
        <v>51.8</v>
      </c>
      <c r="FB42" s="56">
        <v>53.4</v>
      </c>
      <c r="FC42" s="56">
        <v>54.3</v>
      </c>
      <c r="FD42" s="56">
        <v>65.900000000000006</v>
      </c>
      <c r="FE42" s="56">
        <v>54.3</v>
      </c>
      <c r="FF42" s="56">
        <v>53.2</v>
      </c>
      <c r="FG42" s="56">
        <v>53.4</v>
      </c>
      <c r="FH42" s="56">
        <v>54.4</v>
      </c>
      <c r="FI42" s="56">
        <v>56</v>
      </c>
      <c r="FJ42" s="56">
        <v>58</v>
      </c>
      <c r="FK42" s="56">
        <v>59.5</v>
      </c>
      <c r="FL42" s="56">
        <v>59.7</v>
      </c>
      <c r="FM42" s="56">
        <v>60.6</v>
      </c>
      <c r="FN42" s="56">
        <v>57.9</v>
      </c>
      <c r="FO42" s="56">
        <v>57.6</v>
      </c>
      <c r="FP42" s="56">
        <v>55.8</v>
      </c>
      <c r="FQ42" s="56">
        <v>58.9</v>
      </c>
      <c r="FR42" s="56">
        <v>58.9</v>
      </c>
      <c r="FS42" s="56">
        <v>59.6</v>
      </c>
      <c r="FT42" s="56">
        <v>59.5</v>
      </c>
      <c r="FU42" s="56">
        <v>58.9</v>
      </c>
      <c r="FV42" s="56">
        <v>58.2</v>
      </c>
      <c r="FW42" s="56">
        <v>58</v>
      </c>
      <c r="FX42" s="56">
        <v>57.7</v>
      </c>
      <c r="FY42" s="56">
        <v>56.5</v>
      </c>
      <c r="FZ42" s="56">
        <v>55.5</v>
      </c>
      <c r="GA42" s="56">
        <v>55.9</v>
      </c>
      <c r="GB42" s="56">
        <v>57.2</v>
      </c>
      <c r="GC42" s="56">
        <v>58.1</v>
      </c>
      <c r="GD42" s="56">
        <v>60.2</v>
      </c>
      <c r="GE42" s="56">
        <v>61.8</v>
      </c>
      <c r="GF42" s="56">
        <v>62.5</v>
      </c>
      <c r="GG42" s="56">
        <v>60.4</v>
      </c>
      <c r="GH42" s="56">
        <v>58.8</v>
      </c>
      <c r="GI42" s="56">
        <v>57.5</v>
      </c>
      <c r="GJ42" s="56">
        <v>61.4</v>
      </c>
      <c r="GK42" s="56">
        <v>59.6</v>
      </c>
      <c r="GL42" s="56">
        <v>58.1</v>
      </c>
      <c r="GM42" s="56">
        <v>57.7</v>
      </c>
      <c r="GN42" s="56">
        <v>57.3</v>
      </c>
      <c r="GO42" s="56">
        <v>77.900000000000006</v>
      </c>
      <c r="GP42" s="56">
        <v>68.5</v>
      </c>
      <c r="GQ42" s="56">
        <v>58.3</v>
      </c>
      <c r="GR42" s="56">
        <v>80.599999999999994</v>
      </c>
      <c r="GS42" s="56">
        <v>82.1</v>
      </c>
      <c r="GT42" s="56">
        <v>80</v>
      </c>
      <c r="GU42" s="56">
        <v>1031.8</v>
      </c>
      <c r="GV42" s="56">
        <v>1163.3</v>
      </c>
      <c r="GW42" s="56">
        <v>516.4</v>
      </c>
      <c r="GX42" s="56">
        <v>518.1</v>
      </c>
      <c r="GY42" s="56">
        <v>822</v>
      </c>
      <c r="GZ42" s="56">
        <v>673.4</v>
      </c>
      <c r="HA42" s="56">
        <v>413.4</v>
      </c>
      <c r="HB42" s="56">
        <v>150.80000000000001</v>
      </c>
      <c r="HC42">
        <v>129.30000000000001</v>
      </c>
      <c r="HD42">
        <v>118.4</v>
      </c>
      <c r="HE42">
        <v>110.8</v>
      </c>
      <c r="HF42">
        <v>103.8</v>
      </c>
      <c r="HG42">
        <v>101.8</v>
      </c>
      <c r="HH42">
        <v>104</v>
      </c>
      <c r="HI42">
        <v>98.9</v>
      </c>
      <c r="HJ42">
        <v>96.1</v>
      </c>
      <c r="HK42">
        <v>93.7</v>
      </c>
      <c r="HL42">
        <v>92.1</v>
      </c>
      <c r="HM42">
        <v>93.5</v>
      </c>
      <c r="HN42">
        <v>104.8</v>
      </c>
    </row>
    <row r="43" spans="1:222" x14ac:dyDescent="0.25">
      <c r="A43" s="56" t="s">
        <v>2248</v>
      </c>
      <c r="B43" s="56">
        <v>0</v>
      </c>
      <c r="C43" s="56">
        <v>0</v>
      </c>
      <c r="D43" s="56">
        <v>0</v>
      </c>
      <c r="E43" s="56">
        <v>0</v>
      </c>
      <c r="F43" s="56">
        <v>0</v>
      </c>
      <c r="G43" s="56">
        <v>0</v>
      </c>
      <c r="H43" s="56">
        <v>0</v>
      </c>
      <c r="I43" s="56">
        <v>0</v>
      </c>
      <c r="J43" s="56">
        <v>0</v>
      </c>
      <c r="K43" s="56">
        <v>0.1</v>
      </c>
      <c r="L43" s="56">
        <v>0.1</v>
      </c>
      <c r="M43" s="56">
        <v>0.1</v>
      </c>
      <c r="N43" s="56">
        <v>0.1</v>
      </c>
      <c r="O43" s="56">
        <v>0.1</v>
      </c>
      <c r="P43" s="56">
        <v>0.1</v>
      </c>
      <c r="Q43" s="56">
        <v>0.1</v>
      </c>
      <c r="R43" s="56">
        <v>0.1</v>
      </c>
      <c r="S43" s="56">
        <v>0.1</v>
      </c>
      <c r="T43" s="56">
        <v>0.1</v>
      </c>
      <c r="U43" s="56">
        <v>0.1</v>
      </c>
      <c r="V43" s="56">
        <v>0.1</v>
      </c>
      <c r="W43" s="56">
        <v>0.2</v>
      </c>
      <c r="X43" s="56">
        <v>0.2</v>
      </c>
      <c r="Y43" s="56">
        <v>0.2</v>
      </c>
      <c r="Z43" s="56">
        <v>0.2</v>
      </c>
      <c r="AA43" s="56">
        <v>0.2</v>
      </c>
      <c r="AB43" s="56">
        <v>0.2</v>
      </c>
      <c r="AC43" s="56">
        <v>0.2</v>
      </c>
      <c r="AD43" s="56">
        <v>0.2</v>
      </c>
      <c r="AE43" s="56">
        <v>0.2</v>
      </c>
      <c r="AF43" s="56">
        <v>0.2</v>
      </c>
      <c r="AG43" s="56">
        <v>0.2</v>
      </c>
      <c r="AH43" s="56">
        <v>0.2</v>
      </c>
      <c r="AI43" s="56">
        <v>0.2</v>
      </c>
      <c r="AJ43" s="56">
        <v>0.2</v>
      </c>
      <c r="AK43" s="56">
        <v>0.3</v>
      </c>
      <c r="AL43" s="56">
        <v>0.3</v>
      </c>
      <c r="AM43" s="56">
        <v>0.3</v>
      </c>
      <c r="AN43" s="56">
        <v>0.3</v>
      </c>
      <c r="AO43" s="56">
        <v>0.3</v>
      </c>
      <c r="AP43" s="56">
        <v>0.3</v>
      </c>
      <c r="AQ43" s="56">
        <v>0.3</v>
      </c>
      <c r="AR43" s="56">
        <v>0.4</v>
      </c>
      <c r="AS43" s="56">
        <v>0.4</v>
      </c>
      <c r="AT43" s="56">
        <v>0.4</v>
      </c>
      <c r="AU43" s="56">
        <v>0.4</v>
      </c>
      <c r="AV43" s="56">
        <v>0.4</v>
      </c>
      <c r="AW43" s="56">
        <v>0.4</v>
      </c>
      <c r="AX43" s="56">
        <v>0.4</v>
      </c>
      <c r="AY43" s="56">
        <v>0.5</v>
      </c>
      <c r="AZ43" s="56">
        <v>0.5</v>
      </c>
      <c r="BA43" s="56">
        <v>0.5</v>
      </c>
      <c r="BB43" s="56">
        <v>0.5</v>
      </c>
      <c r="BC43" s="56">
        <v>0.4</v>
      </c>
      <c r="BD43" s="56">
        <v>0.4</v>
      </c>
      <c r="BE43" s="56">
        <v>0.4</v>
      </c>
      <c r="BF43" s="56">
        <v>0.4</v>
      </c>
      <c r="BG43" s="56">
        <v>0.4</v>
      </c>
      <c r="BH43" s="56">
        <v>0.4</v>
      </c>
      <c r="BI43" s="56">
        <v>0.4</v>
      </c>
      <c r="BJ43" s="56">
        <v>0.3</v>
      </c>
      <c r="BK43" s="56">
        <v>0.3</v>
      </c>
      <c r="BL43" s="56">
        <v>0.3</v>
      </c>
      <c r="BM43" s="56">
        <v>0.3</v>
      </c>
      <c r="BN43" s="56">
        <v>0.3</v>
      </c>
      <c r="BO43" s="56">
        <v>0.3</v>
      </c>
      <c r="BP43" s="56">
        <v>0.3</v>
      </c>
      <c r="BQ43" s="56">
        <v>0.3</v>
      </c>
      <c r="BR43" s="56">
        <v>0.3</v>
      </c>
      <c r="BS43" s="56">
        <v>0.3</v>
      </c>
      <c r="BT43" s="56">
        <v>0.3</v>
      </c>
      <c r="BU43" s="56">
        <v>0.3</v>
      </c>
      <c r="BV43" s="56">
        <v>0.3</v>
      </c>
      <c r="BW43" s="56">
        <v>0.3</v>
      </c>
      <c r="BX43" s="56">
        <v>0.4</v>
      </c>
      <c r="BY43" s="56">
        <v>0.4</v>
      </c>
      <c r="BZ43" s="56">
        <v>0.4</v>
      </c>
      <c r="CA43" s="56">
        <v>0.4</v>
      </c>
      <c r="CB43" s="56">
        <v>0.4</v>
      </c>
      <c r="CC43" s="56">
        <v>0.4</v>
      </c>
      <c r="CD43" s="56">
        <v>0.4</v>
      </c>
      <c r="CE43" s="56">
        <v>0.4</v>
      </c>
      <c r="CF43" s="56">
        <v>0.4</v>
      </c>
      <c r="CG43" s="56">
        <v>0.4</v>
      </c>
      <c r="CH43" s="56">
        <v>0.4</v>
      </c>
      <c r="CI43" s="56">
        <v>0.4</v>
      </c>
      <c r="CJ43" s="56">
        <v>0.4</v>
      </c>
      <c r="CK43" s="56">
        <v>0.4</v>
      </c>
      <c r="CL43" s="56">
        <v>0.4</v>
      </c>
      <c r="CM43" s="56">
        <v>0.4</v>
      </c>
      <c r="CN43" s="56">
        <v>0.4</v>
      </c>
      <c r="CO43" s="56">
        <v>0.4</v>
      </c>
      <c r="CP43" s="56">
        <v>0.4</v>
      </c>
      <c r="CQ43" s="56">
        <v>0.4</v>
      </c>
      <c r="CR43" s="56">
        <v>0.4</v>
      </c>
      <c r="CS43" s="56">
        <v>0.4</v>
      </c>
      <c r="CT43" s="56">
        <v>0.4</v>
      </c>
      <c r="CU43" s="56">
        <v>0.3</v>
      </c>
      <c r="CV43" s="56">
        <v>0.3</v>
      </c>
      <c r="CW43" s="56">
        <v>0.3</v>
      </c>
      <c r="CX43" s="56">
        <v>0.3</v>
      </c>
      <c r="CY43" s="56">
        <v>0.3</v>
      </c>
      <c r="CZ43" s="56">
        <v>0.3</v>
      </c>
      <c r="DA43" s="56">
        <v>0.3</v>
      </c>
      <c r="DB43" s="56">
        <v>0.3</v>
      </c>
      <c r="DC43" s="56">
        <v>0.3</v>
      </c>
      <c r="DD43" s="56">
        <v>0.3</v>
      </c>
      <c r="DE43" s="56">
        <v>0.4</v>
      </c>
      <c r="DF43" s="56">
        <v>0.4</v>
      </c>
      <c r="DG43" s="56">
        <v>0.4</v>
      </c>
      <c r="DH43" s="56">
        <v>0.4</v>
      </c>
      <c r="DI43" s="56">
        <v>0.5</v>
      </c>
      <c r="DJ43" s="56">
        <v>0.5</v>
      </c>
      <c r="DK43" s="56">
        <v>0.5</v>
      </c>
      <c r="DL43" s="56">
        <v>0.4</v>
      </c>
      <c r="DM43" s="56">
        <v>0.4</v>
      </c>
      <c r="DN43" s="56">
        <v>0.4</v>
      </c>
      <c r="DO43" s="56">
        <v>0.4</v>
      </c>
      <c r="DP43" s="56">
        <v>0.4</v>
      </c>
      <c r="DQ43" s="56">
        <v>0.4</v>
      </c>
      <c r="DR43" s="56">
        <v>0.5</v>
      </c>
      <c r="DS43" s="56">
        <v>0.5</v>
      </c>
      <c r="DT43" s="56">
        <v>0.6</v>
      </c>
      <c r="DU43" s="56">
        <v>0.6</v>
      </c>
      <c r="DV43" s="56">
        <v>8</v>
      </c>
      <c r="DW43" s="56">
        <v>14.4</v>
      </c>
      <c r="DX43" s="56">
        <v>4.8</v>
      </c>
      <c r="DY43" s="56">
        <v>3.4</v>
      </c>
      <c r="DZ43" s="56">
        <v>1.8</v>
      </c>
      <c r="EA43" s="56">
        <v>0.6</v>
      </c>
      <c r="EB43" s="56">
        <v>1.7</v>
      </c>
      <c r="EC43" s="56">
        <v>-0.4</v>
      </c>
      <c r="ED43" s="56">
        <v>0.1</v>
      </c>
      <c r="EE43" s="56">
        <v>0.3</v>
      </c>
      <c r="EF43" s="56">
        <v>-1</v>
      </c>
      <c r="EG43" s="56">
        <v>0.9</v>
      </c>
      <c r="EH43" s="56">
        <v>0.4</v>
      </c>
      <c r="EI43" s="56">
        <v>0.4</v>
      </c>
      <c r="EJ43" s="56">
        <v>0.4</v>
      </c>
      <c r="EK43" s="56">
        <v>0.4</v>
      </c>
      <c r="EL43" s="56">
        <v>0.4</v>
      </c>
      <c r="EM43" s="56">
        <v>0.4</v>
      </c>
      <c r="EN43" s="56">
        <v>0.4</v>
      </c>
      <c r="EO43" s="56">
        <v>0.4</v>
      </c>
      <c r="EP43" s="56">
        <v>0.4</v>
      </c>
      <c r="EQ43" s="56">
        <v>0.4</v>
      </c>
      <c r="ER43" s="56">
        <v>0.4</v>
      </c>
      <c r="ES43" s="56">
        <v>0.4</v>
      </c>
      <c r="ET43" s="56">
        <v>1.9</v>
      </c>
      <c r="EU43" s="56">
        <v>10.7</v>
      </c>
      <c r="EV43" s="56">
        <v>8.8000000000000007</v>
      </c>
      <c r="EW43" s="56">
        <v>7.2</v>
      </c>
      <c r="EX43" s="56">
        <v>4</v>
      </c>
      <c r="EY43" s="56">
        <v>2.9</v>
      </c>
      <c r="EZ43" s="56">
        <v>2.2000000000000002</v>
      </c>
      <c r="FA43" s="56">
        <v>2.8</v>
      </c>
      <c r="FB43" s="56">
        <v>2</v>
      </c>
      <c r="FC43" s="56">
        <v>1.2</v>
      </c>
      <c r="FD43" s="56">
        <v>1.2</v>
      </c>
      <c r="FE43" s="56">
        <v>1.2</v>
      </c>
      <c r="FF43" s="56">
        <v>1.6</v>
      </c>
      <c r="FG43" s="56">
        <v>2.1</v>
      </c>
      <c r="FH43" s="56">
        <v>1.6</v>
      </c>
      <c r="FI43" s="56">
        <v>1</v>
      </c>
      <c r="FJ43" s="56">
        <v>0.9</v>
      </c>
      <c r="FK43" s="56">
        <v>0.4</v>
      </c>
      <c r="FL43" s="56">
        <v>0.4</v>
      </c>
      <c r="FM43" s="56">
        <v>0.4</v>
      </c>
      <c r="FN43" s="56">
        <v>0.5</v>
      </c>
      <c r="FO43" s="56">
        <v>0.5</v>
      </c>
      <c r="FP43" s="56">
        <v>0.5</v>
      </c>
      <c r="FQ43" s="56">
        <v>0.5</v>
      </c>
      <c r="FR43" s="56">
        <v>0.5</v>
      </c>
      <c r="FS43" s="56">
        <v>0.5</v>
      </c>
      <c r="FT43" s="56">
        <v>0.5</v>
      </c>
      <c r="FU43" s="56">
        <v>0.5</v>
      </c>
      <c r="FV43" s="56">
        <v>0.5</v>
      </c>
      <c r="FW43" s="56">
        <v>0.5</v>
      </c>
      <c r="FX43" s="56">
        <v>0.5</v>
      </c>
      <c r="FY43" s="56">
        <v>0.5</v>
      </c>
      <c r="FZ43" s="56">
        <v>0.5</v>
      </c>
      <c r="GA43" s="56">
        <v>0.5</v>
      </c>
      <c r="GB43" s="56">
        <v>0.5</v>
      </c>
      <c r="GC43" s="56">
        <v>0.5</v>
      </c>
      <c r="GD43" s="56">
        <v>0.5</v>
      </c>
      <c r="GE43" s="56">
        <v>0.5</v>
      </c>
      <c r="GF43" s="56">
        <v>0.5</v>
      </c>
      <c r="GG43" s="56">
        <v>0.5</v>
      </c>
      <c r="GH43" s="56">
        <v>0.5</v>
      </c>
      <c r="GI43" s="56">
        <v>0.6</v>
      </c>
      <c r="GJ43" s="56">
        <v>0.6</v>
      </c>
      <c r="GK43" s="56">
        <v>0.6</v>
      </c>
      <c r="GL43" s="56">
        <v>0.6</v>
      </c>
      <c r="GM43" s="56">
        <v>0.6</v>
      </c>
      <c r="GN43" s="56">
        <v>0.6</v>
      </c>
      <c r="GO43" s="56">
        <v>0.6</v>
      </c>
      <c r="GP43" s="56">
        <v>0.6</v>
      </c>
      <c r="GQ43" s="56">
        <v>0.6</v>
      </c>
      <c r="GR43" s="56">
        <v>0.6</v>
      </c>
      <c r="GS43" s="56">
        <v>0.6</v>
      </c>
      <c r="GT43" s="56">
        <v>0.6</v>
      </c>
      <c r="GU43" s="56">
        <v>0.6</v>
      </c>
      <c r="GV43" s="56">
        <v>0.6</v>
      </c>
      <c r="GW43" s="56">
        <v>0.6</v>
      </c>
      <c r="GX43" s="56">
        <v>2.5</v>
      </c>
      <c r="GY43" s="56">
        <v>8.6</v>
      </c>
      <c r="GZ43" s="56">
        <v>0.7</v>
      </c>
      <c r="HA43" s="56">
        <v>0.7</v>
      </c>
      <c r="HB43" s="56">
        <v>0.7</v>
      </c>
      <c r="HC43">
        <v>0.7</v>
      </c>
      <c r="HD43">
        <v>0.7</v>
      </c>
      <c r="HE43">
        <v>0.7</v>
      </c>
      <c r="HF43">
        <v>0.7</v>
      </c>
      <c r="HG43">
        <v>0.7</v>
      </c>
      <c r="HH43">
        <v>0.7</v>
      </c>
      <c r="HI43">
        <v>0.7</v>
      </c>
      <c r="HJ43">
        <v>0.7</v>
      </c>
      <c r="HK43">
        <v>0.7</v>
      </c>
      <c r="HL43">
        <v>0.7</v>
      </c>
      <c r="HM43">
        <v>0.7</v>
      </c>
      <c r="HN43">
        <v>0.7</v>
      </c>
    </row>
    <row r="44" spans="1:222" x14ac:dyDescent="0.25">
      <c r="A44" s="56" t="s">
        <v>2249</v>
      </c>
      <c r="B44" s="56">
        <v>4.7</v>
      </c>
      <c r="C44" s="56">
        <v>4.8</v>
      </c>
      <c r="D44" s="56">
        <v>4.7</v>
      </c>
      <c r="E44" s="56">
        <v>4.8</v>
      </c>
      <c r="F44" s="56">
        <v>4.8</v>
      </c>
      <c r="G44" s="56">
        <v>4.8</v>
      </c>
      <c r="H44" s="56">
        <v>4.5</v>
      </c>
      <c r="I44" s="56">
        <v>4.5999999999999996</v>
      </c>
      <c r="J44" s="56">
        <v>6.1</v>
      </c>
      <c r="K44" s="56">
        <v>6.2</v>
      </c>
      <c r="L44" s="56">
        <v>7.2</v>
      </c>
      <c r="M44" s="56">
        <v>7.1</v>
      </c>
      <c r="N44" s="56">
        <v>5.9</v>
      </c>
      <c r="O44" s="56">
        <v>5.7</v>
      </c>
      <c r="P44" s="56">
        <v>4.7</v>
      </c>
      <c r="Q44" s="56">
        <v>4.5999999999999996</v>
      </c>
      <c r="R44" s="56">
        <v>3.6</v>
      </c>
      <c r="S44" s="56">
        <v>2.9</v>
      </c>
      <c r="T44" s="56">
        <v>3.2</v>
      </c>
      <c r="U44" s="56">
        <v>3.6</v>
      </c>
      <c r="V44" s="56">
        <v>4.2</v>
      </c>
      <c r="W44" s="56">
        <v>4.3</v>
      </c>
      <c r="X44" s="56">
        <v>4.5999999999999996</v>
      </c>
      <c r="Y44" s="56">
        <v>4.9000000000000004</v>
      </c>
      <c r="Z44" s="56">
        <v>5.0999999999999996</v>
      </c>
      <c r="AA44" s="56">
        <v>4.8</v>
      </c>
      <c r="AB44" s="56">
        <v>5.0999999999999996</v>
      </c>
      <c r="AC44" s="56">
        <v>5.5</v>
      </c>
      <c r="AD44" s="56">
        <v>5.8</v>
      </c>
      <c r="AE44" s="56">
        <v>5.9</v>
      </c>
      <c r="AF44" s="56">
        <v>6.4</v>
      </c>
      <c r="AG44" s="56">
        <v>10.3</v>
      </c>
      <c r="AH44" s="56">
        <v>8.6999999999999993</v>
      </c>
      <c r="AI44" s="56">
        <v>8.4</v>
      </c>
      <c r="AJ44" s="56">
        <v>8.3000000000000007</v>
      </c>
      <c r="AK44" s="56">
        <v>10.4</v>
      </c>
      <c r="AL44" s="56">
        <v>8.4</v>
      </c>
      <c r="AM44" s="56">
        <v>8.8000000000000007</v>
      </c>
      <c r="AN44" s="56">
        <v>8.1</v>
      </c>
      <c r="AO44" s="56">
        <v>8.9</v>
      </c>
      <c r="AP44" s="56">
        <v>9.1999999999999993</v>
      </c>
      <c r="AQ44" s="56">
        <v>9.6</v>
      </c>
      <c r="AR44" s="56">
        <v>10.1</v>
      </c>
      <c r="AS44" s="56">
        <v>10.3</v>
      </c>
      <c r="AT44" s="56">
        <v>10.6</v>
      </c>
      <c r="AU44" s="56">
        <v>10.7</v>
      </c>
      <c r="AV44" s="56">
        <v>11.1</v>
      </c>
      <c r="AW44" s="56">
        <v>13.5</v>
      </c>
      <c r="AX44" s="56">
        <v>14</v>
      </c>
      <c r="AY44" s="56">
        <v>13.6</v>
      </c>
      <c r="AZ44" s="56">
        <v>13</v>
      </c>
      <c r="BA44" s="56">
        <v>19.399999999999999</v>
      </c>
      <c r="BB44" s="56">
        <v>19.899999999999999</v>
      </c>
      <c r="BC44" s="56">
        <v>21.6</v>
      </c>
      <c r="BD44" s="56">
        <v>22.2</v>
      </c>
      <c r="BE44" s="56">
        <v>21.5</v>
      </c>
      <c r="BF44" s="56">
        <v>21.2</v>
      </c>
      <c r="BG44" s="56">
        <v>21</v>
      </c>
      <c r="BH44" s="56">
        <v>20.9</v>
      </c>
      <c r="BI44" s="56">
        <v>21.2</v>
      </c>
      <c r="BJ44" s="56">
        <v>21.1</v>
      </c>
      <c r="BK44" s="56">
        <v>21</v>
      </c>
      <c r="BL44" s="56">
        <v>21.3</v>
      </c>
      <c r="BM44" s="56">
        <v>22</v>
      </c>
      <c r="BN44" s="56">
        <v>23.1</v>
      </c>
      <c r="BO44" s="56">
        <v>24.2</v>
      </c>
      <c r="BP44" s="56">
        <v>25.5</v>
      </c>
      <c r="BQ44" s="56">
        <v>26.8</v>
      </c>
      <c r="BR44" s="56">
        <v>28.3</v>
      </c>
      <c r="BS44" s="56">
        <v>30.4</v>
      </c>
      <c r="BT44" s="56">
        <v>31.3</v>
      </c>
      <c r="BU44" s="56">
        <v>31.1</v>
      </c>
      <c r="BV44" s="56">
        <v>30.4</v>
      </c>
      <c r="BW44" s="56">
        <v>29.8</v>
      </c>
      <c r="BX44" s="56">
        <v>29.2</v>
      </c>
      <c r="BY44" s="56">
        <v>28.6</v>
      </c>
      <c r="BZ44" s="56">
        <v>28</v>
      </c>
      <c r="CA44" s="56">
        <v>27.4</v>
      </c>
      <c r="CB44" s="56">
        <v>27.1</v>
      </c>
      <c r="CC44" s="56">
        <v>27.3</v>
      </c>
      <c r="CD44" s="56">
        <v>27.1</v>
      </c>
      <c r="CE44" s="56">
        <v>27</v>
      </c>
      <c r="CF44" s="56">
        <v>26.9</v>
      </c>
      <c r="CG44" s="56">
        <v>27</v>
      </c>
      <c r="CH44" s="56">
        <v>27.1</v>
      </c>
      <c r="CI44" s="56">
        <v>27.2</v>
      </c>
      <c r="CJ44" s="56">
        <v>27.5</v>
      </c>
      <c r="CK44" s="56">
        <v>28.1</v>
      </c>
      <c r="CL44" s="56">
        <v>28.6</v>
      </c>
      <c r="CM44" s="56">
        <v>29.2</v>
      </c>
      <c r="CN44" s="56">
        <v>30.4</v>
      </c>
      <c r="CO44" s="56">
        <v>32.200000000000003</v>
      </c>
      <c r="CP44" s="56">
        <v>35.5</v>
      </c>
      <c r="CQ44" s="56">
        <v>37.6</v>
      </c>
      <c r="CR44" s="56">
        <v>37.700000000000003</v>
      </c>
      <c r="CS44" s="56">
        <v>36</v>
      </c>
      <c r="CT44" s="56">
        <v>33.6</v>
      </c>
      <c r="CU44" s="56">
        <v>32.4</v>
      </c>
      <c r="CV44" s="56">
        <v>31.9</v>
      </c>
      <c r="CW44" s="56">
        <v>32.200000000000003</v>
      </c>
      <c r="CX44" s="56">
        <v>34</v>
      </c>
      <c r="CY44" s="56">
        <v>34.6</v>
      </c>
      <c r="CZ44" s="56">
        <v>35.1</v>
      </c>
      <c r="DA44" s="56">
        <v>35.5</v>
      </c>
      <c r="DB44" s="56">
        <v>35.5</v>
      </c>
      <c r="DC44" s="56">
        <v>35.4</v>
      </c>
      <c r="DD44" s="56">
        <v>35.200000000000003</v>
      </c>
      <c r="DE44" s="56">
        <v>34.799999999999997</v>
      </c>
      <c r="DF44" s="56">
        <v>34.4</v>
      </c>
      <c r="DG44" s="56">
        <v>33.6</v>
      </c>
      <c r="DH44" s="56">
        <v>33.4</v>
      </c>
      <c r="DI44" s="56">
        <v>33.799999999999997</v>
      </c>
      <c r="DJ44" s="56">
        <v>33.799999999999997</v>
      </c>
      <c r="DK44" s="56">
        <v>35</v>
      </c>
      <c r="DL44" s="56">
        <v>36.799999999999997</v>
      </c>
      <c r="DM44" s="56">
        <v>39.9</v>
      </c>
      <c r="DN44" s="56">
        <v>42.4</v>
      </c>
      <c r="DO44" s="56">
        <v>45</v>
      </c>
      <c r="DP44" s="56">
        <v>46.4</v>
      </c>
      <c r="DQ44" s="56">
        <v>46.9</v>
      </c>
      <c r="DR44" s="56">
        <v>45.1</v>
      </c>
      <c r="DS44" s="56">
        <v>45.5</v>
      </c>
      <c r="DT44" s="56">
        <v>45.8</v>
      </c>
      <c r="DU44" s="56">
        <v>47</v>
      </c>
      <c r="DV44" s="56">
        <v>55.2</v>
      </c>
      <c r="DW44" s="56">
        <v>62</v>
      </c>
      <c r="DX44" s="56">
        <v>71.2</v>
      </c>
      <c r="DY44" s="56">
        <v>46.4</v>
      </c>
      <c r="DZ44" s="56">
        <v>42.6</v>
      </c>
      <c r="EA44" s="56">
        <v>39.799999999999997</v>
      </c>
      <c r="EB44" s="56">
        <v>41.3</v>
      </c>
      <c r="EC44" s="56">
        <v>41.9</v>
      </c>
      <c r="ED44" s="56">
        <v>47.1</v>
      </c>
      <c r="EE44" s="56">
        <v>57.1</v>
      </c>
      <c r="EF44" s="56">
        <v>45.9</v>
      </c>
      <c r="EG44" s="56">
        <v>46</v>
      </c>
      <c r="EH44" s="56">
        <v>44.2</v>
      </c>
      <c r="EI44" s="56">
        <v>43.7</v>
      </c>
      <c r="EJ44" s="56">
        <v>45.4</v>
      </c>
      <c r="EK44" s="56">
        <v>52.3</v>
      </c>
      <c r="EL44" s="56">
        <v>56.7</v>
      </c>
      <c r="EM44" s="56">
        <v>60.7</v>
      </c>
      <c r="EN44" s="56">
        <v>62</v>
      </c>
      <c r="EO44" s="56">
        <v>64.2</v>
      </c>
      <c r="EP44" s="56">
        <v>55.7</v>
      </c>
      <c r="EQ44" s="56">
        <v>51.5</v>
      </c>
      <c r="ER44" s="56">
        <v>49.9</v>
      </c>
      <c r="ES44" s="56">
        <v>48.7</v>
      </c>
      <c r="ET44" s="56">
        <v>49.5</v>
      </c>
      <c r="EU44" s="56">
        <v>58.2</v>
      </c>
      <c r="EV44" s="56">
        <v>55.9</v>
      </c>
      <c r="EW44" s="56">
        <v>54.7</v>
      </c>
      <c r="EX44" s="56">
        <v>51.9</v>
      </c>
      <c r="EY44" s="56">
        <v>51.7</v>
      </c>
      <c r="EZ44" s="56">
        <v>52</v>
      </c>
      <c r="FA44" s="56">
        <v>54.6</v>
      </c>
      <c r="FB44" s="56">
        <v>55.4</v>
      </c>
      <c r="FC44" s="56">
        <v>55.5</v>
      </c>
      <c r="FD44" s="56">
        <v>67.099999999999994</v>
      </c>
      <c r="FE44" s="56">
        <v>55.5</v>
      </c>
      <c r="FF44" s="56">
        <v>54.8</v>
      </c>
      <c r="FG44" s="56">
        <v>55.5</v>
      </c>
      <c r="FH44" s="56">
        <v>56</v>
      </c>
      <c r="FI44" s="56">
        <v>56.9</v>
      </c>
      <c r="FJ44" s="56">
        <v>58.9</v>
      </c>
      <c r="FK44" s="56">
        <v>59.9</v>
      </c>
      <c r="FL44" s="56">
        <v>60.2</v>
      </c>
      <c r="FM44" s="56">
        <v>61.1</v>
      </c>
      <c r="FN44" s="56">
        <v>58.4</v>
      </c>
      <c r="FO44" s="56">
        <v>58.1</v>
      </c>
      <c r="FP44" s="56">
        <v>56.3</v>
      </c>
      <c r="FQ44" s="56">
        <v>59.4</v>
      </c>
      <c r="FR44" s="56">
        <v>59.4</v>
      </c>
      <c r="FS44" s="56">
        <v>60.1</v>
      </c>
      <c r="FT44" s="56">
        <v>60</v>
      </c>
      <c r="FU44" s="56">
        <v>59.4</v>
      </c>
      <c r="FV44" s="56">
        <v>58.7</v>
      </c>
      <c r="FW44" s="56">
        <v>58.5</v>
      </c>
      <c r="FX44" s="56">
        <v>58.2</v>
      </c>
      <c r="FY44" s="56">
        <v>57</v>
      </c>
      <c r="FZ44" s="56">
        <v>56</v>
      </c>
      <c r="GA44" s="56">
        <v>56.4</v>
      </c>
      <c r="GB44" s="56">
        <v>57.7</v>
      </c>
      <c r="GC44" s="56">
        <v>58.7</v>
      </c>
      <c r="GD44" s="56">
        <v>60.7</v>
      </c>
      <c r="GE44" s="56">
        <v>62.4</v>
      </c>
      <c r="GF44" s="56">
        <v>63</v>
      </c>
      <c r="GG44" s="56">
        <v>60.9</v>
      </c>
      <c r="GH44" s="56">
        <v>59.4</v>
      </c>
      <c r="GI44" s="56">
        <v>58</v>
      </c>
      <c r="GJ44" s="56">
        <v>61.9</v>
      </c>
      <c r="GK44" s="56">
        <v>60.2</v>
      </c>
      <c r="GL44" s="56">
        <v>58.7</v>
      </c>
      <c r="GM44" s="56">
        <v>58.2</v>
      </c>
      <c r="GN44" s="56">
        <v>57.8</v>
      </c>
      <c r="GO44" s="56">
        <v>78.5</v>
      </c>
      <c r="GP44" s="56">
        <v>69.099999999999994</v>
      </c>
      <c r="GQ44" s="56">
        <v>58.9</v>
      </c>
      <c r="GR44" s="56">
        <v>81.2</v>
      </c>
      <c r="GS44" s="56">
        <v>82.7</v>
      </c>
      <c r="GT44" s="56">
        <v>80.7</v>
      </c>
      <c r="GU44" s="56">
        <v>1032.4000000000001</v>
      </c>
      <c r="GV44" s="56">
        <v>1163.9000000000001</v>
      </c>
      <c r="GW44" s="56">
        <v>517</v>
      </c>
      <c r="GX44" s="56">
        <v>520.70000000000005</v>
      </c>
      <c r="GY44" s="56">
        <v>830.7</v>
      </c>
      <c r="GZ44" s="56">
        <v>674.1</v>
      </c>
      <c r="HA44" s="56">
        <v>414.1</v>
      </c>
      <c r="HB44" s="56">
        <v>151.5</v>
      </c>
      <c r="HC44">
        <v>130</v>
      </c>
      <c r="HD44">
        <v>119.1</v>
      </c>
      <c r="HE44">
        <v>111.5</v>
      </c>
      <c r="HF44">
        <v>104.5</v>
      </c>
      <c r="HG44">
        <v>102.5</v>
      </c>
      <c r="HH44">
        <v>104.7</v>
      </c>
      <c r="HI44">
        <v>99.6</v>
      </c>
      <c r="HJ44">
        <v>96.8</v>
      </c>
      <c r="HK44">
        <v>94.4</v>
      </c>
      <c r="HL44">
        <v>92.8</v>
      </c>
      <c r="HM44">
        <v>94.2</v>
      </c>
      <c r="HN44">
        <v>105.5</v>
      </c>
    </row>
    <row r="45" spans="1:222" x14ac:dyDescent="0.25">
      <c r="A45" s="56" t="s">
        <v>2250</v>
      </c>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c r="BH45" s="56"/>
      <c r="BI45" s="56"/>
      <c r="BJ45" s="56"/>
      <c r="BK45" s="56"/>
      <c r="BL45" s="56"/>
      <c r="BM45" s="56"/>
      <c r="BN45" s="56"/>
      <c r="BO45" s="56"/>
      <c r="BP45" s="56"/>
      <c r="BQ45" s="56"/>
      <c r="BR45" s="56"/>
      <c r="BS45" s="56"/>
      <c r="BT45" s="56"/>
      <c r="BU45" s="56"/>
      <c r="BV45" s="56"/>
      <c r="BW45" s="56"/>
      <c r="BX45" s="56"/>
      <c r="BY45" s="56"/>
      <c r="BZ45" s="56"/>
      <c r="CA45" s="56"/>
      <c r="CB45" s="56"/>
      <c r="CC45" s="56"/>
      <c r="CD45" s="56"/>
      <c r="CE45" s="56"/>
      <c r="CF45" s="56"/>
      <c r="CG45" s="56"/>
      <c r="CH45" s="56"/>
      <c r="CI45" s="56"/>
      <c r="CJ45" s="56"/>
      <c r="CK45" s="56"/>
      <c r="CL45" s="56"/>
      <c r="CM45" s="56"/>
      <c r="CN45" s="56"/>
      <c r="CO45" s="56"/>
      <c r="CP45" s="56"/>
      <c r="CQ45" s="56"/>
      <c r="CR45" s="56"/>
      <c r="CS45" s="56"/>
      <c r="CT45" s="56"/>
      <c r="CU45" s="56"/>
      <c r="CV45" s="56"/>
      <c r="CW45" s="56"/>
      <c r="CX45" s="56"/>
      <c r="CY45" s="56"/>
      <c r="CZ45" s="56"/>
      <c r="DA45" s="56"/>
      <c r="DB45" s="56"/>
      <c r="DC45" s="56"/>
      <c r="DD45" s="56"/>
      <c r="DE45" s="56"/>
      <c r="DF45" s="56"/>
      <c r="DG45" s="56"/>
      <c r="DH45" s="56"/>
      <c r="DI45" s="56"/>
      <c r="DJ45" s="56"/>
      <c r="DK45" s="56"/>
      <c r="DL45" s="56"/>
      <c r="DM45" s="56"/>
      <c r="DN45" s="56"/>
      <c r="DO45" s="56"/>
      <c r="DP45" s="56"/>
      <c r="DQ45" s="56"/>
      <c r="DR45" s="56"/>
      <c r="DS45" s="56"/>
      <c r="DT45" s="56"/>
      <c r="DU45" s="56"/>
      <c r="DV45" s="56"/>
      <c r="DW45" s="56"/>
      <c r="DX45" s="56"/>
      <c r="DY45" s="56"/>
      <c r="DZ45" s="56"/>
      <c r="EA45" s="56"/>
      <c r="EB45" s="56"/>
      <c r="EC45" s="56"/>
      <c r="ED45" s="56"/>
      <c r="EE45" s="56"/>
      <c r="EF45" s="56"/>
      <c r="EG45" s="56"/>
      <c r="EH45" s="56"/>
      <c r="EI45" s="56"/>
      <c r="EJ45" s="56"/>
      <c r="EK45" s="56"/>
      <c r="EL45" s="56"/>
      <c r="EM45" s="56"/>
      <c r="EN45" s="56"/>
      <c r="EO45" s="56"/>
      <c r="EP45" s="56"/>
      <c r="EQ45" s="56"/>
      <c r="ER45" s="56"/>
      <c r="ES45" s="56"/>
      <c r="ET45" s="56"/>
      <c r="EU45" s="56"/>
      <c r="EV45" s="56"/>
      <c r="EW45" s="56"/>
      <c r="EX45" s="56"/>
      <c r="EY45" s="56"/>
      <c r="EZ45" s="56"/>
      <c r="FA45" s="56"/>
      <c r="FB45" s="56"/>
      <c r="FC45" s="56"/>
      <c r="FD45" s="56"/>
      <c r="FE45" s="56"/>
      <c r="FF45" s="56"/>
      <c r="FG45" s="56"/>
      <c r="FH45" s="56"/>
      <c r="FI45" s="56"/>
      <c r="FJ45" s="56"/>
      <c r="FK45" s="56"/>
      <c r="FL45" s="56"/>
      <c r="FM45" s="56"/>
      <c r="FN45" s="56"/>
      <c r="FO45" s="56"/>
      <c r="FP45" s="56"/>
      <c r="FQ45" s="56"/>
      <c r="FR45" s="56"/>
      <c r="FS45" s="56"/>
      <c r="FT45" s="56"/>
      <c r="FU45" s="56"/>
      <c r="FV45" s="56"/>
      <c r="FW45" s="56"/>
      <c r="FX45" s="56"/>
      <c r="FY45" s="56"/>
      <c r="FZ45" s="56"/>
      <c r="GA45" s="56"/>
      <c r="GB45" s="56"/>
      <c r="GC45" s="56"/>
      <c r="GD45" s="56"/>
      <c r="GE45" s="56"/>
      <c r="GF45" s="56"/>
      <c r="GG45" s="56"/>
      <c r="GH45" s="56"/>
      <c r="GI45" s="56"/>
      <c r="GJ45" s="56"/>
      <c r="GK45" s="56"/>
      <c r="GL45" s="56"/>
      <c r="GM45" s="56"/>
      <c r="GN45" s="56"/>
      <c r="GO45" s="56"/>
      <c r="GP45" s="56"/>
      <c r="GQ45" s="56"/>
      <c r="GR45" s="56"/>
      <c r="GS45" s="56"/>
      <c r="GT45" s="56"/>
      <c r="GU45" s="56">
        <v>1078.0999999999999</v>
      </c>
      <c r="GV45" s="56">
        <v>15.6</v>
      </c>
      <c r="GW45" s="56">
        <v>5</v>
      </c>
      <c r="GX45" s="56">
        <v>1933.7</v>
      </c>
      <c r="GY45" s="56">
        <v>290.10000000000002</v>
      </c>
      <c r="GZ45" s="56">
        <v>38.9</v>
      </c>
      <c r="HA45" s="56">
        <v>14.2</v>
      </c>
      <c r="HB45" s="56">
        <v>0</v>
      </c>
      <c r="HC45">
        <v>0</v>
      </c>
      <c r="HD45">
        <v>0</v>
      </c>
      <c r="HE45">
        <v>0</v>
      </c>
    </row>
    <row r="46" spans="1:222" x14ac:dyDescent="0.25">
      <c r="A46" s="56" t="s">
        <v>2251</v>
      </c>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c r="FU46" s="56"/>
      <c r="FV46" s="56"/>
      <c r="FW46" s="56"/>
      <c r="FX46" s="56"/>
      <c r="FY46" s="56"/>
      <c r="FZ46" s="56"/>
      <c r="GA46" s="56"/>
      <c r="GB46" s="56"/>
      <c r="GC46" s="56"/>
      <c r="GD46" s="56"/>
      <c r="GE46" s="56"/>
      <c r="GF46" s="56"/>
      <c r="GG46" s="56"/>
      <c r="GH46" s="56"/>
      <c r="GI46" s="56"/>
      <c r="GJ46" s="56"/>
      <c r="GK46" s="56"/>
      <c r="GL46" s="56"/>
      <c r="GM46" s="56"/>
      <c r="GN46" s="56"/>
      <c r="GO46" s="56"/>
      <c r="GP46" s="56"/>
      <c r="GQ46" s="56"/>
      <c r="GR46" s="56"/>
      <c r="GS46" s="56"/>
      <c r="GT46" s="56"/>
      <c r="GU46" s="56">
        <v>9.6</v>
      </c>
      <c r="GV46" s="56">
        <v>14.4</v>
      </c>
      <c r="GW46" s="56">
        <v>14.3</v>
      </c>
      <c r="GX46" s="56">
        <v>15</v>
      </c>
      <c r="GY46" s="56">
        <v>15.3</v>
      </c>
      <c r="GZ46" s="56">
        <v>15.6</v>
      </c>
      <c r="HA46" s="56">
        <v>15.7</v>
      </c>
      <c r="HB46" s="56">
        <v>15.8</v>
      </c>
      <c r="HC46">
        <v>7.9</v>
      </c>
      <c r="HD46">
        <v>0</v>
      </c>
      <c r="HE46">
        <v>0</v>
      </c>
    </row>
    <row r="47" spans="1:222" x14ac:dyDescent="0.25">
      <c r="A47" s="56" t="s">
        <v>2252</v>
      </c>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c r="FU47" s="56"/>
      <c r="FV47" s="56"/>
      <c r="FW47" s="56"/>
      <c r="FX47" s="56"/>
      <c r="FY47" s="56"/>
      <c r="FZ47" s="56"/>
      <c r="GA47" s="56"/>
      <c r="GB47" s="56"/>
      <c r="GC47" s="56"/>
      <c r="GD47" s="56"/>
      <c r="GE47" s="56"/>
      <c r="GF47" s="56"/>
      <c r="GG47" s="56"/>
      <c r="GH47" s="56"/>
      <c r="GI47" s="56"/>
      <c r="GJ47" s="56"/>
      <c r="GK47" s="56"/>
      <c r="GL47" s="56"/>
      <c r="GM47" s="56"/>
      <c r="GN47" s="56"/>
      <c r="GO47" s="56"/>
      <c r="GP47" s="56"/>
      <c r="GQ47" s="56"/>
      <c r="GR47" s="56"/>
      <c r="GS47" s="56"/>
      <c r="GT47" s="56"/>
      <c r="GU47" s="56">
        <v>57.2</v>
      </c>
      <c r="GV47" s="56">
        <v>81.2</v>
      </c>
      <c r="GW47" s="56">
        <v>24.4</v>
      </c>
      <c r="GX47" s="56">
        <v>11.7</v>
      </c>
      <c r="GY47" s="56">
        <v>28.5</v>
      </c>
      <c r="GZ47" s="56">
        <v>18.8</v>
      </c>
      <c r="HA47" s="56">
        <v>1.6</v>
      </c>
      <c r="HB47" s="56">
        <v>0</v>
      </c>
      <c r="HC47">
        <v>0</v>
      </c>
      <c r="HD47">
        <v>0</v>
      </c>
      <c r="HE47">
        <v>0</v>
      </c>
    </row>
    <row r="48" spans="1:222" x14ac:dyDescent="0.25">
      <c r="A48" s="56" t="s">
        <v>2253</v>
      </c>
      <c r="B48" s="56"/>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c r="FU48" s="56"/>
      <c r="FV48" s="56"/>
      <c r="FW48" s="56"/>
      <c r="FX48" s="56"/>
      <c r="FY48" s="56"/>
      <c r="FZ48" s="56"/>
      <c r="GA48" s="56"/>
      <c r="GB48" s="56"/>
      <c r="GC48" s="56"/>
      <c r="GD48" s="56"/>
      <c r="GE48" s="56"/>
      <c r="GF48" s="56"/>
      <c r="GG48" s="56"/>
      <c r="GH48" s="56"/>
      <c r="GI48" s="56"/>
      <c r="GJ48" s="56"/>
      <c r="GK48" s="56"/>
      <c r="GL48" s="56"/>
      <c r="GM48" s="56"/>
      <c r="GN48" s="56"/>
      <c r="GO48" s="56"/>
      <c r="GP48" s="56"/>
      <c r="GQ48" s="56"/>
      <c r="GR48" s="56"/>
      <c r="GS48" s="56"/>
      <c r="GT48" s="56">
        <v>1.5</v>
      </c>
      <c r="GU48" s="56">
        <v>160.9</v>
      </c>
      <c r="GV48" s="56">
        <v>58.4</v>
      </c>
      <c r="GW48" s="56">
        <v>34.5</v>
      </c>
      <c r="GX48" s="56">
        <v>21.4</v>
      </c>
      <c r="GY48" s="56">
        <v>13.3</v>
      </c>
      <c r="GZ48" s="56">
        <v>18.7</v>
      </c>
      <c r="HA48" s="56">
        <v>32.200000000000003</v>
      </c>
      <c r="HB48" s="56">
        <v>26.9</v>
      </c>
      <c r="HC48">
        <v>20</v>
      </c>
      <c r="HD48">
        <v>8.1</v>
      </c>
      <c r="HE48">
        <v>4.9000000000000004</v>
      </c>
    </row>
    <row r="49" spans="1:213" x14ac:dyDescent="0.25">
      <c r="A49" s="56" t="s">
        <v>2254</v>
      </c>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c r="FU49" s="56"/>
      <c r="FV49" s="56"/>
      <c r="FW49" s="56"/>
      <c r="FX49" s="56"/>
      <c r="FY49" s="56"/>
      <c r="FZ49" s="56"/>
      <c r="GA49" s="56"/>
      <c r="GB49" s="56"/>
      <c r="GC49" s="56"/>
      <c r="GD49" s="56"/>
      <c r="GE49" s="56"/>
      <c r="GF49" s="56"/>
      <c r="GG49" s="56"/>
      <c r="GH49" s="56"/>
      <c r="GI49" s="56"/>
      <c r="GJ49" s="56"/>
      <c r="GK49" s="56"/>
      <c r="GL49" s="56"/>
      <c r="GM49" s="56"/>
      <c r="GN49" s="56"/>
      <c r="GO49" s="56"/>
      <c r="GP49" s="56"/>
      <c r="GQ49" s="56"/>
      <c r="GR49" s="56"/>
      <c r="GS49" s="56"/>
      <c r="GT49" s="56"/>
      <c r="GU49" s="56">
        <v>576.9</v>
      </c>
      <c r="GV49" s="56">
        <v>819.5</v>
      </c>
      <c r="GW49" s="56">
        <v>246.3</v>
      </c>
      <c r="GX49" s="56">
        <v>197</v>
      </c>
      <c r="GY49" s="56">
        <v>441.2</v>
      </c>
      <c r="GZ49" s="56">
        <v>276.7</v>
      </c>
      <c r="HA49" s="56">
        <v>28.2</v>
      </c>
      <c r="HB49" s="56">
        <v>0</v>
      </c>
      <c r="HC49">
        <v>0</v>
      </c>
      <c r="HD49">
        <v>0</v>
      </c>
      <c r="HE49">
        <v>0</v>
      </c>
    </row>
    <row r="50" spans="1:213" x14ac:dyDescent="0.25">
      <c r="A50" s="56" t="s">
        <v>2255</v>
      </c>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c r="FU50" s="56"/>
      <c r="FV50" s="56"/>
      <c r="FW50" s="56"/>
      <c r="FX50" s="56"/>
      <c r="FY50" s="56"/>
      <c r="FZ50" s="56"/>
      <c r="GA50" s="56"/>
      <c r="GB50" s="56"/>
      <c r="GC50" s="56"/>
      <c r="GD50" s="56"/>
      <c r="GE50" s="56"/>
      <c r="GF50" s="56"/>
      <c r="GG50" s="56"/>
      <c r="GH50" s="56"/>
      <c r="GI50" s="56"/>
      <c r="GJ50" s="56"/>
      <c r="GK50" s="56"/>
      <c r="GL50" s="56"/>
      <c r="GM50" s="56"/>
      <c r="GN50" s="56"/>
      <c r="GO50" s="56"/>
      <c r="GP50" s="56"/>
      <c r="GQ50" s="56"/>
      <c r="GR50" s="56"/>
      <c r="GS50" s="56"/>
      <c r="GT50" s="56"/>
      <c r="GU50" s="56">
        <v>63.8</v>
      </c>
      <c r="GV50" s="56">
        <v>15</v>
      </c>
      <c r="GW50" s="56">
        <v>0.1</v>
      </c>
      <c r="GX50" s="56">
        <v>38</v>
      </c>
      <c r="GY50" s="56">
        <v>47.3</v>
      </c>
      <c r="GZ50" s="56">
        <v>0.7</v>
      </c>
      <c r="HA50" s="56">
        <v>0</v>
      </c>
      <c r="HB50" s="56">
        <v>0.3</v>
      </c>
      <c r="HC50">
        <v>0.2</v>
      </c>
      <c r="HD50">
        <v>0.3</v>
      </c>
      <c r="HE50">
        <v>0.4</v>
      </c>
    </row>
    <row r="51" spans="1:213" x14ac:dyDescent="0.25">
      <c r="A51" s="56" t="s">
        <v>2256</v>
      </c>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c r="BS51" s="56"/>
      <c r="BT51" s="56"/>
      <c r="BU51" s="56"/>
      <c r="BV51" s="56"/>
      <c r="BW51" s="56"/>
      <c r="BX51" s="56"/>
      <c r="BY51" s="56"/>
      <c r="BZ51" s="56"/>
      <c r="CA51" s="56"/>
      <c r="CB51" s="56"/>
      <c r="CC51" s="56"/>
      <c r="CD51" s="56"/>
      <c r="CE51" s="56"/>
      <c r="CF51" s="56"/>
      <c r="CG51" s="56"/>
      <c r="CH51" s="56"/>
      <c r="CI51" s="56"/>
      <c r="CJ51" s="56"/>
      <c r="CK51" s="56"/>
      <c r="CL51" s="56"/>
      <c r="CM51" s="56"/>
      <c r="CN51" s="56"/>
      <c r="CO51" s="56"/>
      <c r="CP51" s="56"/>
      <c r="CQ51" s="56"/>
      <c r="CR51" s="56"/>
      <c r="CS51" s="56"/>
      <c r="CT51" s="56"/>
      <c r="CU51" s="56"/>
      <c r="CV51" s="56"/>
      <c r="CW51" s="56"/>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56"/>
      <c r="EA51" s="56"/>
      <c r="EB51" s="56"/>
      <c r="EC51" s="56"/>
      <c r="ED51" s="56"/>
      <c r="EE51" s="56"/>
      <c r="EF51" s="56"/>
      <c r="EG51" s="56"/>
      <c r="EH51" s="56"/>
      <c r="EI51" s="56"/>
      <c r="EJ51" s="56"/>
      <c r="EK51" s="56"/>
      <c r="EL51" s="56"/>
      <c r="EM51" s="56"/>
      <c r="EN51" s="56"/>
      <c r="EO51" s="56"/>
      <c r="EP51" s="56"/>
      <c r="EQ51" s="56"/>
      <c r="ER51" s="56"/>
      <c r="ES51" s="56"/>
      <c r="ET51" s="56"/>
      <c r="EU51" s="56"/>
      <c r="EV51" s="56"/>
      <c r="EW51" s="56"/>
      <c r="EX51" s="56"/>
      <c r="EY51" s="56"/>
      <c r="EZ51" s="56"/>
      <c r="FA51" s="56"/>
      <c r="FB51" s="56"/>
      <c r="FC51" s="56"/>
      <c r="FD51" s="56"/>
      <c r="FE51" s="56"/>
      <c r="FF51" s="56"/>
      <c r="FG51" s="56"/>
      <c r="FH51" s="56"/>
      <c r="FI51" s="56"/>
      <c r="FJ51" s="56"/>
      <c r="FK51" s="56"/>
      <c r="FL51" s="56"/>
      <c r="FM51" s="56"/>
      <c r="FN51" s="56"/>
      <c r="FO51" s="56"/>
      <c r="FP51" s="56"/>
      <c r="FQ51" s="56"/>
      <c r="FR51" s="56"/>
      <c r="FS51" s="56"/>
      <c r="FT51" s="56"/>
      <c r="FU51" s="56"/>
      <c r="FV51" s="56"/>
      <c r="FW51" s="56"/>
      <c r="FX51" s="56"/>
      <c r="FY51" s="56"/>
      <c r="FZ51" s="56"/>
      <c r="GA51" s="56"/>
      <c r="GB51" s="56"/>
      <c r="GC51" s="56"/>
      <c r="GD51" s="56"/>
      <c r="GE51" s="56"/>
      <c r="GF51" s="56"/>
      <c r="GG51" s="56"/>
      <c r="GH51" s="56"/>
      <c r="GI51" s="56"/>
      <c r="GJ51" s="56"/>
      <c r="GK51" s="56"/>
      <c r="GL51" s="56"/>
      <c r="GM51" s="56"/>
      <c r="GN51" s="56"/>
      <c r="GO51" s="56"/>
      <c r="GP51" s="56"/>
      <c r="GQ51" s="56"/>
      <c r="GR51" s="56"/>
      <c r="GS51" s="56"/>
      <c r="GT51" s="56"/>
      <c r="GU51" s="56">
        <v>73.3</v>
      </c>
      <c r="GV51" s="56">
        <v>73.3</v>
      </c>
      <c r="GW51" s="56">
        <v>73.3</v>
      </c>
      <c r="GX51" s="56">
        <v>39.799999999999997</v>
      </c>
      <c r="GY51" s="56">
        <v>43</v>
      </c>
      <c r="GZ51" s="56">
        <v>45.7</v>
      </c>
      <c r="HA51" s="56">
        <v>51.5</v>
      </c>
      <c r="HB51" s="56">
        <v>0</v>
      </c>
      <c r="HC51">
        <v>0</v>
      </c>
      <c r="HD51">
        <v>0</v>
      </c>
      <c r="HE51">
        <v>0</v>
      </c>
    </row>
    <row r="52" spans="1:213" x14ac:dyDescent="0.25">
      <c r="A52" s="56" t="s">
        <v>2257</v>
      </c>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c r="FU52" s="56"/>
      <c r="FV52" s="56"/>
      <c r="FW52" s="56"/>
      <c r="FX52" s="56"/>
      <c r="FY52" s="56"/>
      <c r="FZ52" s="56"/>
      <c r="GA52" s="56"/>
      <c r="GB52" s="56"/>
      <c r="GC52" s="56"/>
      <c r="GD52" s="56"/>
      <c r="GE52" s="56"/>
      <c r="GF52" s="56"/>
      <c r="GG52" s="56"/>
      <c r="GH52" s="56"/>
      <c r="GI52" s="56"/>
      <c r="GJ52" s="56"/>
      <c r="GK52" s="56"/>
      <c r="GL52" s="56"/>
      <c r="GM52" s="56"/>
      <c r="GN52" s="56"/>
      <c r="GO52" s="56"/>
      <c r="GP52" s="56"/>
      <c r="GQ52" s="56"/>
      <c r="GR52" s="56"/>
      <c r="GS52" s="56"/>
      <c r="GT52" s="56"/>
      <c r="GU52" s="56">
        <v>22</v>
      </c>
      <c r="GV52" s="56">
        <v>25.3</v>
      </c>
      <c r="GW52" s="56">
        <v>11.8</v>
      </c>
      <c r="GX52" s="56">
        <v>11.9</v>
      </c>
      <c r="GY52" s="56">
        <v>11.3</v>
      </c>
      <c r="GZ52" s="56">
        <v>13.6</v>
      </c>
      <c r="HA52" s="56">
        <v>19</v>
      </c>
      <c r="HB52" s="56">
        <v>21.8</v>
      </c>
      <c r="HC52">
        <v>22.3</v>
      </c>
      <c r="HD52">
        <v>20.2</v>
      </c>
      <c r="HE52">
        <v>15.8</v>
      </c>
    </row>
    <row r="53" spans="1:213" x14ac:dyDescent="0.25">
      <c r="A53" s="56" t="s">
        <v>2258</v>
      </c>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c r="FU53" s="56"/>
      <c r="FV53" s="56"/>
      <c r="FW53" s="56"/>
      <c r="FX53" s="56"/>
      <c r="FY53" s="56"/>
      <c r="FZ53" s="56"/>
      <c r="GA53" s="56"/>
      <c r="GB53" s="56"/>
      <c r="GC53" s="56"/>
      <c r="GD53" s="56"/>
      <c r="GE53" s="56"/>
      <c r="GF53" s="56"/>
      <c r="GG53" s="56"/>
      <c r="GH53" s="56"/>
      <c r="GI53" s="56"/>
      <c r="GJ53" s="56"/>
      <c r="GK53" s="56"/>
      <c r="GL53" s="56"/>
      <c r="GM53" s="56"/>
      <c r="GN53" s="56"/>
      <c r="GO53" s="56"/>
      <c r="GP53" s="56"/>
      <c r="GQ53" s="56"/>
      <c r="GR53" s="56"/>
      <c r="GS53" s="56"/>
      <c r="GT53" s="56"/>
      <c r="GU53" s="56">
        <v>16.899999999999999</v>
      </c>
      <c r="GV53" s="56">
        <v>18.399999999999999</v>
      </c>
      <c r="GW53" s="56">
        <v>46.2</v>
      </c>
      <c r="GX53" s="56">
        <v>0.9</v>
      </c>
      <c r="GY53" s="56">
        <v>14.1</v>
      </c>
      <c r="GZ53" s="56">
        <v>8.6</v>
      </c>
      <c r="HA53" s="56">
        <v>1.2</v>
      </c>
      <c r="HB53" s="56">
        <v>0.6</v>
      </c>
      <c r="HC53">
        <v>0</v>
      </c>
      <c r="HD53">
        <v>0</v>
      </c>
      <c r="HE53">
        <v>0</v>
      </c>
    </row>
    <row r="54" spans="1:213" x14ac:dyDescent="0.25">
      <c r="A54" s="56" t="s">
        <v>2259</v>
      </c>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c r="FU54" s="56"/>
      <c r="FV54" s="56"/>
      <c r="FW54" s="56"/>
      <c r="FX54" s="56"/>
      <c r="FY54" s="56"/>
      <c r="FZ54" s="56"/>
      <c r="GA54" s="56"/>
      <c r="GB54" s="56"/>
      <c r="GC54" s="56"/>
      <c r="GD54" s="56"/>
      <c r="GE54" s="56"/>
      <c r="GF54" s="56"/>
      <c r="GG54" s="56"/>
      <c r="GH54" s="56"/>
      <c r="GI54" s="56"/>
      <c r="GJ54" s="56"/>
      <c r="GK54" s="56"/>
      <c r="GL54" s="56"/>
      <c r="GM54" s="56"/>
      <c r="GN54" s="56"/>
      <c r="GO54" s="56"/>
      <c r="GP54" s="56"/>
      <c r="GQ54" s="56"/>
      <c r="GR54" s="56"/>
      <c r="GS54" s="56"/>
      <c r="GT54" s="56"/>
      <c r="GU54" s="56">
        <v>96.6</v>
      </c>
      <c r="GV54" s="56">
        <v>35.1</v>
      </c>
      <c r="GW54" s="56">
        <v>20.7</v>
      </c>
      <c r="GX54" s="56">
        <v>15.4</v>
      </c>
      <c r="GY54" s="56">
        <v>9.6</v>
      </c>
      <c r="GZ54" s="56">
        <v>13.5</v>
      </c>
      <c r="HA54" s="56">
        <v>23.2</v>
      </c>
      <c r="HB54" s="56">
        <v>19.3</v>
      </c>
      <c r="HC54">
        <v>14.4</v>
      </c>
      <c r="HD54">
        <v>5.9</v>
      </c>
      <c r="HE54">
        <v>3.6</v>
      </c>
    </row>
    <row r="55" spans="1:213" x14ac:dyDescent="0.25">
      <c r="A55" s="56" t="s">
        <v>2260</v>
      </c>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c r="FU55" s="56"/>
      <c r="FV55" s="56"/>
      <c r="FW55" s="56"/>
      <c r="FX55" s="56"/>
      <c r="FY55" s="56"/>
      <c r="FZ55" s="56"/>
      <c r="GA55" s="56"/>
      <c r="GB55" s="56"/>
      <c r="GC55" s="56"/>
      <c r="GD55" s="56"/>
      <c r="GE55" s="56"/>
      <c r="GF55" s="56"/>
      <c r="GG55" s="56"/>
      <c r="GH55" s="56"/>
      <c r="GI55" s="56"/>
      <c r="GJ55" s="56"/>
      <c r="GK55" s="56"/>
      <c r="GL55" s="56"/>
      <c r="GM55" s="56"/>
      <c r="GN55" s="56"/>
      <c r="GO55" s="56"/>
      <c r="GP55" s="56"/>
      <c r="GQ55" s="56"/>
      <c r="GR55" s="56"/>
      <c r="GS55" s="56"/>
      <c r="GT55" s="56"/>
      <c r="GU55" s="56">
        <v>140</v>
      </c>
      <c r="GV55" s="56">
        <v>140</v>
      </c>
      <c r="GW55" s="56">
        <v>140</v>
      </c>
      <c r="GX55" s="56">
        <v>4.8</v>
      </c>
      <c r="GY55" s="56">
        <v>4.4000000000000004</v>
      </c>
      <c r="GZ55" s="56">
        <v>5.3</v>
      </c>
      <c r="HA55" s="56">
        <v>4.7</v>
      </c>
      <c r="HB55" s="56">
        <v>0</v>
      </c>
      <c r="HC55">
        <v>0</v>
      </c>
      <c r="HD55">
        <v>0</v>
      </c>
      <c r="HE55">
        <v>0</v>
      </c>
    </row>
    <row r="56" spans="1:213" x14ac:dyDescent="0.25">
      <c r="A56" s="56" t="s">
        <v>2261</v>
      </c>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c r="FU56" s="56"/>
      <c r="FV56" s="56"/>
      <c r="FW56" s="56"/>
      <c r="FX56" s="56"/>
      <c r="FY56" s="56"/>
      <c r="FZ56" s="56"/>
      <c r="GA56" s="56"/>
      <c r="GB56" s="56"/>
      <c r="GC56" s="56"/>
      <c r="GD56" s="56"/>
      <c r="GE56" s="56"/>
      <c r="GF56" s="56"/>
      <c r="GG56" s="56"/>
      <c r="GH56" s="56"/>
      <c r="GI56" s="56"/>
      <c r="GJ56" s="56"/>
      <c r="GK56" s="56"/>
      <c r="GL56" s="56"/>
      <c r="GM56" s="56"/>
      <c r="GN56" s="56"/>
      <c r="GO56" s="56"/>
      <c r="GP56" s="56"/>
      <c r="GQ56" s="56"/>
      <c r="GR56" s="56"/>
      <c r="GS56" s="56"/>
      <c r="GT56" s="56"/>
      <c r="GU56" s="56">
        <v>597.9</v>
      </c>
      <c r="GV56" s="56">
        <v>0</v>
      </c>
      <c r="GW56" s="56">
        <v>0</v>
      </c>
      <c r="GX56" s="56">
        <v>0</v>
      </c>
      <c r="GY56" s="56">
        <v>785.9</v>
      </c>
      <c r="GZ56" s="56">
        <v>187.9</v>
      </c>
      <c r="HA56" s="56">
        <v>9.1999999999999993</v>
      </c>
      <c r="HB56" s="56">
        <v>0.6</v>
      </c>
      <c r="HC56">
        <v>0</v>
      </c>
      <c r="HD56">
        <v>0</v>
      </c>
      <c r="HE56">
        <v>0</v>
      </c>
    </row>
    <row r="57" spans="1:213" x14ac:dyDescent="0.25">
      <c r="A57" s="56" t="s">
        <v>2262</v>
      </c>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c r="FU57" s="56"/>
      <c r="FV57" s="56"/>
      <c r="FW57" s="56"/>
      <c r="FX57" s="56"/>
      <c r="FY57" s="56"/>
      <c r="FZ57" s="56"/>
      <c r="GA57" s="56"/>
      <c r="GB57" s="56"/>
      <c r="GC57" s="56"/>
      <c r="GD57" s="56"/>
      <c r="GE57" s="56"/>
      <c r="GF57" s="56"/>
      <c r="GG57" s="56"/>
      <c r="GH57" s="56"/>
      <c r="GI57" s="56"/>
      <c r="GJ57" s="56"/>
      <c r="GK57" s="56"/>
      <c r="GL57" s="56"/>
      <c r="GM57" s="56"/>
      <c r="GN57" s="56"/>
      <c r="GO57" s="56"/>
      <c r="GP57" s="56"/>
      <c r="GQ57" s="56"/>
      <c r="GR57" s="56"/>
      <c r="GS57" s="56"/>
      <c r="GT57" s="56"/>
      <c r="GU57" s="56">
        <v>28.4</v>
      </c>
      <c r="GV57" s="56">
        <v>15.8</v>
      </c>
      <c r="GW57" s="56">
        <v>15.2</v>
      </c>
      <c r="GX57" s="56">
        <v>28.9</v>
      </c>
      <c r="GY57" s="56">
        <v>67.599999999999994</v>
      </c>
      <c r="GZ57" s="56">
        <v>80.7</v>
      </c>
      <c r="HA57" s="56">
        <v>87.2</v>
      </c>
      <c r="HB57" s="56">
        <v>72.400000000000006</v>
      </c>
      <c r="HC57">
        <v>85.9</v>
      </c>
      <c r="HD57">
        <v>68.3</v>
      </c>
      <c r="HE57">
        <v>64</v>
      </c>
    </row>
    <row r="58" spans="1:213" x14ac:dyDescent="0.25">
      <c r="A58" s="56" t="s">
        <v>2263</v>
      </c>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56"/>
      <c r="ED58" s="56"/>
      <c r="EE58" s="56"/>
      <c r="EF58" s="56"/>
      <c r="EG58" s="56"/>
      <c r="EH58" s="56"/>
      <c r="EI58" s="56"/>
      <c r="EJ58" s="56"/>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c r="FS58" s="56"/>
      <c r="FT58" s="56"/>
      <c r="FU58" s="56"/>
      <c r="FV58" s="56"/>
      <c r="FW58" s="56"/>
      <c r="FX58" s="56"/>
      <c r="FY58" s="56"/>
      <c r="FZ58" s="56"/>
      <c r="GA58" s="56"/>
      <c r="GB58" s="56"/>
      <c r="GC58" s="56"/>
      <c r="GD58" s="56"/>
      <c r="GE58" s="56"/>
      <c r="GF58" s="56"/>
      <c r="GG58" s="56"/>
      <c r="GH58" s="56"/>
      <c r="GI58" s="56"/>
      <c r="GJ58" s="56"/>
      <c r="GK58" s="56"/>
      <c r="GL58" s="56"/>
      <c r="GM58" s="56"/>
      <c r="GN58" s="56"/>
      <c r="GO58" s="56"/>
      <c r="GP58" s="56"/>
      <c r="GQ58" s="56"/>
      <c r="GR58" s="56"/>
      <c r="GS58" s="56"/>
      <c r="GT58" s="56"/>
      <c r="GU58" s="56">
        <v>64.400000000000006</v>
      </c>
      <c r="GV58" s="56">
        <v>23.4</v>
      </c>
      <c r="GW58" s="56">
        <v>13.8</v>
      </c>
      <c r="GX58" s="56">
        <v>12</v>
      </c>
      <c r="GY58" s="56">
        <v>7.5</v>
      </c>
      <c r="GZ58" s="56">
        <v>10.5</v>
      </c>
      <c r="HA58" s="56">
        <v>18</v>
      </c>
      <c r="HB58" s="56">
        <v>15</v>
      </c>
      <c r="HC58">
        <v>11.2</v>
      </c>
      <c r="HD58">
        <v>7.5</v>
      </c>
      <c r="HE58">
        <v>6.2</v>
      </c>
    </row>
    <row r="59" spans="1:213" x14ac:dyDescent="0.25">
      <c r="A59" s="56" t="s">
        <v>2264</v>
      </c>
      <c r="B59" s="56"/>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c r="FU59" s="56"/>
      <c r="FV59" s="56"/>
      <c r="FW59" s="56"/>
      <c r="FX59" s="56"/>
      <c r="FY59" s="56"/>
      <c r="FZ59" s="56"/>
      <c r="GA59" s="56"/>
      <c r="GB59" s="56"/>
      <c r="GC59" s="56"/>
      <c r="GD59" s="56"/>
      <c r="GE59" s="56"/>
      <c r="GF59" s="56"/>
      <c r="GG59" s="56"/>
      <c r="GH59" s="56"/>
      <c r="GI59" s="56"/>
      <c r="GJ59" s="56"/>
      <c r="GK59" s="56"/>
      <c r="GL59" s="56"/>
      <c r="GM59" s="56"/>
      <c r="GN59" s="56"/>
      <c r="GO59" s="56"/>
      <c r="GP59" s="56"/>
      <c r="GQ59" s="56"/>
      <c r="GR59" s="56"/>
      <c r="GS59" s="56"/>
      <c r="GT59" s="56"/>
      <c r="GU59" s="56">
        <v>6.3</v>
      </c>
      <c r="GV59" s="56">
        <v>26.7</v>
      </c>
      <c r="GW59" s="56">
        <v>82.1</v>
      </c>
      <c r="GX59" s="56">
        <v>94.7</v>
      </c>
      <c r="GY59" s="56">
        <v>92.1</v>
      </c>
      <c r="GZ59" s="56">
        <v>51.6</v>
      </c>
      <c r="HA59" s="56">
        <v>2.8</v>
      </c>
      <c r="HB59" s="56">
        <v>0.8</v>
      </c>
      <c r="HC59">
        <v>0.5</v>
      </c>
      <c r="HD59">
        <v>0.3</v>
      </c>
      <c r="HE59">
        <v>0.2</v>
      </c>
    </row>
    <row r="60" spans="1:213" x14ac:dyDescent="0.25">
      <c r="A60" s="56" t="s">
        <v>2265</v>
      </c>
      <c r="B60" s="56"/>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c r="FU60" s="56"/>
      <c r="FV60" s="56"/>
      <c r="FW60" s="56"/>
      <c r="FX60" s="56"/>
      <c r="FY60" s="56"/>
      <c r="FZ60" s="56"/>
      <c r="GA60" s="56"/>
      <c r="GB60" s="56"/>
      <c r="GC60" s="56"/>
      <c r="GD60" s="56"/>
      <c r="GE60" s="56"/>
      <c r="GF60" s="56"/>
      <c r="GG60" s="56"/>
      <c r="GH60" s="56"/>
      <c r="GI60" s="56"/>
      <c r="GJ60" s="56"/>
      <c r="GK60" s="56"/>
      <c r="GL60" s="56"/>
      <c r="GM60" s="56"/>
      <c r="GN60" s="56"/>
      <c r="GO60" s="56"/>
      <c r="GP60" s="56"/>
      <c r="GQ60" s="56"/>
      <c r="GR60" s="56"/>
      <c r="GS60" s="56"/>
      <c r="GT60" s="56"/>
      <c r="GU60" s="56">
        <v>74.400000000000006</v>
      </c>
      <c r="GV60" s="56">
        <v>138.30000000000001</v>
      </c>
      <c r="GW60" s="56">
        <v>106.8</v>
      </c>
      <c r="GX60" s="56">
        <v>89.2</v>
      </c>
      <c r="GY60" s="56">
        <v>72.3</v>
      </c>
      <c r="GZ60" s="56">
        <v>43.5</v>
      </c>
      <c r="HA60" s="56">
        <v>2.1</v>
      </c>
      <c r="HB60" s="56">
        <v>0.8</v>
      </c>
      <c r="HC60">
        <v>0.4</v>
      </c>
      <c r="HD60">
        <v>0.2</v>
      </c>
      <c r="HE60">
        <v>0.1</v>
      </c>
    </row>
    <row r="61" spans="1:213" x14ac:dyDescent="0.25">
      <c r="A61" s="56" t="s">
        <v>2266</v>
      </c>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c r="FU61" s="56"/>
      <c r="FV61" s="56"/>
      <c r="FW61" s="56"/>
      <c r="FX61" s="56"/>
      <c r="FY61" s="56"/>
      <c r="FZ61" s="56"/>
      <c r="GA61" s="56"/>
      <c r="GB61" s="56"/>
      <c r="GC61" s="56"/>
      <c r="GD61" s="56"/>
      <c r="GE61" s="56"/>
      <c r="GF61" s="56"/>
      <c r="GG61" s="56"/>
      <c r="GH61" s="56"/>
      <c r="GI61" s="56"/>
      <c r="GJ61" s="56"/>
      <c r="GK61" s="56"/>
      <c r="GL61" s="56"/>
      <c r="GM61" s="56"/>
      <c r="GN61" s="56"/>
      <c r="GO61" s="56"/>
      <c r="GP61" s="56"/>
      <c r="GQ61" s="56"/>
      <c r="GR61" s="56"/>
      <c r="GS61" s="56"/>
      <c r="GT61" s="56"/>
      <c r="GU61" s="56">
        <v>698.9</v>
      </c>
      <c r="GV61" s="56">
        <v>413.9</v>
      </c>
      <c r="GW61" s="56">
        <v>14.7</v>
      </c>
      <c r="GX61" s="56">
        <v>288.2</v>
      </c>
      <c r="GY61" s="56">
        <v>233.3</v>
      </c>
      <c r="GZ61" s="56">
        <v>110.5</v>
      </c>
      <c r="HA61" s="56">
        <v>0</v>
      </c>
      <c r="HB61" s="56">
        <v>0</v>
      </c>
      <c r="HC61">
        <v>0</v>
      </c>
      <c r="HD61">
        <v>0</v>
      </c>
      <c r="HE61">
        <v>0</v>
      </c>
    </row>
    <row r="62" spans="1:213" x14ac:dyDescent="0.25">
      <c r="A62" s="56" t="s">
        <v>2267</v>
      </c>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c r="FU62" s="56"/>
      <c r="FV62" s="56"/>
      <c r="FW62" s="56"/>
      <c r="FX62" s="56"/>
      <c r="FY62" s="56"/>
      <c r="FZ62" s="56"/>
      <c r="GA62" s="56"/>
      <c r="GB62" s="56"/>
      <c r="GC62" s="56"/>
      <c r="GD62" s="56"/>
      <c r="GE62" s="56"/>
      <c r="GF62" s="56"/>
      <c r="GG62" s="56"/>
      <c r="GH62" s="56"/>
      <c r="GI62" s="56"/>
      <c r="GJ62" s="56"/>
      <c r="GK62" s="56"/>
      <c r="GL62" s="56"/>
      <c r="GM62" s="56"/>
      <c r="GN62" s="56"/>
      <c r="GO62" s="56"/>
      <c r="GP62" s="56"/>
      <c r="GQ62" s="56"/>
      <c r="GR62" s="56"/>
      <c r="GS62" s="56"/>
      <c r="GT62" s="56"/>
      <c r="GU62" s="56">
        <v>779.6</v>
      </c>
      <c r="GV62" s="56">
        <v>582.4</v>
      </c>
      <c r="GW62" s="56">
        <v>216.6</v>
      </c>
      <c r="GX62" s="56">
        <v>497.6</v>
      </c>
      <c r="GY62" s="56">
        <v>401.5</v>
      </c>
      <c r="GZ62" s="56">
        <v>207.5</v>
      </c>
      <c r="HA62" s="56">
        <v>5.5</v>
      </c>
      <c r="HB62" s="56">
        <v>1.8</v>
      </c>
      <c r="HC62">
        <v>1</v>
      </c>
      <c r="HD62">
        <v>0.5</v>
      </c>
      <c r="HE62">
        <v>0.3</v>
      </c>
    </row>
    <row r="63" spans="1:213" x14ac:dyDescent="0.25">
      <c r="A63" s="56" t="s">
        <v>2268</v>
      </c>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c r="DE63" s="56"/>
      <c r="DF63" s="56"/>
      <c r="DG63" s="56"/>
      <c r="DH63" s="56"/>
      <c r="DI63" s="56"/>
      <c r="DJ63" s="56"/>
      <c r="DK63" s="56"/>
      <c r="DL63" s="56"/>
      <c r="DM63" s="56"/>
      <c r="DN63" s="56"/>
      <c r="DO63" s="56"/>
      <c r="DP63" s="56"/>
      <c r="DQ63" s="56"/>
      <c r="DR63" s="56"/>
      <c r="DS63" s="56"/>
      <c r="DT63" s="56"/>
      <c r="DU63" s="56"/>
      <c r="DV63" s="56"/>
      <c r="DW63" s="56"/>
      <c r="DX63" s="56"/>
      <c r="DY63" s="56"/>
      <c r="DZ63" s="56"/>
      <c r="EA63" s="56"/>
      <c r="EB63" s="56"/>
      <c r="EC63" s="56"/>
      <c r="ED63" s="56"/>
      <c r="EE63" s="56"/>
      <c r="EF63" s="56"/>
      <c r="EG63" s="56"/>
      <c r="EH63" s="56"/>
      <c r="EI63" s="56"/>
      <c r="EJ63" s="56"/>
      <c r="EK63" s="56"/>
      <c r="EL63" s="56"/>
      <c r="EM63" s="56"/>
      <c r="EN63" s="56"/>
      <c r="EO63" s="56"/>
      <c r="EP63" s="56"/>
      <c r="EQ63" s="56"/>
      <c r="ER63" s="56"/>
      <c r="ES63" s="56"/>
      <c r="ET63" s="56"/>
      <c r="EU63" s="56"/>
      <c r="EV63" s="56"/>
      <c r="EW63" s="56"/>
      <c r="EX63" s="56"/>
      <c r="EY63" s="56"/>
      <c r="EZ63" s="56"/>
      <c r="FA63" s="56"/>
      <c r="FB63" s="56"/>
      <c r="FC63" s="56"/>
      <c r="FD63" s="56"/>
      <c r="FE63" s="56"/>
      <c r="FF63" s="56"/>
      <c r="FG63" s="56"/>
      <c r="FH63" s="56"/>
      <c r="FI63" s="56"/>
      <c r="FJ63" s="56"/>
      <c r="FK63" s="56"/>
      <c r="FL63" s="56"/>
      <c r="FM63" s="56"/>
      <c r="FN63" s="56"/>
      <c r="FO63" s="56"/>
      <c r="FP63" s="56"/>
      <c r="FQ63" s="56"/>
      <c r="FR63" s="56"/>
      <c r="FS63" s="56"/>
      <c r="FT63" s="56"/>
      <c r="FU63" s="56"/>
      <c r="FV63" s="56"/>
      <c r="FW63" s="56"/>
      <c r="FX63" s="56"/>
      <c r="FY63" s="56"/>
      <c r="FZ63" s="56"/>
      <c r="GA63" s="56"/>
      <c r="GB63" s="56"/>
      <c r="GC63" s="56"/>
      <c r="GD63" s="56"/>
      <c r="GE63" s="56"/>
      <c r="GF63" s="56"/>
      <c r="GG63" s="56"/>
      <c r="GH63" s="56"/>
      <c r="GI63" s="56"/>
      <c r="GJ63" s="56"/>
      <c r="GK63" s="56"/>
      <c r="GL63" s="56"/>
      <c r="GM63" s="56"/>
      <c r="GN63" s="56"/>
      <c r="GO63" s="56"/>
      <c r="GP63" s="56"/>
      <c r="GQ63" s="56"/>
      <c r="GR63" s="56"/>
      <c r="GS63" s="56"/>
      <c r="GT63" s="56"/>
      <c r="GU63" s="56">
        <v>0.1</v>
      </c>
      <c r="GV63" s="56">
        <v>3.7</v>
      </c>
      <c r="GW63" s="56">
        <v>12.9</v>
      </c>
      <c r="GX63" s="56">
        <v>25.5</v>
      </c>
      <c r="GY63" s="56">
        <v>3.8</v>
      </c>
      <c r="GZ63" s="56">
        <v>1.8</v>
      </c>
      <c r="HA63" s="56">
        <v>0.6</v>
      </c>
      <c r="HB63" s="56">
        <v>0.2</v>
      </c>
      <c r="HC63">
        <v>0.1</v>
      </c>
      <c r="HD63">
        <v>0</v>
      </c>
      <c r="HE63">
        <v>0</v>
      </c>
    </row>
    <row r="64" spans="1:213" x14ac:dyDescent="0.25">
      <c r="A64" s="56" t="s">
        <v>2269</v>
      </c>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c r="FU64" s="56"/>
      <c r="FV64" s="56"/>
      <c r="FW64" s="56"/>
      <c r="FX64" s="56"/>
      <c r="FY64" s="56"/>
      <c r="FZ64" s="56"/>
      <c r="GA64" s="56"/>
      <c r="GB64" s="56"/>
      <c r="GC64" s="56"/>
      <c r="GD64" s="56"/>
      <c r="GE64" s="56"/>
      <c r="GF64" s="56"/>
      <c r="GG64" s="56"/>
      <c r="GH64" s="56"/>
      <c r="GI64" s="56"/>
      <c r="GJ64" s="56"/>
      <c r="GK64" s="56"/>
      <c r="GL64" s="56"/>
      <c r="GM64" s="56"/>
      <c r="GN64" s="56"/>
      <c r="GO64" s="56"/>
      <c r="GP64" s="56"/>
      <c r="GQ64" s="56"/>
      <c r="GR64" s="56"/>
      <c r="GS64" s="56"/>
      <c r="GT64" s="56"/>
      <c r="GU64" s="56"/>
      <c r="GV64" s="56">
        <v>106.2</v>
      </c>
      <c r="GW64" s="56">
        <v>35.9</v>
      </c>
      <c r="GX64" s="56">
        <v>1.6</v>
      </c>
      <c r="GY64" s="56">
        <v>0.6</v>
      </c>
      <c r="GZ64" s="56">
        <v>0.1</v>
      </c>
      <c r="HA64" s="56">
        <v>0</v>
      </c>
      <c r="HB64" s="56">
        <v>0</v>
      </c>
      <c r="HC64">
        <v>0</v>
      </c>
      <c r="HD64">
        <v>0</v>
      </c>
      <c r="HE64">
        <v>0</v>
      </c>
    </row>
    <row r="65" spans="1:222" x14ac:dyDescent="0.25">
      <c r="A65" s="56" t="s">
        <v>2270</v>
      </c>
      <c r="B65" s="56">
        <v>5.7</v>
      </c>
      <c r="C65" s="56">
        <v>5.4</v>
      </c>
      <c r="D65" s="56">
        <v>4.9000000000000004</v>
      </c>
      <c r="E65" s="56">
        <v>5.0999999999999996</v>
      </c>
      <c r="F65" s="56">
        <v>5.6</v>
      </c>
      <c r="G65" s="56">
        <v>6.4</v>
      </c>
      <c r="H65" s="56">
        <v>5.9</v>
      </c>
      <c r="I65" s="56">
        <v>5.8</v>
      </c>
      <c r="J65" s="56">
        <v>5.9</v>
      </c>
      <c r="K65" s="56">
        <v>5.5</v>
      </c>
      <c r="L65" s="56">
        <v>7</v>
      </c>
      <c r="M65" s="56">
        <v>5.9</v>
      </c>
      <c r="N65" s="56">
        <v>5.9</v>
      </c>
      <c r="O65" s="56">
        <v>6.4</v>
      </c>
      <c r="P65" s="56">
        <v>5.5</v>
      </c>
      <c r="Q65" s="56">
        <v>6.1</v>
      </c>
      <c r="R65" s="56">
        <v>8</v>
      </c>
      <c r="S65" s="56">
        <v>8.8000000000000007</v>
      </c>
      <c r="T65" s="56">
        <v>6.7</v>
      </c>
      <c r="U65" s="56">
        <v>8.1</v>
      </c>
      <c r="V65" s="56">
        <v>9</v>
      </c>
      <c r="W65" s="56">
        <v>8.1</v>
      </c>
      <c r="X65" s="56">
        <v>11.1</v>
      </c>
      <c r="Y65" s="56">
        <v>10.7</v>
      </c>
      <c r="Z65" s="56">
        <v>10.3</v>
      </c>
      <c r="AA65" s="56">
        <v>10</v>
      </c>
      <c r="AB65" s="56">
        <v>10.8</v>
      </c>
      <c r="AC65" s="56">
        <v>11.3</v>
      </c>
      <c r="AD65" s="56">
        <v>10.9</v>
      </c>
      <c r="AE65" s="56">
        <v>10.9</v>
      </c>
      <c r="AF65" s="56">
        <v>12.1</v>
      </c>
      <c r="AG65" s="56">
        <v>10.9</v>
      </c>
      <c r="AH65" s="56">
        <v>11.2</v>
      </c>
      <c r="AI65" s="56">
        <v>11.8</v>
      </c>
      <c r="AJ65" s="56">
        <v>12.2</v>
      </c>
      <c r="AK65" s="56">
        <v>12.8</v>
      </c>
      <c r="AL65" s="56">
        <v>13.9</v>
      </c>
      <c r="AM65" s="56">
        <v>13.4</v>
      </c>
      <c r="AN65" s="56">
        <v>14.7</v>
      </c>
      <c r="AO65" s="56">
        <v>16.100000000000001</v>
      </c>
      <c r="AP65" s="56">
        <v>16.7</v>
      </c>
      <c r="AQ65" s="56">
        <v>16.899999999999999</v>
      </c>
      <c r="AR65" s="56">
        <v>16.3</v>
      </c>
      <c r="AS65" s="56">
        <v>17.100000000000001</v>
      </c>
      <c r="AT65" s="56">
        <v>16.399999999999999</v>
      </c>
      <c r="AU65" s="56">
        <v>16</v>
      </c>
      <c r="AV65" s="56">
        <v>15.1</v>
      </c>
      <c r="AW65" s="56">
        <v>15.4</v>
      </c>
      <c r="AX65" s="56">
        <v>14.2</v>
      </c>
      <c r="AY65" s="56">
        <v>14.9</v>
      </c>
      <c r="AZ65" s="56">
        <v>14.8</v>
      </c>
      <c r="BA65" s="56">
        <v>14.7</v>
      </c>
      <c r="BB65" s="56">
        <v>16.100000000000001</v>
      </c>
      <c r="BC65" s="56">
        <v>14.3</v>
      </c>
      <c r="BD65" s="56">
        <v>16</v>
      </c>
      <c r="BE65" s="56">
        <v>15.9</v>
      </c>
      <c r="BF65" s="56">
        <v>16.7</v>
      </c>
      <c r="BG65" s="56">
        <v>17.3</v>
      </c>
      <c r="BH65" s="56">
        <v>18.2</v>
      </c>
      <c r="BI65" s="56">
        <v>18.899999999999999</v>
      </c>
      <c r="BJ65" s="56">
        <v>17.2</v>
      </c>
      <c r="BK65" s="56">
        <v>19.600000000000001</v>
      </c>
      <c r="BL65" s="56">
        <v>20.2</v>
      </c>
      <c r="BM65" s="56">
        <v>21.3</v>
      </c>
      <c r="BN65" s="56">
        <v>19.8</v>
      </c>
      <c r="BO65" s="56">
        <v>20.7</v>
      </c>
      <c r="BP65" s="56">
        <v>21.4</v>
      </c>
      <c r="BQ65" s="56">
        <v>18.399999999999999</v>
      </c>
      <c r="BR65" s="56">
        <v>18.899999999999999</v>
      </c>
      <c r="BS65" s="56">
        <v>19.7</v>
      </c>
      <c r="BT65" s="56">
        <v>19</v>
      </c>
      <c r="BU65" s="56">
        <v>18.8</v>
      </c>
      <c r="BV65" s="56">
        <v>19.100000000000001</v>
      </c>
      <c r="BW65" s="56">
        <v>20</v>
      </c>
      <c r="BX65" s="56">
        <v>20.5</v>
      </c>
      <c r="BY65" s="56">
        <v>19.399999999999999</v>
      </c>
      <c r="BZ65" s="56">
        <v>20.3</v>
      </c>
      <c r="CA65" s="56">
        <v>20.100000000000001</v>
      </c>
      <c r="CB65" s="56">
        <v>19</v>
      </c>
      <c r="CC65" s="56">
        <v>21.5</v>
      </c>
      <c r="CD65" s="56">
        <v>22.3</v>
      </c>
      <c r="CE65" s="56">
        <v>20.3</v>
      </c>
      <c r="CF65" s="56">
        <v>20.7</v>
      </c>
      <c r="CG65" s="56">
        <v>49.5</v>
      </c>
      <c r="CH65" s="56">
        <v>26</v>
      </c>
      <c r="CI65" s="56">
        <v>22.2</v>
      </c>
      <c r="CJ65" s="56">
        <v>37.1</v>
      </c>
      <c r="CK65" s="56">
        <v>20.8</v>
      </c>
      <c r="CL65" s="56">
        <v>21.6</v>
      </c>
      <c r="CM65" s="56">
        <v>23.2</v>
      </c>
      <c r="CN65" s="56">
        <v>22.5</v>
      </c>
      <c r="CO65" s="56">
        <v>23.2</v>
      </c>
      <c r="CP65" s="56">
        <v>24.4</v>
      </c>
      <c r="CQ65" s="56">
        <v>22.6</v>
      </c>
      <c r="CR65" s="56">
        <v>25.3</v>
      </c>
      <c r="CS65" s="56">
        <v>24.9</v>
      </c>
      <c r="CT65" s="56">
        <v>23.8</v>
      </c>
      <c r="CU65" s="56">
        <v>27.5</v>
      </c>
      <c r="CV65" s="56">
        <v>26.2</v>
      </c>
      <c r="CW65" s="56">
        <v>26.7</v>
      </c>
      <c r="CX65" s="56">
        <v>27.9</v>
      </c>
      <c r="CY65" s="56">
        <v>28.2</v>
      </c>
      <c r="CZ65" s="56">
        <v>28.4</v>
      </c>
      <c r="DA65" s="56">
        <v>27</v>
      </c>
      <c r="DB65" s="56">
        <v>29.3</v>
      </c>
      <c r="DC65" s="56">
        <v>28.1</v>
      </c>
      <c r="DD65" s="56">
        <v>27.3</v>
      </c>
      <c r="DE65" s="56">
        <v>28.9</v>
      </c>
      <c r="DF65" s="56">
        <v>28.6</v>
      </c>
      <c r="DG65" s="56">
        <v>29.5</v>
      </c>
      <c r="DH65" s="56">
        <v>29.7</v>
      </c>
      <c r="DI65" s="56">
        <v>29</v>
      </c>
      <c r="DJ65" s="56">
        <v>27.3</v>
      </c>
      <c r="DK65" s="56">
        <v>27.5</v>
      </c>
      <c r="DL65" s="56">
        <v>29.4</v>
      </c>
      <c r="DM65" s="56">
        <v>31.5</v>
      </c>
      <c r="DN65" s="56">
        <v>29.2</v>
      </c>
      <c r="DO65" s="56">
        <v>33.9</v>
      </c>
      <c r="DP65" s="56">
        <v>35.9</v>
      </c>
      <c r="DQ65" s="56">
        <v>56.3</v>
      </c>
      <c r="DR65" s="56">
        <v>38</v>
      </c>
      <c r="DS65" s="56">
        <v>37.9</v>
      </c>
      <c r="DT65" s="56">
        <v>39.4</v>
      </c>
      <c r="DU65" s="56">
        <v>49.6</v>
      </c>
      <c r="DV65" s="56">
        <v>40.9</v>
      </c>
      <c r="DW65" s="56">
        <v>43.8</v>
      </c>
      <c r="DX65" s="56">
        <v>44.3</v>
      </c>
      <c r="DY65" s="56">
        <v>45.3</v>
      </c>
      <c r="DZ65" s="56">
        <v>59.6</v>
      </c>
      <c r="EA65" s="56">
        <v>47.2</v>
      </c>
      <c r="EB65" s="56">
        <v>43.2</v>
      </c>
      <c r="EC65" s="56">
        <v>63.5</v>
      </c>
      <c r="ED65" s="56">
        <v>65.7</v>
      </c>
      <c r="EE65" s="56">
        <v>75.5</v>
      </c>
      <c r="EF65" s="56">
        <v>71.5</v>
      </c>
      <c r="EG65" s="56">
        <v>66.400000000000006</v>
      </c>
      <c r="EH65" s="56">
        <v>75.3</v>
      </c>
      <c r="EI65" s="56">
        <v>65.2</v>
      </c>
      <c r="EJ65" s="56">
        <v>74.7</v>
      </c>
      <c r="EK65" s="56">
        <v>70.2</v>
      </c>
      <c r="EL65" s="56">
        <v>90.6</v>
      </c>
      <c r="EM65" s="56">
        <v>75</v>
      </c>
      <c r="EN65" s="56">
        <v>141.5</v>
      </c>
      <c r="EO65" s="56">
        <v>82.9</v>
      </c>
      <c r="EP65" s="56">
        <v>80.5</v>
      </c>
      <c r="EQ65" s="56">
        <v>77.5</v>
      </c>
      <c r="ER65" s="56">
        <v>74.8</v>
      </c>
      <c r="ES65" s="56">
        <v>73.900000000000006</v>
      </c>
      <c r="ET65" s="56">
        <v>90.3</v>
      </c>
      <c r="EU65" s="56">
        <v>86.5</v>
      </c>
      <c r="EV65" s="56">
        <v>86.3</v>
      </c>
      <c r="EW65" s="56">
        <v>80.400000000000006</v>
      </c>
      <c r="EX65" s="56">
        <v>87</v>
      </c>
      <c r="EY65" s="56">
        <v>81.400000000000006</v>
      </c>
      <c r="EZ65" s="56">
        <v>91.2</v>
      </c>
      <c r="FA65" s="56">
        <v>348.6</v>
      </c>
      <c r="FB65" s="56">
        <v>301.2</v>
      </c>
      <c r="FC65" s="56">
        <v>226</v>
      </c>
      <c r="FD65" s="56">
        <v>144.9</v>
      </c>
      <c r="FE65" s="56">
        <v>178.4</v>
      </c>
      <c r="FF65" s="56">
        <v>164.3</v>
      </c>
      <c r="FG65" s="56">
        <v>195.8</v>
      </c>
      <c r="FH65" s="56">
        <v>122.5</v>
      </c>
      <c r="FI65" s="56">
        <v>110</v>
      </c>
      <c r="FJ65" s="56">
        <v>110.2</v>
      </c>
      <c r="FK65" s="56">
        <v>142.19999999999999</v>
      </c>
      <c r="FL65" s="56">
        <v>122.8</v>
      </c>
      <c r="FM65" s="56">
        <v>149.69999999999999</v>
      </c>
      <c r="FN65" s="56">
        <v>110.8</v>
      </c>
      <c r="FO65" s="56">
        <v>93</v>
      </c>
      <c r="FP65" s="56">
        <v>90.7</v>
      </c>
      <c r="FQ65" s="56">
        <v>125.3</v>
      </c>
      <c r="FR65" s="56">
        <v>91.2</v>
      </c>
      <c r="FS65" s="56">
        <v>84.4</v>
      </c>
      <c r="FT65" s="56">
        <v>85.3</v>
      </c>
      <c r="FU65" s="56">
        <v>79.7</v>
      </c>
      <c r="FV65" s="56">
        <v>86.8</v>
      </c>
      <c r="FW65" s="56">
        <v>84.1</v>
      </c>
      <c r="FX65" s="56">
        <v>83</v>
      </c>
      <c r="FY65" s="56">
        <v>80.8</v>
      </c>
      <c r="FZ65" s="56">
        <v>83.2</v>
      </c>
      <c r="GA65" s="56">
        <v>77.099999999999994</v>
      </c>
      <c r="GB65" s="56">
        <v>83.9</v>
      </c>
      <c r="GC65" s="56">
        <v>76.400000000000006</v>
      </c>
      <c r="GD65" s="56">
        <v>80.900000000000006</v>
      </c>
      <c r="GE65" s="56">
        <v>77.2</v>
      </c>
      <c r="GF65" s="56">
        <v>79.599999999999994</v>
      </c>
      <c r="GG65" s="56">
        <v>84.5</v>
      </c>
      <c r="GH65" s="56">
        <v>84.3</v>
      </c>
      <c r="GI65" s="56">
        <v>85.5</v>
      </c>
      <c r="GJ65" s="56">
        <v>116.5</v>
      </c>
      <c r="GK65" s="56">
        <v>81</v>
      </c>
      <c r="GL65" s="56">
        <v>78.900000000000006</v>
      </c>
      <c r="GM65" s="56">
        <v>86.1</v>
      </c>
      <c r="GN65" s="56">
        <v>85.3</v>
      </c>
      <c r="GO65" s="56">
        <v>82.9</v>
      </c>
      <c r="GP65" s="56">
        <v>86</v>
      </c>
      <c r="GQ65" s="56">
        <v>78.599999999999994</v>
      </c>
      <c r="GR65" s="56">
        <v>82.2</v>
      </c>
      <c r="GS65" s="56">
        <v>134</v>
      </c>
      <c r="GT65" s="56">
        <v>95.5</v>
      </c>
      <c r="GU65" s="56">
        <v>92.4</v>
      </c>
      <c r="GV65" s="56">
        <v>92.9</v>
      </c>
      <c r="GW65" s="56">
        <v>89.2</v>
      </c>
      <c r="GX65" s="56">
        <v>301.10000000000002</v>
      </c>
      <c r="GY65" s="56">
        <v>85.6</v>
      </c>
      <c r="GZ65" s="56">
        <v>98.4</v>
      </c>
      <c r="HA65" s="56">
        <v>88.6</v>
      </c>
      <c r="HB65" s="56">
        <v>89.5</v>
      </c>
      <c r="HC65">
        <v>476.6</v>
      </c>
      <c r="HD65">
        <v>203.9</v>
      </c>
      <c r="HE65">
        <v>108.6</v>
      </c>
      <c r="HF65">
        <v>246.5</v>
      </c>
      <c r="HG65">
        <v>385</v>
      </c>
      <c r="HH65">
        <v>343</v>
      </c>
      <c r="HI65">
        <v>164.7</v>
      </c>
      <c r="HJ65">
        <v>159.80000000000001</v>
      </c>
      <c r="HK65">
        <v>167.3</v>
      </c>
      <c r="HL65">
        <v>186.2</v>
      </c>
      <c r="HM65">
        <v>253.4</v>
      </c>
      <c r="HN65">
        <v>156.9</v>
      </c>
    </row>
    <row r="66" spans="1:222" x14ac:dyDescent="0.25">
      <c r="A66" s="56" t="s">
        <v>2271</v>
      </c>
      <c r="B66" s="56">
        <v>0.58399999999999996</v>
      </c>
      <c r="C66" s="56">
        <v>0.98</v>
      </c>
      <c r="D66" s="56">
        <v>1.256</v>
      </c>
      <c r="E66" s="56">
        <v>1.5920000000000001</v>
      </c>
      <c r="F66" s="56">
        <v>1.62</v>
      </c>
      <c r="G66" s="56">
        <v>1.6</v>
      </c>
      <c r="H66" s="56">
        <v>1.7</v>
      </c>
      <c r="I66" s="56">
        <v>1.8720000000000001</v>
      </c>
      <c r="J66" s="56">
        <v>1.8320000000000001</v>
      </c>
      <c r="K66" s="56">
        <v>1.8240000000000001</v>
      </c>
      <c r="L66" s="56">
        <v>2.1080000000000001</v>
      </c>
      <c r="M66" s="56">
        <v>2.1560000000000001</v>
      </c>
      <c r="N66" s="56">
        <v>2.1560000000000001</v>
      </c>
      <c r="O66" s="56">
        <v>2.1440000000000001</v>
      </c>
      <c r="P66" s="56">
        <v>2.2480000000000002</v>
      </c>
      <c r="Q66" s="56">
        <v>2.2879999999999998</v>
      </c>
      <c r="R66" s="56">
        <v>3.0640000000000001</v>
      </c>
      <c r="S66" s="56">
        <v>3.16</v>
      </c>
      <c r="T66" s="56">
        <v>3.62</v>
      </c>
      <c r="U66" s="56">
        <v>3.8879999999999999</v>
      </c>
      <c r="V66" s="56">
        <v>4.3639999999999999</v>
      </c>
      <c r="W66" s="56">
        <v>4.5119999999999996</v>
      </c>
      <c r="X66" s="56">
        <v>4.8319999999999999</v>
      </c>
      <c r="Y66" s="56">
        <v>4.68</v>
      </c>
      <c r="Z66" s="56">
        <v>4.7679999999999998</v>
      </c>
      <c r="AA66" s="56">
        <v>4.6760000000000002</v>
      </c>
      <c r="AB66" s="56">
        <v>4.4160000000000004</v>
      </c>
      <c r="AC66" s="56">
        <v>4.532</v>
      </c>
      <c r="AD66" s="56">
        <v>4.4960000000000004</v>
      </c>
      <c r="AE66" s="56">
        <v>4.3159999999999998</v>
      </c>
      <c r="AF66" s="56">
        <v>4.38</v>
      </c>
      <c r="AG66" s="56">
        <v>4.3840000000000003</v>
      </c>
      <c r="AH66" s="56">
        <v>4.5839999999999996</v>
      </c>
      <c r="AI66" s="56">
        <v>4.4880000000000004</v>
      </c>
      <c r="AJ66" s="56">
        <v>4.6719999999999997</v>
      </c>
      <c r="AK66" s="56">
        <v>4.5960000000000001</v>
      </c>
      <c r="AL66" s="56">
        <v>5.4240000000000004</v>
      </c>
      <c r="AM66" s="56">
        <v>5.78</v>
      </c>
      <c r="AN66" s="56">
        <v>6.88</v>
      </c>
      <c r="AO66" s="56">
        <v>7.2439999999999998</v>
      </c>
      <c r="AP66" s="56">
        <v>7.7640000000000002</v>
      </c>
      <c r="AQ66" s="56">
        <v>8.14</v>
      </c>
      <c r="AR66" s="56">
        <v>8.44</v>
      </c>
      <c r="AS66" s="56">
        <v>8.5120000000000005</v>
      </c>
      <c r="AT66" s="56">
        <v>10.144</v>
      </c>
      <c r="AU66" s="56">
        <v>10.272</v>
      </c>
      <c r="AV66" s="56">
        <v>10.16</v>
      </c>
      <c r="AW66" s="56">
        <v>9.6839999999999993</v>
      </c>
      <c r="AX66" s="56">
        <v>9.2959999999999994</v>
      </c>
      <c r="AY66" s="56">
        <v>9.4320000000000004</v>
      </c>
      <c r="AZ66" s="56">
        <v>9.6760000000000002</v>
      </c>
      <c r="BA66" s="56">
        <v>11.18</v>
      </c>
      <c r="BB66" s="56">
        <v>11.288</v>
      </c>
      <c r="BC66" s="56">
        <v>11.124000000000001</v>
      </c>
      <c r="BD66" s="56">
        <v>10.964</v>
      </c>
      <c r="BE66" s="56">
        <v>10.888</v>
      </c>
      <c r="BF66" s="56">
        <v>10.8</v>
      </c>
      <c r="BG66" s="56">
        <v>10.624000000000001</v>
      </c>
      <c r="BH66" s="56">
        <v>10.432</v>
      </c>
      <c r="BI66" s="56">
        <v>10.82</v>
      </c>
      <c r="BJ66" s="56">
        <v>10.784000000000001</v>
      </c>
      <c r="BK66" s="56">
        <v>10.72</v>
      </c>
      <c r="BL66" s="56">
        <v>10.612</v>
      </c>
      <c r="BM66" s="56">
        <v>10.644</v>
      </c>
      <c r="BN66" s="56">
        <v>10.488</v>
      </c>
      <c r="BO66" s="56">
        <v>10.564</v>
      </c>
      <c r="BP66" s="56">
        <v>10.576000000000001</v>
      </c>
      <c r="BQ66" s="56">
        <v>10.584</v>
      </c>
      <c r="BR66" s="56">
        <v>10.54</v>
      </c>
      <c r="BS66" s="56">
        <v>10.488</v>
      </c>
      <c r="BT66" s="56">
        <v>10.311999999999999</v>
      </c>
      <c r="BU66" s="56">
        <v>11.087999999999999</v>
      </c>
      <c r="BV66" s="56">
        <v>11.176</v>
      </c>
      <c r="BW66" s="56">
        <v>11.132</v>
      </c>
      <c r="BX66" s="56">
        <v>11.052</v>
      </c>
      <c r="BY66" s="56">
        <v>11.492000000000001</v>
      </c>
      <c r="BZ66" s="56">
        <v>11.656000000000001</v>
      </c>
      <c r="CA66" s="56">
        <v>11.712</v>
      </c>
      <c r="CB66" s="56">
        <v>11.784000000000001</v>
      </c>
      <c r="CC66" s="56">
        <v>14.148</v>
      </c>
      <c r="CD66" s="56">
        <v>13.984</v>
      </c>
      <c r="CE66" s="56">
        <v>14.215999999999999</v>
      </c>
      <c r="CF66" s="56">
        <v>14.404</v>
      </c>
      <c r="CG66" s="56">
        <v>16.36</v>
      </c>
      <c r="CH66" s="56">
        <v>16.995999999999999</v>
      </c>
      <c r="CI66" s="56">
        <v>17.635999999999999</v>
      </c>
      <c r="CJ66" s="56">
        <v>18.091999999999999</v>
      </c>
      <c r="CK66" s="56">
        <v>20.332000000000001</v>
      </c>
      <c r="CL66" s="56">
        <v>20.596</v>
      </c>
      <c r="CM66" s="56">
        <v>20.931999999999999</v>
      </c>
      <c r="CN66" s="56">
        <v>21.792000000000002</v>
      </c>
      <c r="CO66" s="56">
        <v>21.86</v>
      </c>
      <c r="CP66" s="56">
        <v>21.82</v>
      </c>
      <c r="CQ66" s="56">
        <v>22.14</v>
      </c>
      <c r="CR66" s="56">
        <v>22.204000000000001</v>
      </c>
      <c r="CS66" s="56">
        <v>22.68</v>
      </c>
      <c r="CT66" s="56">
        <v>23.06</v>
      </c>
      <c r="CU66" s="56">
        <v>22.58</v>
      </c>
      <c r="CV66" s="56">
        <v>22.504000000000001</v>
      </c>
      <c r="CW66" s="56">
        <v>23.224</v>
      </c>
      <c r="CX66" s="56">
        <v>22.716000000000001</v>
      </c>
      <c r="CY66" s="56">
        <v>22.384</v>
      </c>
      <c r="CZ66" s="56">
        <v>22.052</v>
      </c>
      <c r="DA66" s="56">
        <v>22.635999999999999</v>
      </c>
      <c r="DB66" s="56">
        <v>22.564</v>
      </c>
      <c r="DC66" s="56">
        <v>22.236000000000001</v>
      </c>
      <c r="DD66" s="56">
        <v>21.852</v>
      </c>
      <c r="DE66" s="56">
        <v>21.16</v>
      </c>
      <c r="DF66" s="56">
        <v>20.04</v>
      </c>
      <c r="DG66" s="56">
        <v>19.076000000000001</v>
      </c>
      <c r="DH66" s="56">
        <v>18.143999999999998</v>
      </c>
      <c r="DI66" s="56">
        <v>17.667999999999999</v>
      </c>
      <c r="DJ66" s="56">
        <v>17.123999999999999</v>
      </c>
      <c r="DK66" s="56">
        <v>16.579999999999998</v>
      </c>
      <c r="DL66" s="56">
        <v>15.976000000000001</v>
      </c>
      <c r="DM66" s="56">
        <v>16.18</v>
      </c>
      <c r="DN66" s="56">
        <v>15.788</v>
      </c>
      <c r="DO66" s="56">
        <v>15.464</v>
      </c>
      <c r="DP66" s="56">
        <v>15.284000000000001</v>
      </c>
      <c r="DQ66" s="56">
        <v>15.356</v>
      </c>
      <c r="DR66" s="56">
        <v>13.616</v>
      </c>
      <c r="DS66" s="56">
        <v>14.896000000000001</v>
      </c>
      <c r="DT66" s="56">
        <v>14.84</v>
      </c>
      <c r="DU66" s="56">
        <v>14.907999999999999</v>
      </c>
      <c r="DV66" s="56">
        <v>15.1</v>
      </c>
      <c r="DW66" s="56">
        <v>15.536</v>
      </c>
      <c r="DX66" s="56">
        <v>15.996</v>
      </c>
      <c r="DY66" s="56">
        <v>17.236000000000001</v>
      </c>
      <c r="DZ66" s="56">
        <v>17.898</v>
      </c>
      <c r="EA66" s="56">
        <v>18.222000000000001</v>
      </c>
      <c r="EB66" s="56">
        <v>18.484999999999999</v>
      </c>
      <c r="EC66" s="56">
        <v>19.841999999999999</v>
      </c>
      <c r="ED66" s="56">
        <v>20.652000000000001</v>
      </c>
      <c r="EE66" s="56">
        <v>21.759</v>
      </c>
      <c r="EF66" s="56">
        <v>22.788</v>
      </c>
      <c r="EG66" s="56">
        <v>23.298999999999999</v>
      </c>
      <c r="EH66" s="56">
        <v>24.085999999999999</v>
      </c>
      <c r="EI66" s="56">
        <v>24.969000000000001</v>
      </c>
      <c r="EJ66" s="56">
        <v>25.888000000000002</v>
      </c>
      <c r="EK66" s="56">
        <v>28.838999999999999</v>
      </c>
      <c r="EL66" s="56">
        <v>27.844000000000001</v>
      </c>
      <c r="EM66" s="56">
        <v>28.236999999999998</v>
      </c>
      <c r="EN66" s="56">
        <v>29.613</v>
      </c>
      <c r="EO66" s="56">
        <v>32.274000000000001</v>
      </c>
      <c r="EP66" s="56">
        <v>29.234999999999999</v>
      </c>
      <c r="EQ66" s="56">
        <v>29.263999999999999</v>
      </c>
      <c r="ER66" s="56">
        <v>29.344000000000001</v>
      </c>
      <c r="ES66" s="56">
        <v>29.716999999999999</v>
      </c>
      <c r="ET66" s="56">
        <v>30</v>
      </c>
      <c r="EU66" s="56">
        <v>30.391999999999999</v>
      </c>
      <c r="EV66" s="56">
        <v>30.74</v>
      </c>
      <c r="EW66" s="56">
        <v>32.552999999999997</v>
      </c>
      <c r="EX66" s="56">
        <v>33.466000000000001</v>
      </c>
      <c r="EY66" s="56">
        <v>34.606999999999999</v>
      </c>
      <c r="EZ66" s="56">
        <v>37.1</v>
      </c>
      <c r="FA66" s="56">
        <v>42.963999999999999</v>
      </c>
      <c r="FB66" s="56">
        <v>44.63</v>
      </c>
      <c r="FC66" s="56">
        <v>55.540999999999997</v>
      </c>
      <c r="FD66" s="56">
        <v>58.195</v>
      </c>
      <c r="FE66" s="56">
        <v>60.683</v>
      </c>
      <c r="FF66" s="56">
        <v>63.749000000000002</v>
      </c>
      <c r="FG66" s="56">
        <v>65.742999999999995</v>
      </c>
      <c r="FH66" s="56">
        <v>67.739999999999995</v>
      </c>
      <c r="FI66" s="56">
        <v>68.828000000000003</v>
      </c>
      <c r="FJ66" s="56">
        <v>71.063000000000002</v>
      </c>
      <c r="FK66" s="56">
        <v>72.828999999999994</v>
      </c>
      <c r="FL66" s="56">
        <v>73.527000000000001</v>
      </c>
      <c r="FM66" s="56">
        <v>73.492000000000004</v>
      </c>
      <c r="FN66" s="56">
        <v>74.054000000000002</v>
      </c>
      <c r="FO66" s="56">
        <v>74.347999999999999</v>
      </c>
      <c r="FP66" s="56">
        <v>75.343000000000004</v>
      </c>
      <c r="FQ66" s="56">
        <v>75.66</v>
      </c>
      <c r="FR66" s="56">
        <v>75.959999999999994</v>
      </c>
      <c r="FS66" s="56">
        <v>76.039000000000001</v>
      </c>
      <c r="FT66" s="56">
        <v>75.213999999999999</v>
      </c>
      <c r="FU66" s="56">
        <v>71.414000000000001</v>
      </c>
      <c r="FV66" s="56">
        <v>69.317999999999998</v>
      </c>
      <c r="FW66" s="56">
        <v>69.353999999999999</v>
      </c>
      <c r="FX66" s="56">
        <v>68.644999999999996</v>
      </c>
      <c r="FY66" s="56">
        <v>70.316999999999993</v>
      </c>
      <c r="FZ66" s="56">
        <v>69.766999999999996</v>
      </c>
      <c r="GA66" s="56">
        <v>69.164000000000001</v>
      </c>
      <c r="GB66" s="56">
        <v>68.382000000000005</v>
      </c>
      <c r="GC66" s="56">
        <v>67.638000000000005</v>
      </c>
      <c r="GD66" s="56">
        <v>67.293999999999997</v>
      </c>
      <c r="GE66" s="56">
        <v>65.412999999999997</v>
      </c>
      <c r="GF66" s="56">
        <v>64.802999999999997</v>
      </c>
      <c r="GG66" s="56">
        <v>64.498999999999995</v>
      </c>
      <c r="GH66" s="56">
        <v>63.667000000000002</v>
      </c>
      <c r="GI66" s="56">
        <v>62.198</v>
      </c>
      <c r="GJ66" s="56">
        <v>63.704999999999998</v>
      </c>
      <c r="GK66" s="56">
        <v>67.448999999999998</v>
      </c>
      <c r="GL66" s="56">
        <v>59.752000000000002</v>
      </c>
      <c r="GM66" s="56">
        <v>58.478999999999999</v>
      </c>
      <c r="GN66" s="56">
        <v>57.514000000000003</v>
      </c>
      <c r="GO66" s="56">
        <v>57.017000000000003</v>
      </c>
      <c r="GP66" s="56">
        <v>55.875</v>
      </c>
      <c r="GQ66" s="56">
        <v>54.335999999999999</v>
      </c>
      <c r="GR66" s="56">
        <v>54.345999999999997</v>
      </c>
      <c r="GS66" s="56">
        <v>54.290999999999997</v>
      </c>
      <c r="GT66" s="56">
        <v>61.624000000000002</v>
      </c>
      <c r="GU66" s="56">
        <v>105.667</v>
      </c>
      <c r="GV66" s="56">
        <v>105.886</v>
      </c>
      <c r="GW66" s="56">
        <v>106.60599999999999</v>
      </c>
      <c r="GX66" s="56">
        <v>145.78700000000001</v>
      </c>
      <c r="GY66" s="56">
        <v>155.346</v>
      </c>
      <c r="GZ66" s="56">
        <v>148.60300000000001</v>
      </c>
      <c r="HA66" s="56">
        <v>154.94</v>
      </c>
      <c r="HB66" s="56">
        <v>131.55099999999999</v>
      </c>
      <c r="HC66">
        <v>128.34899999999999</v>
      </c>
      <c r="HD66">
        <v>125.361</v>
      </c>
      <c r="HE66">
        <v>146.43</v>
      </c>
      <c r="HF66">
        <v>138.40799999999999</v>
      </c>
      <c r="HG66">
        <v>106.691</v>
      </c>
      <c r="HH66">
        <v>106.29600000000001</v>
      </c>
      <c r="HI66">
        <v>93.49</v>
      </c>
      <c r="HJ66">
        <v>92.007999999999996</v>
      </c>
      <c r="HK66">
        <v>96.12</v>
      </c>
      <c r="HL66">
        <v>102.79</v>
      </c>
      <c r="HM66">
        <v>98.516000000000005</v>
      </c>
      <c r="HN66">
        <v>95.441000000000003</v>
      </c>
    </row>
    <row r="67" spans="1:222" x14ac:dyDescent="0.25">
      <c r="A67" s="56" t="s">
        <v>2272</v>
      </c>
      <c r="B67" s="56">
        <v>38.1</v>
      </c>
      <c r="C67" s="56">
        <v>38.633333333333297</v>
      </c>
      <c r="D67" s="56">
        <v>39.033333333333303</v>
      </c>
      <c r="E67" s="56">
        <v>39.6</v>
      </c>
      <c r="F67" s="56">
        <v>39.933333333333302</v>
      </c>
      <c r="G67" s="56">
        <v>40.299999999999997</v>
      </c>
      <c r="H67" s="56">
        <v>40.700000000000003</v>
      </c>
      <c r="I67" s="56">
        <v>41</v>
      </c>
      <c r="J67" s="56">
        <v>41.3333333333333</v>
      </c>
      <c r="K67" s="56">
        <v>41.6</v>
      </c>
      <c r="L67" s="56">
        <v>41.933333333333302</v>
      </c>
      <c r="M67" s="56">
        <v>42.366666666666703</v>
      </c>
      <c r="N67" s="56">
        <v>43.033333333333303</v>
      </c>
      <c r="O67" s="56">
        <v>43.933333333333302</v>
      </c>
      <c r="P67" s="56">
        <v>44.8</v>
      </c>
      <c r="Q67" s="56">
        <v>45.933333333333302</v>
      </c>
      <c r="R67" s="56">
        <v>47.3</v>
      </c>
      <c r="S67" s="56">
        <v>48.566666666666698</v>
      </c>
      <c r="T67" s="56">
        <v>49.933333333333302</v>
      </c>
      <c r="U67" s="56">
        <v>51.466666666666697</v>
      </c>
      <c r="V67" s="56">
        <v>52.566666666666698</v>
      </c>
      <c r="W67" s="56">
        <v>53.2</v>
      </c>
      <c r="X67" s="56">
        <v>54.266666666666701</v>
      </c>
      <c r="Y67" s="56">
        <v>55.266666666666701</v>
      </c>
      <c r="Z67" s="56">
        <v>55.9</v>
      </c>
      <c r="AA67" s="56">
        <v>56.4</v>
      </c>
      <c r="AB67" s="56">
        <v>57.3</v>
      </c>
      <c r="AC67" s="56">
        <v>58.133333333333297</v>
      </c>
      <c r="AD67" s="56">
        <v>59.2</v>
      </c>
      <c r="AE67" s="56">
        <v>60.233333333333299</v>
      </c>
      <c r="AF67" s="56">
        <v>61.066666666666698</v>
      </c>
      <c r="AG67" s="56">
        <v>61.966666666666697</v>
      </c>
      <c r="AH67" s="56">
        <v>63.033333333333303</v>
      </c>
      <c r="AI67" s="56">
        <v>64.466666666666697</v>
      </c>
      <c r="AJ67" s="56">
        <v>65.966666666666697</v>
      </c>
      <c r="AK67" s="56">
        <v>67.5</v>
      </c>
      <c r="AL67" s="56">
        <v>69.2</v>
      </c>
      <c r="AM67" s="56">
        <v>71.400000000000006</v>
      </c>
      <c r="AN67" s="56">
        <v>73.7</v>
      </c>
      <c r="AO67" s="56">
        <v>76.033333333333303</v>
      </c>
      <c r="AP67" s="56">
        <v>79.033333333333303</v>
      </c>
      <c r="AQ67" s="56">
        <v>81.7</v>
      </c>
      <c r="AR67" s="56">
        <v>83.233333333333306</v>
      </c>
      <c r="AS67" s="56">
        <v>85.566666666666706</v>
      </c>
      <c r="AT67" s="56">
        <v>87.933333333333294</v>
      </c>
      <c r="AU67" s="56">
        <v>89.766666666666694</v>
      </c>
      <c r="AV67" s="56">
        <v>92.266666666666694</v>
      </c>
      <c r="AW67" s="56">
        <v>93.766666666666694</v>
      </c>
      <c r="AX67" s="56">
        <v>94.6</v>
      </c>
      <c r="AY67" s="56">
        <v>95.966666666666697</v>
      </c>
      <c r="AZ67" s="56">
        <v>97.633333333333297</v>
      </c>
      <c r="BA67" s="56">
        <v>97.933333333333294</v>
      </c>
      <c r="BB67" s="56">
        <v>98</v>
      </c>
      <c r="BC67" s="56">
        <v>99.133333333333297</v>
      </c>
      <c r="BD67" s="56">
        <v>100.1</v>
      </c>
      <c r="BE67" s="56">
        <v>101.1</v>
      </c>
      <c r="BF67" s="56">
        <v>102.533333333333</v>
      </c>
      <c r="BG67" s="56">
        <v>103.5</v>
      </c>
      <c r="BH67" s="56">
        <v>104.4</v>
      </c>
      <c r="BI67" s="56">
        <v>105.3</v>
      </c>
      <c r="BJ67" s="56">
        <v>106.26666666666701</v>
      </c>
      <c r="BK67" s="56">
        <v>107.23333333333299</v>
      </c>
      <c r="BL67" s="56">
        <v>107.9</v>
      </c>
      <c r="BM67" s="56">
        <v>109</v>
      </c>
      <c r="BN67" s="56">
        <v>109.566666666667</v>
      </c>
      <c r="BO67" s="56">
        <v>109.033333333333</v>
      </c>
      <c r="BP67" s="56">
        <v>109.7</v>
      </c>
      <c r="BQ67" s="56">
        <v>110.466666666667</v>
      </c>
      <c r="BR67" s="56">
        <v>111.8</v>
      </c>
      <c r="BS67" s="56">
        <v>113.066666666667</v>
      </c>
      <c r="BT67" s="56">
        <v>114.26666666666701</v>
      </c>
      <c r="BU67" s="56">
        <v>115.333333333333</v>
      </c>
      <c r="BV67" s="56">
        <v>116.23333333333299</v>
      </c>
      <c r="BW67" s="56">
        <v>117.566666666667</v>
      </c>
      <c r="BX67" s="56">
        <v>119</v>
      </c>
      <c r="BY67" s="56">
        <v>120.3</v>
      </c>
      <c r="BZ67" s="56">
        <v>121.666666666667</v>
      </c>
      <c r="CA67" s="56">
        <v>123.633333333333</v>
      </c>
      <c r="CB67" s="56">
        <v>124.6</v>
      </c>
      <c r="CC67" s="56">
        <v>125.866666666667</v>
      </c>
      <c r="CD67" s="56">
        <v>128.03333333333299</v>
      </c>
      <c r="CE67" s="56">
        <v>129.30000000000001</v>
      </c>
      <c r="CF67" s="56">
        <v>131.53333333333299</v>
      </c>
      <c r="CG67" s="56">
        <v>133.76666666666699</v>
      </c>
      <c r="CH67" s="56">
        <v>134.76666666666699</v>
      </c>
      <c r="CI67" s="56">
        <v>135.566666666667</v>
      </c>
      <c r="CJ67" s="56">
        <v>136.6</v>
      </c>
      <c r="CK67" s="56">
        <v>137.73333333333301</v>
      </c>
      <c r="CL67" s="56">
        <v>138.666666666667</v>
      </c>
      <c r="CM67" s="56">
        <v>139.73333333333301</v>
      </c>
      <c r="CN67" s="56">
        <v>140.80000000000001</v>
      </c>
      <c r="CO67" s="56">
        <v>142.03333333333299</v>
      </c>
      <c r="CP67" s="56">
        <v>143.066666666667</v>
      </c>
      <c r="CQ67" s="56">
        <v>144.1</v>
      </c>
      <c r="CR67" s="56">
        <v>144.76666666666699</v>
      </c>
      <c r="CS67" s="56">
        <v>145.96666666666701</v>
      </c>
      <c r="CT67" s="56">
        <v>146.69999999999999</v>
      </c>
      <c r="CU67" s="56">
        <v>147.53333333333299</v>
      </c>
      <c r="CV67" s="56">
        <v>148.9</v>
      </c>
      <c r="CW67" s="56">
        <v>149.76666666666699</v>
      </c>
      <c r="CX67" s="56">
        <v>150.86666666666699</v>
      </c>
      <c r="CY67" s="56">
        <v>152.1</v>
      </c>
      <c r="CZ67" s="56">
        <v>152.86666666666699</v>
      </c>
      <c r="DA67" s="56">
        <v>153.69999999999999</v>
      </c>
      <c r="DB67" s="56">
        <v>155.066666666667</v>
      </c>
      <c r="DC67" s="56">
        <v>156.4</v>
      </c>
      <c r="DD67" s="56">
        <v>157.30000000000001</v>
      </c>
      <c r="DE67" s="56">
        <v>158.666666666667</v>
      </c>
      <c r="DF67" s="56">
        <v>159.63333333333301</v>
      </c>
      <c r="DG67" s="56">
        <v>160</v>
      </c>
      <c r="DH67" s="56">
        <v>160.80000000000001</v>
      </c>
      <c r="DI67" s="56">
        <v>161.666666666667</v>
      </c>
      <c r="DJ67" s="56">
        <v>162</v>
      </c>
      <c r="DK67" s="56">
        <v>162.53333333333299</v>
      </c>
      <c r="DL67" s="56">
        <v>163.36666666666699</v>
      </c>
      <c r="DM67" s="56">
        <v>164.13333333333301</v>
      </c>
      <c r="DN67" s="56">
        <v>164.73333333333301</v>
      </c>
      <c r="DO67" s="56">
        <v>165.96666666666701</v>
      </c>
      <c r="DP67" s="56">
        <v>167.2</v>
      </c>
      <c r="DQ67" s="56">
        <v>168.433333333333</v>
      </c>
      <c r="DR67" s="56">
        <v>170.1</v>
      </c>
      <c r="DS67" s="56">
        <v>171.433333333333</v>
      </c>
      <c r="DT67" s="56">
        <v>173</v>
      </c>
      <c r="DU67" s="56">
        <v>174.23333333333301</v>
      </c>
      <c r="DV67" s="56">
        <v>175.9</v>
      </c>
      <c r="DW67" s="56">
        <v>177.13333333333301</v>
      </c>
      <c r="DX67" s="56">
        <v>177.63333333333301</v>
      </c>
      <c r="DY67" s="56">
        <v>177.5</v>
      </c>
      <c r="DZ67" s="56">
        <v>178.066666666667</v>
      </c>
      <c r="EA67" s="56">
        <v>179.46666666666701</v>
      </c>
      <c r="EB67" s="56">
        <v>180.433333333333</v>
      </c>
      <c r="EC67" s="56">
        <v>181.5</v>
      </c>
      <c r="ED67" s="56">
        <v>183.36666666666699</v>
      </c>
      <c r="EE67" s="56">
        <v>183.066666666667</v>
      </c>
      <c r="EF67" s="56">
        <v>184.433333333333</v>
      </c>
      <c r="EG67" s="56">
        <v>185.13333333333301</v>
      </c>
      <c r="EH67" s="56">
        <v>186.7</v>
      </c>
      <c r="EI67" s="56">
        <v>188.166666666667</v>
      </c>
      <c r="EJ67" s="56">
        <v>189.36666666666699</v>
      </c>
      <c r="EK67" s="56">
        <v>191.4</v>
      </c>
      <c r="EL67" s="56">
        <v>192.36666666666699</v>
      </c>
      <c r="EM67" s="56">
        <v>193.666666666667</v>
      </c>
      <c r="EN67" s="56">
        <v>196.6</v>
      </c>
      <c r="EO67" s="56">
        <v>198.433333333333</v>
      </c>
      <c r="EP67" s="56">
        <v>199.46666666666701</v>
      </c>
      <c r="EQ67" s="56">
        <v>201.26666666666699</v>
      </c>
      <c r="ER67" s="56">
        <v>203.166666666667</v>
      </c>
      <c r="ES67" s="56">
        <v>202.333333333333</v>
      </c>
      <c r="ET67" s="56">
        <v>204.31700000000001</v>
      </c>
      <c r="EU67" s="56">
        <v>206.631</v>
      </c>
      <c r="EV67" s="56">
        <v>207.93899999999999</v>
      </c>
      <c r="EW67" s="56">
        <v>210.48966666666701</v>
      </c>
      <c r="EX67" s="56">
        <v>212.76966666666701</v>
      </c>
      <c r="EY67" s="56">
        <v>215.53766666666701</v>
      </c>
      <c r="EZ67" s="56">
        <v>218.86099999999999</v>
      </c>
      <c r="FA67" s="56">
        <v>213.84866666666699</v>
      </c>
      <c r="FB67" s="56">
        <v>212.37766666666701</v>
      </c>
      <c r="FC67" s="56">
        <v>213.50700000000001</v>
      </c>
      <c r="FD67" s="56">
        <v>215.34399999999999</v>
      </c>
      <c r="FE67" s="56">
        <v>217.03</v>
      </c>
      <c r="FF67" s="56">
        <v>217.374</v>
      </c>
      <c r="FG67" s="56">
        <v>217.297333333333</v>
      </c>
      <c r="FH67" s="56">
        <v>217.934333333333</v>
      </c>
      <c r="FI67" s="56">
        <v>219.69900000000001</v>
      </c>
      <c r="FJ67" s="56">
        <v>222.04366666666701</v>
      </c>
      <c r="FK67" s="56">
        <v>224.56833333333299</v>
      </c>
      <c r="FL67" s="56">
        <v>226.03266666666701</v>
      </c>
      <c r="FM67" s="56">
        <v>227.047333333333</v>
      </c>
      <c r="FN67" s="56">
        <v>228.32599999999999</v>
      </c>
      <c r="FO67" s="56">
        <v>228.80799999999999</v>
      </c>
      <c r="FP67" s="56">
        <v>229.84100000000001</v>
      </c>
      <c r="FQ67" s="56">
        <v>231.369333333333</v>
      </c>
      <c r="FR67" s="56">
        <v>232.29933333333301</v>
      </c>
      <c r="FS67" s="56">
        <v>232.04499999999999</v>
      </c>
      <c r="FT67" s="56">
        <v>233.3</v>
      </c>
      <c r="FU67" s="56">
        <v>234.16266666666701</v>
      </c>
      <c r="FV67" s="56">
        <v>235.62100000000001</v>
      </c>
      <c r="FW67" s="56">
        <v>236.87233333333299</v>
      </c>
      <c r="FX67" s="56">
        <v>237.47833333333301</v>
      </c>
      <c r="FY67" s="56">
        <v>236.88833333333301</v>
      </c>
      <c r="FZ67" s="56">
        <v>235.35499999999999</v>
      </c>
      <c r="GA67" s="56">
        <v>236.96</v>
      </c>
      <c r="GB67" s="56">
        <v>237.85499999999999</v>
      </c>
      <c r="GC67" s="56">
        <v>237.83699999999999</v>
      </c>
      <c r="GD67" s="56">
        <v>237.689333333333</v>
      </c>
      <c r="GE67" s="56">
        <v>239.59033333333301</v>
      </c>
      <c r="GF67" s="56">
        <v>240.607333333333</v>
      </c>
      <c r="GG67" s="56">
        <v>242.13466666666699</v>
      </c>
      <c r="GH67" s="56">
        <v>243.838666666667</v>
      </c>
      <c r="GI67" s="56">
        <v>244.12</v>
      </c>
      <c r="GJ67" s="56">
        <v>245.28700000000001</v>
      </c>
      <c r="GK67" s="56">
        <v>247.238333333333</v>
      </c>
      <c r="GL67" s="56">
        <v>249.321666666667</v>
      </c>
      <c r="GM67" s="56">
        <v>250.679</v>
      </c>
      <c r="GN67" s="56">
        <v>251.68633333333301</v>
      </c>
      <c r="GO67" s="56">
        <v>252.71100000000001</v>
      </c>
      <c r="GP67" s="56">
        <v>253.38566666666699</v>
      </c>
      <c r="GQ67" s="56">
        <v>255.24733333333299</v>
      </c>
      <c r="GR67" s="56">
        <v>256.089333333333</v>
      </c>
      <c r="GS67" s="56">
        <v>257.88799999999998</v>
      </c>
      <c r="GT67" s="56">
        <v>258.81766666666698</v>
      </c>
      <c r="GU67" s="56">
        <v>256.29199999999997</v>
      </c>
      <c r="GV67" s="56">
        <v>259.22166666666698</v>
      </c>
      <c r="GW67" s="56">
        <v>261.09166666666698</v>
      </c>
      <c r="GX67" s="56">
        <v>263.68633333333298</v>
      </c>
      <c r="GY67" s="56">
        <v>268.57966666666698</v>
      </c>
      <c r="GZ67" s="56">
        <v>272.88633333333303</v>
      </c>
      <c r="HA67" s="56">
        <v>278.719333333333</v>
      </c>
      <c r="HB67" s="56">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row>
    <row r="68" spans="1:222" x14ac:dyDescent="0.25">
      <c r="A68" s="56" t="s">
        <v>2273</v>
      </c>
      <c r="B68" s="56">
        <v>38.299999999999997</v>
      </c>
      <c r="C68" s="56">
        <v>38.8333333333333</v>
      </c>
      <c r="D68" s="56">
        <v>39.233333333333299</v>
      </c>
      <c r="E68" s="56">
        <v>39.799999999999997</v>
      </c>
      <c r="F68" s="56">
        <v>40.1666666666667</v>
      </c>
      <c r="G68" s="56">
        <v>40.533333333333303</v>
      </c>
      <c r="H68" s="56">
        <v>40.966666666666697</v>
      </c>
      <c r="I68" s="56">
        <v>41.233333333333299</v>
      </c>
      <c r="J68" s="56">
        <v>41.6</v>
      </c>
      <c r="K68" s="56">
        <v>41.8</v>
      </c>
      <c r="L68" s="56">
        <v>42.2</v>
      </c>
      <c r="M68" s="56">
        <v>42.633333333333297</v>
      </c>
      <c r="N68" s="56">
        <v>43.266666666666701</v>
      </c>
      <c r="O68" s="56">
        <v>44.1666666666667</v>
      </c>
      <c r="P68" s="56">
        <v>45.066666666666698</v>
      </c>
      <c r="Q68" s="56">
        <v>46.1666666666667</v>
      </c>
      <c r="R68" s="56">
        <v>47.566666666666698</v>
      </c>
      <c r="S68" s="56">
        <v>48.766666666666701</v>
      </c>
      <c r="T68" s="56">
        <v>50.233333333333299</v>
      </c>
      <c r="U68" s="56">
        <v>51.766666666666701</v>
      </c>
      <c r="V68" s="56">
        <v>52.866666666666703</v>
      </c>
      <c r="W68" s="56">
        <v>53.5</v>
      </c>
      <c r="X68" s="56">
        <v>54.566666666666698</v>
      </c>
      <c r="Y68" s="56">
        <v>55.566666666666698</v>
      </c>
      <c r="Z68" s="56">
        <v>56.233333333333299</v>
      </c>
      <c r="AA68" s="56">
        <v>56.733333333333299</v>
      </c>
      <c r="AB68" s="56">
        <v>57.6</v>
      </c>
      <c r="AC68" s="56">
        <v>58.433333333333302</v>
      </c>
      <c r="AD68" s="56">
        <v>59.533333333333303</v>
      </c>
      <c r="AE68" s="56">
        <v>60.6</v>
      </c>
      <c r="AF68" s="56">
        <v>61.433333333333302</v>
      </c>
      <c r="AG68" s="56">
        <v>62.266666666666701</v>
      </c>
      <c r="AH68" s="56">
        <v>63.366666666666703</v>
      </c>
      <c r="AI68" s="56">
        <v>64.766666666666694</v>
      </c>
      <c r="AJ68" s="56">
        <v>66.233333333333306</v>
      </c>
      <c r="AK68" s="56">
        <v>67.8333333333333</v>
      </c>
      <c r="AL68" s="56">
        <v>69.566666666666706</v>
      </c>
      <c r="AM68" s="56">
        <v>71.900000000000006</v>
      </c>
      <c r="AN68" s="56">
        <v>74.233333333333306</v>
      </c>
      <c r="AO68" s="56">
        <v>76.5</v>
      </c>
      <c r="AP68" s="56">
        <v>79.5</v>
      </c>
      <c r="AQ68" s="56">
        <v>82.2</v>
      </c>
      <c r="AR68" s="56">
        <v>83.733333333333306</v>
      </c>
      <c r="AS68" s="56">
        <v>86.1666666666667</v>
      </c>
      <c r="AT68" s="56">
        <v>88.466666666666697</v>
      </c>
      <c r="AU68" s="56">
        <v>90.233333333333306</v>
      </c>
      <c r="AV68" s="56">
        <v>92.733333333333306</v>
      </c>
      <c r="AW68" s="56">
        <v>94.1666666666667</v>
      </c>
      <c r="AX68" s="56">
        <v>94.966666666666697</v>
      </c>
      <c r="AY68" s="56">
        <v>96.233333333333306</v>
      </c>
      <c r="AZ68" s="56">
        <v>98</v>
      </c>
      <c r="BA68" s="56">
        <v>98.3333333333333</v>
      </c>
      <c r="BB68" s="56">
        <v>98.3</v>
      </c>
      <c r="BC68" s="56">
        <v>99.433333333333294</v>
      </c>
      <c r="BD68" s="56">
        <v>100.4</v>
      </c>
      <c r="BE68" s="56">
        <v>101.166666666667</v>
      </c>
      <c r="BF68" s="56">
        <v>101.933333333333</v>
      </c>
      <c r="BG68" s="56">
        <v>102.466666666667</v>
      </c>
      <c r="BH68" s="56">
        <v>103.933333333333</v>
      </c>
      <c r="BI68" s="56">
        <v>104.8</v>
      </c>
      <c r="BJ68" s="56">
        <v>105.666666666667</v>
      </c>
      <c r="BK68" s="56">
        <v>106.633333333333</v>
      </c>
      <c r="BL68" s="56">
        <v>107.133333333333</v>
      </c>
      <c r="BM68" s="56">
        <v>108.2</v>
      </c>
      <c r="BN68" s="56">
        <v>108.666666666667</v>
      </c>
      <c r="BO68" s="56">
        <v>107.933333333333</v>
      </c>
      <c r="BP68" s="56">
        <v>108.5</v>
      </c>
      <c r="BQ68" s="56">
        <v>109.2</v>
      </c>
      <c r="BR68" s="56">
        <v>110.666666666667</v>
      </c>
      <c r="BS68" s="56">
        <v>111.966666666667</v>
      </c>
      <c r="BT68" s="56">
        <v>113.166666666667</v>
      </c>
      <c r="BU68" s="56">
        <v>114.166666666667</v>
      </c>
      <c r="BV68" s="56">
        <v>114.933333333333</v>
      </c>
      <c r="BW68" s="56">
        <v>116.2</v>
      </c>
      <c r="BX68" s="56">
        <v>117.73333333333299</v>
      </c>
      <c r="BY68" s="56">
        <v>118.933333333333</v>
      </c>
      <c r="BZ68" s="56">
        <v>120.366666666667</v>
      </c>
      <c r="CA68" s="56">
        <v>122.4</v>
      </c>
      <c r="CB68" s="56">
        <v>123.26666666666701</v>
      </c>
      <c r="CC68" s="56">
        <v>124.4</v>
      </c>
      <c r="CD68" s="56">
        <v>126.566666666667</v>
      </c>
      <c r="CE68" s="56">
        <v>127.666666666667</v>
      </c>
      <c r="CF68" s="56">
        <v>129.86666666666699</v>
      </c>
      <c r="CG68" s="56">
        <v>132.1</v>
      </c>
      <c r="CH68" s="56">
        <v>132.933333333333</v>
      </c>
      <c r="CI68" s="56">
        <v>133.73333333333301</v>
      </c>
      <c r="CJ68" s="56">
        <v>134.63333333333301</v>
      </c>
      <c r="CK68" s="56">
        <v>135.73333333333301</v>
      </c>
      <c r="CL68" s="56">
        <v>136.53333333333299</v>
      </c>
      <c r="CM68" s="56">
        <v>137.566666666667</v>
      </c>
      <c r="CN68" s="56">
        <v>138.69999999999999</v>
      </c>
      <c r="CO68" s="56">
        <v>139.80000000000001</v>
      </c>
      <c r="CP68" s="56">
        <v>140.76666666666699</v>
      </c>
      <c r="CQ68" s="56">
        <v>141.73333333333301</v>
      </c>
      <c r="CR68" s="56">
        <v>142.333333333333</v>
      </c>
      <c r="CS68" s="56">
        <v>143.433333333333</v>
      </c>
      <c r="CT68" s="56">
        <v>144.03333333333299</v>
      </c>
      <c r="CU68" s="56">
        <v>144.86666666666699</v>
      </c>
      <c r="CV68" s="56">
        <v>146.4</v>
      </c>
      <c r="CW68" s="56">
        <v>147.26666666666699</v>
      </c>
      <c r="CX68" s="56">
        <v>148.333333333333</v>
      </c>
      <c r="CY68" s="56">
        <v>149.5</v>
      </c>
      <c r="CZ68" s="56">
        <v>150.166666666667</v>
      </c>
      <c r="DA68" s="56">
        <v>151</v>
      </c>
      <c r="DB68" s="56">
        <v>152.4</v>
      </c>
      <c r="DC68" s="56">
        <v>153.73333333333301</v>
      </c>
      <c r="DD68" s="56">
        <v>154.566666666667</v>
      </c>
      <c r="DE68" s="56">
        <v>155.86666666666699</v>
      </c>
      <c r="DF68" s="56">
        <v>156.80000000000001</v>
      </c>
      <c r="DG68" s="56">
        <v>157.1</v>
      </c>
      <c r="DH68" s="56">
        <v>157.80000000000001</v>
      </c>
      <c r="DI68" s="56">
        <v>158.53333333333299</v>
      </c>
      <c r="DJ68" s="56">
        <v>158.73333333333301</v>
      </c>
      <c r="DK68" s="56">
        <v>159.19999999999999</v>
      </c>
      <c r="DL68" s="56">
        <v>159.96666666666701</v>
      </c>
      <c r="DM68" s="56">
        <v>160.76666666666699</v>
      </c>
      <c r="DN68" s="56">
        <v>161.36666666666699</v>
      </c>
      <c r="DO68" s="56">
        <v>162.53333333333299</v>
      </c>
      <c r="DP68" s="56">
        <v>163.9</v>
      </c>
      <c r="DQ68" s="56">
        <v>165.2</v>
      </c>
      <c r="DR68" s="56">
        <v>166.833333333333</v>
      </c>
      <c r="DS68" s="56">
        <v>168.166666666667</v>
      </c>
      <c r="DT68" s="56">
        <v>169.7</v>
      </c>
      <c r="DU68" s="56">
        <v>170.833333333333</v>
      </c>
      <c r="DV68" s="56">
        <v>172.433333333333</v>
      </c>
      <c r="DW68" s="56">
        <v>173.73333333333301</v>
      </c>
      <c r="DX68" s="56">
        <v>174.1</v>
      </c>
      <c r="DY68" s="56">
        <v>173.666666666667</v>
      </c>
      <c r="DZ68" s="56">
        <v>174.03333333333299</v>
      </c>
      <c r="EA68" s="56">
        <v>175.53333333333299</v>
      </c>
      <c r="EB68" s="56">
        <v>176.5</v>
      </c>
      <c r="EC68" s="56">
        <v>177.46666666666701</v>
      </c>
      <c r="ED68" s="56">
        <v>179.46666666666701</v>
      </c>
      <c r="EE68" s="56">
        <v>178.933333333333</v>
      </c>
      <c r="EF68" s="56">
        <v>180.2</v>
      </c>
      <c r="EG68" s="56">
        <v>180.73333333333301</v>
      </c>
      <c r="EH68" s="56">
        <v>182.333333333333</v>
      </c>
      <c r="EI68" s="56">
        <v>183.666666666667</v>
      </c>
      <c r="EJ68" s="56">
        <v>184.86666666666699</v>
      </c>
      <c r="EK68" s="56">
        <v>187.066666666667</v>
      </c>
      <c r="EL68" s="56">
        <v>187.933333333333</v>
      </c>
      <c r="EM68" s="56">
        <v>189.23333333333301</v>
      </c>
      <c r="EN68" s="56">
        <v>192.566666666667</v>
      </c>
      <c r="EO68" s="56">
        <v>194.2</v>
      </c>
      <c r="EP68" s="56">
        <v>195.13333333333301</v>
      </c>
      <c r="EQ68" s="56">
        <v>196.933333333333</v>
      </c>
      <c r="ER68" s="56">
        <v>198.8</v>
      </c>
      <c r="ES68" s="56">
        <v>197.566666666667</v>
      </c>
      <c r="ET68" s="56">
        <v>199.553</v>
      </c>
      <c r="EU68" s="56">
        <v>202.077</v>
      </c>
      <c r="EV68" s="56">
        <v>203.37</v>
      </c>
      <c r="EW68" s="56">
        <v>206.08566666666701</v>
      </c>
      <c r="EX68" s="56">
        <v>208.51599999999999</v>
      </c>
      <c r="EY68" s="56">
        <v>211.50266666666701</v>
      </c>
      <c r="EZ68" s="56">
        <v>215.13</v>
      </c>
      <c r="FA68" s="56">
        <v>208.838666666667</v>
      </c>
      <c r="FB68" s="56">
        <v>206.94333333333299</v>
      </c>
      <c r="FC68" s="56">
        <v>208.39033333333299</v>
      </c>
      <c r="FD68" s="56">
        <v>210.69499999999999</v>
      </c>
      <c r="FE68" s="56">
        <v>212.63266666666701</v>
      </c>
      <c r="FF68" s="56">
        <v>213.23699999999999</v>
      </c>
      <c r="FG68" s="56">
        <v>213.15066666666701</v>
      </c>
      <c r="FH68" s="56">
        <v>213.82</v>
      </c>
      <c r="FI68" s="56">
        <v>215.76400000000001</v>
      </c>
      <c r="FJ68" s="56">
        <v>218.41566666666699</v>
      </c>
      <c r="FK68" s="56">
        <v>221.28766666666701</v>
      </c>
      <c r="FL68" s="56">
        <v>222.738</v>
      </c>
      <c r="FM68" s="56">
        <v>223.774666666667</v>
      </c>
      <c r="FN68" s="56">
        <v>225.08733333333299</v>
      </c>
      <c r="FO68" s="56">
        <v>225.45933333333301</v>
      </c>
      <c r="FP68" s="56">
        <v>226.357</v>
      </c>
      <c r="FQ68" s="56">
        <v>227.97166666666701</v>
      </c>
      <c r="FR68" s="56">
        <v>228.83666666666701</v>
      </c>
      <c r="FS68" s="56">
        <v>228.40966666666699</v>
      </c>
      <c r="FT68" s="56">
        <v>229.589</v>
      </c>
      <c r="FU68" s="56">
        <v>230.43366666666699</v>
      </c>
      <c r="FV68" s="56">
        <v>231.95</v>
      </c>
      <c r="FW68" s="56">
        <v>233.101333333333</v>
      </c>
      <c r="FX68" s="56">
        <v>233.494333333333</v>
      </c>
      <c r="FY68" s="56">
        <v>232.43100000000001</v>
      </c>
      <c r="FZ68" s="56">
        <v>230.23666666666699</v>
      </c>
      <c r="GA68" s="56">
        <v>231.957666666667</v>
      </c>
      <c r="GB68" s="56">
        <v>232.69333333333299</v>
      </c>
      <c r="GC68" s="56">
        <v>232.280333333333</v>
      </c>
      <c r="GD68" s="56">
        <v>231.78100000000001</v>
      </c>
      <c r="GE68" s="56">
        <v>233.774</v>
      </c>
      <c r="GF68" s="56">
        <v>234.59666666666701</v>
      </c>
      <c r="GG68" s="56">
        <v>236.14066666666699</v>
      </c>
      <c r="GH68" s="56">
        <v>237.85900000000001</v>
      </c>
      <c r="GI68" s="56">
        <v>237.92533333333299</v>
      </c>
      <c r="GJ68" s="56">
        <v>239.136666666667</v>
      </c>
      <c r="GK68" s="56">
        <v>241.27633333333301</v>
      </c>
      <c r="GL68" s="56">
        <v>243.41566666666699</v>
      </c>
      <c r="GM68" s="56">
        <v>244.71766666666699</v>
      </c>
      <c r="GN68" s="56">
        <v>245.76533333333299</v>
      </c>
      <c r="GO68" s="56">
        <v>246.649666666667</v>
      </c>
      <c r="GP68" s="56">
        <v>246.95666666666699</v>
      </c>
      <c r="GQ68" s="56">
        <v>248.90166666666701</v>
      </c>
      <c r="GR68" s="56">
        <v>249.57300000000001</v>
      </c>
      <c r="GS68" s="56">
        <v>251.42666666666699</v>
      </c>
      <c r="GT68" s="56">
        <v>252.22366666666699</v>
      </c>
      <c r="GU68" s="56">
        <v>249.43633333333301</v>
      </c>
      <c r="GV68" s="56">
        <v>252.75966666666699</v>
      </c>
      <c r="GW68" s="56">
        <v>254.77833333333299</v>
      </c>
      <c r="GX68" s="56">
        <v>257.66966666666701</v>
      </c>
      <c r="GY68" s="56">
        <v>262.95999999999998</v>
      </c>
      <c r="GZ68" s="56">
        <v>267.53366666666699</v>
      </c>
      <c r="HA68" s="56">
        <v>273.86533333333301</v>
      </c>
      <c r="HB68" s="56">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row>
    <row r="69" spans="1:222" x14ac:dyDescent="0.25">
      <c r="A69" s="56" t="s">
        <v>2274</v>
      </c>
      <c r="B69" s="56">
        <v>5306</v>
      </c>
      <c r="C69" s="56">
        <v>5349.1</v>
      </c>
      <c r="D69" s="56">
        <v>5391.1</v>
      </c>
      <c r="E69" s="56">
        <v>5432.9</v>
      </c>
      <c r="F69" s="56">
        <v>5476.1</v>
      </c>
      <c r="G69" s="56">
        <v>5522.1</v>
      </c>
      <c r="H69" s="56">
        <v>5569.5</v>
      </c>
      <c r="I69" s="56">
        <v>5617.2</v>
      </c>
      <c r="J69" s="56">
        <v>5663.7</v>
      </c>
      <c r="K69" s="56">
        <v>5708.1</v>
      </c>
      <c r="L69" s="56">
        <v>5751.4</v>
      </c>
      <c r="M69" s="56">
        <v>5794.8</v>
      </c>
      <c r="N69" s="56">
        <v>5839.5</v>
      </c>
      <c r="O69" s="56">
        <v>5887.3</v>
      </c>
      <c r="P69" s="56">
        <v>5936.7</v>
      </c>
      <c r="Q69" s="56">
        <v>5987.8</v>
      </c>
      <c r="R69" s="56">
        <v>6039.6</v>
      </c>
      <c r="S69" s="56">
        <v>6091.8</v>
      </c>
      <c r="T69" s="56">
        <v>6143.2</v>
      </c>
      <c r="U69" s="56">
        <v>6194</v>
      </c>
      <c r="V69" s="56">
        <v>6243.7</v>
      </c>
      <c r="W69" s="56">
        <v>6292.8</v>
      </c>
      <c r="X69" s="56">
        <v>6341.6</v>
      </c>
      <c r="Y69" s="56">
        <v>6390.2</v>
      </c>
      <c r="Z69" s="56">
        <v>6438.2</v>
      </c>
      <c r="AA69" s="56">
        <v>6486.3</v>
      </c>
      <c r="AB69" s="56">
        <v>6535.4</v>
      </c>
      <c r="AC69" s="56">
        <v>6585.2</v>
      </c>
      <c r="AD69" s="56">
        <v>6637</v>
      </c>
      <c r="AE69" s="56">
        <v>6690.5</v>
      </c>
      <c r="AF69" s="56">
        <v>6745.2</v>
      </c>
      <c r="AG69" s="56">
        <v>6801.6</v>
      </c>
      <c r="AH69" s="56">
        <v>6859.4</v>
      </c>
      <c r="AI69" s="56">
        <v>6918.2</v>
      </c>
      <c r="AJ69" s="56">
        <v>6978.6</v>
      </c>
      <c r="AK69" s="56">
        <v>7040.2</v>
      </c>
      <c r="AL69" s="56">
        <v>7104</v>
      </c>
      <c r="AM69" s="56">
        <v>7165.9</v>
      </c>
      <c r="AN69" s="56">
        <v>7224.3</v>
      </c>
      <c r="AO69" s="56">
        <v>7278.1</v>
      </c>
      <c r="AP69" s="56">
        <v>7326.4</v>
      </c>
      <c r="AQ69" s="56">
        <v>7368</v>
      </c>
      <c r="AR69" s="56">
        <v>7403.1</v>
      </c>
      <c r="AS69" s="56">
        <v>7440.2</v>
      </c>
      <c r="AT69" s="56">
        <v>7464</v>
      </c>
      <c r="AU69" s="56">
        <v>7511</v>
      </c>
      <c r="AV69" s="56">
        <v>7561.3</v>
      </c>
      <c r="AW69" s="56">
        <v>7614.9</v>
      </c>
      <c r="AX69" s="56">
        <v>7670.9</v>
      </c>
      <c r="AY69" s="56">
        <v>7728.7</v>
      </c>
      <c r="AZ69" s="56">
        <v>7788.1</v>
      </c>
      <c r="BA69" s="56">
        <v>7848.9</v>
      </c>
      <c r="BB69" s="56">
        <v>7909.5</v>
      </c>
      <c r="BC69" s="56">
        <v>7971.6</v>
      </c>
      <c r="BD69" s="56">
        <v>8035.4</v>
      </c>
      <c r="BE69" s="56">
        <v>8101.8</v>
      </c>
      <c r="BF69" s="56">
        <v>8170.8</v>
      </c>
      <c r="BG69" s="56">
        <v>8242.5</v>
      </c>
      <c r="BH69" s="56">
        <v>8315.7999999999993</v>
      </c>
      <c r="BI69" s="56">
        <v>8390.4</v>
      </c>
      <c r="BJ69" s="56">
        <v>8465.2999999999993</v>
      </c>
      <c r="BK69" s="56">
        <v>8540.4</v>
      </c>
      <c r="BL69" s="56">
        <v>8615.2999999999993</v>
      </c>
      <c r="BM69" s="56">
        <v>8689.7000000000007</v>
      </c>
      <c r="BN69" s="56">
        <v>8763.2000000000007</v>
      </c>
      <c r="BO69" s="56">
        <v>8835.9</v>
      </c>
      <c r="BP69" s="56">
        <v>8908.2000000000007</v>
      </c>
      <c r="BQ69" s="56">
        <v>8980.7999999999993</v>
      </c>
      <c r="BR69" s="56">
        <v>9053.2999999999993</v>
      </c>
      <c r="BS69" s="56">
        <v>9125.6</v>
      </c>
      <c r="BT69" s="56">
        <v>9197.7999999999993</v>
      </c>
      <c r="BU69" s="56">
        <v>9270.5</v>
      </c>
      <c r="BV69" s="56">
        <v>9343.1</v>
      </c>
      <c r="BW69" s="56">
        <v>9416.2999999999993</v>
      </c>
      <c r="BX69" s="56">
        <v>9489.7000000000007</v>
      </c>
      <c r="BY69" s="56">
        <v>9563.6</v>
      </c>
      <c r="BZ69" s="56">
        <v>9637.7000000000007</v>
      </c>
      <c r="CA69" s="56">
        <v>9711.9</v>
      </c>
      <c r="CB69" s="56">
        <v>9786.1</v>
      </c>
      <c r="CC69" s="56">
        <v>9860</v>
      </c>
      <c r="CD69" s="56">
        <v>9933.2000000000007</v>
      </c>
      <c r="CE69" s="56">
        <v>10005.200000000001</v>
      </c>
      <c r="CF69" s="56">
        <v>10075.4</v>
      </c>
      <c r="CG69" s="56">
        <v>10143.6</v>
      </c>
      <c r="CH69" s="56">
        <v>10210.299999999999</v>
      </c>
      <c r="CI69" s="56">
        <v>10275.4</v>
      </c>
      <c r="CJ69" s="56">
        <v>10339.4</v>
      </c>
      <c r="CK69" s="56">
        <v>10403.4</v>
      </c>
      <c r="CL69" s="56">
        <v>10467.5</v>
      </c>
      <c r="CM69" s="56">
        <v>10532.4</v>
      </c>
      <c r="CN69" s="56">
        <v>10598.6</v>
      </c>
      <c r="CO69" s="56">
        <v>10665.8</v>
      </c>
      <c r="CP69" s="56">
        <v>10734</v>
      </c>
      <c r="CQ69" s="56">
        <v>10804</v>
      </c>
      <c r="CR69" s="56">
        <v>10875.2</v>
      </c>
      <c r="CS69" s="56">
        <v>10947.4</v>
      </c>
      <c r="CT69" s="56">
        <v>11020.7</v>
      </c>
      <c r="CU69" s="56">
        <v>11094.9</v>
      </c>
      <c r="CV69" s="56">
        <v>11170.7</v>
      </c>
      <c r="CW69" s="56">
        <v>11247.9</v>
      </c>
      <c r="CX69" s="56">
        <v>11325.9</v>
      </c>
      <c r="CY69" s="56">
        <v>11405.4</v>
      </c>
      <c r="CZ69" s="56">
        <v>11485.9</v>
      </c>
      <c r="DA69" s="56">
        <v>11568.5</v>
      </c>
      <c r="DB69" s="56">
        <v>11652.9</v>
      </c>
      <c r="DC69" s="56">
        <v>11742.6</v>
      </c>
      <c r="DD69" s="56">
        <v>11838.8</v>
      </c>
      <c r="DE69" s="56">
        <v>11941.3</v>
      </c>
      <c r="DF69" s="56">
        <v>12049.8</v>
      </c>
      <c r="DG69" s="56">
        <v>12163.6</v>
      </c>
      <c r="DH69" s="56">
        <v>12282.9</v>
      </c>
      <c r="DI69" s="56">
        <v>12406.6</v>
      </c>
      <c r="DJ69" s="56">
        <v>12534</v>
      </c>
      <c r="DK69" s="56">
        <v>12665.4</v>
      </c>
      <c r="DL69" s="56">
        <v>12799.2</v>
      </c>
      <c r="DM69" s="56">
        <v>12935.6</v>
      </c>
      <c r="DN69" s="56">
        <v>13074.8</v>
      </c>
      <c r="DO69" s="56">
        <v>13215.7</v>
      </c>
      <c r="DP69" s="56">
        <v>13358.5</v>
      </c>
      <c r="DQ69" s="56">
        <v>13503.5</v>
      </c>
      <c r="DR69" s="56">
        <v>13650</v>
      </c>
      <c r="DS69" s="56">
        <v>13792.7</v>
      </c>
      <c r="DT69" s="56">
        <v>13929.5</v>
      </c>
      <c r="DU69" s="56">
        <v>14059.4</v>
      </c>
      <c r="DV69" s="56">
        <v>14182.4</v>
      </c>
      <c r="DW69" s="56">
        <v>14298.5</v>
      </c>
      <c r="DX69" s="56">
        <v>14407.7</v>
      </c>
      <c r="DY69" s="56">
        <v>14510.9</v>
      </c>
      <c r="DZ69" s="56">
        <v>14608.7</v>
      </c>
      <c r="EA69" s="56">
        <v>14702.9</v>
      </c>
      <c r="EB69" s="56">
        <v>14795.1</v>
      </c>
      <c r="EC69" s="56">
        <v>14886.2</v>
      </c>
      <c r="ED69" s="56">
        <v>14977.2</v>
      </c>
      <c r="EE69" s="56">
        <v>15069</v>
      </c>
      <c r="EF69" s="56">
        <v>15161</v>
      </c>
      <c r="EG69" s="56">
        <v>15254.3</v>
      </c>
      <c r="EH69" s="56">
        <v>15349.4</v>
      </c>
      <c r="EI69" s="56">
        <v>15445.8</v>
      </c>
      <c r="EJ69" s="56">
        <v>15544.1</v>
      </c>
      <c r="EK69" s="56">
        <v>15643.4</v>
      </c>
      <c r="EL69" s="56">
        <v>15740.4</v>
      </c>
      <c r="EM69" s="56">
        <v>15834</v>
      </c>
      <c r="EN69" s="56">
        <v>15925.5</v>
      </c>
      <c r="EO69" s="56">
        <v>16014.2</v>
      </c>
      <c r="EP69" s="56">
        <v>16099.6</v>
      </c>
      <c r="EQ69" s="56">
        <v>16182.6</v>
      </c>
      <c r="ER69" s="56">
        <v>16261.6</v>
      </c>
      <c r="ES69" s="56">
        <v>16336.4</v>
      </c>
      <c r="ET69" s="56">
        <v>16413.099999999999</v>
      </c>
      <c r="EU69" s="56">
        <v>16492.8</v>
      </c>
      <c r="EV69" s="56">
        <v>16575.400000000001</v>
      </c>
      <c r="EW69" s="56">
        <v>16658.3</v>
      </c>
      <c r="EX69" s="56">
        <v>16741.8</v>
      </c>
      <c r="EY69" s="56">
        <v>16824</v>
      </c>
      <c r="EZ69" s="56">
        <v>16903.8</v>
      </c>
      <c r="FA69" s="56">
        <v>16979.7</v>
      </c>
      <c r="FB69" s="56">
        <v>17050.2</v>
      </c>
      <c r="FC69" s="56">
        <v>17116.5</v>
      </c>
      <c r="FD69" s="56">
        <v>17179</v>
      </c>
      <c r="FE69" s="56">
        <v>17239.5</v>
      </c>
      <c r="FF69" s="56">
        <v>17300.3</v>
      </c>
      <c r="FG69" s="56">
        <v>17362.2</v>
      </c>
      <c r="FH69" s="56">
        <v>17426.5</v>
      </c>
      <c r="FI69" s="56">
        <v>17492.5</v>
      </c>
      <c r="FJ69" s="56">
        <v>17560.5</v>
      </c>
      <c r="FK69" s="56">
        <v>17630.5</v>
      </c>
      <c r="FL69" s="56">
        <v>17702.599999999999</v>
      </c>
      <c r="FM69" s="56">
        <v>17776.3</v>
      </c>
      <c r="FN69" s="56">
        <v>17851.5</v>
      </c>
      <c r="FO69" s="56">
        <v>17928.900000000001</v>
      </c>
      <c r="FP69" s="56">
        <v>18007.8</v>
      </c>
      <c r="FQ69" s="56">
        <v>18088</v>
      </c>
      <c r="FR69" s="56">
        <v>18170.2</v>
      </c>
      <c r="FS69" s="56">
        <v>18253.5</v>
      </c>
      <c r="FT69" s="56">
        <v>18337.599999999999</v>
      </c>
      <c r="FU69" s="56">
        <v>18422.900000000001</v>
      </c>
      <c r="FV69" s="56">
        <v>18509.400000000001</v>
      </c>
      <c r="FW69" s="56">
        <v>18597.099999999999</v>
      </c>
      <c r="FX69" s="56">
        <v>18686.8</v>
      </c>
      <c r="FY69" s="56">
        <v>18777.7</v>
      </c>
      <c r="FZ69" s="56">
        <v>18869.8</v>
      </c>
      <c r="GA69" s="56">
        <v>18963</v>
      </c>
      <c r="GB69" s="56">
        <v>19056.8</v>
      </c>
      <c r="GC69" s="56">
        <v>19151</v>
      </c>
      <c r="GD69" s="56">
        <v>19245.2</v>
      </c>
      <c r="GE69" s="56">
        <v>19339.7</v>
      </c>
      <c r="GF69" s="56">
        <v>19434.099999999999</v>
      </c>
      <c r="GG69" s="56">
        <v>19528.099999999999</v>
      </c>
      <c r="GH69" s="56">
        <v>19622.2</v>
      </c>
      <c r="GI69" s="56">
        <v>19717.099999999999</v>
      </c>
      <c r="GJ69" s="56">
        <v>19814.5</v>
      </c>
      <c r="GK69" s="56">
        <v>19914.3</v>
      </c>
      <c r="GL69" s="56">
        <v>20016.5</v>
      </c>
      <c r="GM69" s="56">
        <v>20121.7</v>
      </c>
      <c r="GN69" s="56">
        <v>20228.099999999999</v>
      </c>
      <c r="GO69" s="56">
        <v>20335.099999999999</v>
      </c>
      <c r="GP69" s="56">
        <v>20443</v>
      </c>
      <c r="GQ69" s="56">
        <v>20551.099999999999</v>
      </c>
      <c r="GR69" s="56">
        <v>20659</v>
      </c>
      <c r="GS69" s="56">
        <v>20764</v>
      </c>
      <c r="GT69" s="56">
        <v>20867.3</v>
      </c>
      <c r="GU69" s="56">
        <v>20970.400000000001</v>
      </c>
      <c r="GV69" s="56">
        <v>21071.8</v>
      </c>
      <c r="GW69" s="56">
        <v>21174.3</v>
      </c>
      <c r="GX69" s="56">
        <v>21277.7</v>
      </c>
      <c r="GY69" s="56">
        <v>21382.9</v>
      </c>
      <c r="GZ69" s="56">
        <v>21493</v>
      </c>
      <c r="HA69" s="56">
        <v>21606.1</v>
      </c>
      <c r="HB69" s="56">
        <v>21722</v>
      </c>
      <c r="HC69">
        <v>21840.6</v>
      </c>
      <c r="HD69">
        <v>21961.5</v>
      </c>
      <c r="HE69">
        <v>22084.9</v>
      </c>
      <c r="HF69">
        <v>22208.2</v>
      </c>
      <c r="HG69">
        <v>22333.1</v>
      </c>
      <c r="HH69">
        <v>22459.7</v>
      </c>
      <c r="HI69">
        <v>22588.2</v>
      </c>
      <c r="HJ69">
        <v>22718.1</v>
      </c>
      <c r="HK69">
        <v>22849.9</v>
      </c>
      <c r="HL69">
        <v>22981.3</v>
      </c>
      <c r="HM69">
        <v>23113.3</v>
      </c>
      <c r="HN69">
        <v>23243.200000000001</v>
      </c>
    </row>
    <row r="70" spans="1:222" x14ac:dyDescent="0.25">
      <c r="A70" s="56" t="s">
        <v>2275</v>
      </c>
      <c r="B70" s="56">
        <v>1052.2</v>
      </c>
      <c r="C70" s="56">
        <v>1075.5999999999999</v>
      </c>
      <c r="D70" s="56">
        <v>1093</v>
      </c>
      <c r="E70" s="56">
        <v>1116</v>
      </c>
      <c r="F70" s="56">
        <v>1142</v>
      </c>
      <c r="G70" s="56">
        <v>1166.5999999999999</v>
      </c>
      <c r="H70" s="56">
        <v>1188.7</v>
      </c>
      <c r="I70" s="56">
        <v>1208.8</v>
      </c>
      <c r="J70" s="56">
        <v>1237.4000000000001</v>
      </c>
      <c r="K70" s="56">
        <v>1254.9000000000001</v>
      </c>
      <c r="L70" s="56">
        <v>1276.5</v>
      </c>
      <c r="M70" s="56">
        <v>1302.5</v>
      </c>
      <c r="N70" s="56">
        <v>1327.7</v>
      </c>
      <c r="O70" s="56">
        <v>1359.1</v>
      </c>
      <c r="P70" s="56">
        <v>1397.2</v>
      </c>
      <c r="Q70" s="56">
        <v>1437.3</v>
      </c>
      <c r="R70" s="56">
        <v>1477.1</v>
      </c>
      <c r="S70" s="56">
        <v>1525.1</v>
      </c>
      <c r="T70" s="56">
        <v>1583</v>
      </c>
      <c r="U70" s="56">
        <v>1643.1</v>
      </c>
      <c r="V70" s="56">
        <v>1693.9</v>
      </c>
      <c r="W70" s="56">
        <v>1732.6</v>
      </c>
      <c r="X70" s="56">
        <v>1776.8</v>
      </c>
      <c r="Y70" s="56">
        <v>1820.4</v>
      </c>
      <c r="Z70" s="56">
        <v>1853.5</v>
      </c>
      <c r="AA70" s="56">
        <v>1886.1</v>
      </c>
      <c r="AB70" s="56">
        <v>1925</v>
      </c>
      <c r="AC70" s="56">
        <v>1974.5</v>
      </c>
      <c r="AD70" s="56">
        <v>2021.9</v>
      </c>
      <c r="AE70" s="56">
        <v>2067</v>
      </c>
      <c r="AF70" s="56">
        <v>2109.3000000000002</v>
      </c>
      <c r="AG70" s="56">
        <v>2172.9</v>
      </c>
      <c r="AH70" s="56">
        <v>2223.3000000000002</v>
      </c>
      <c r="AI70" s="56">
        <v>2285.1</v>
      </c>
      <c r="AJ70" s="56">
        <v>2344.3000000000002</v>
      </c>
      <c r="AK70" s="56">
        <v>2413.3000000000002</v>
      </c>
      <c r="AL70" s="56">
        <v>2479.6</v>
      </c>
      <c r="AM70" s="56">
        <v>2562.4</v>
      </c>
      <c r="AN70" s="56">
        <v>2639.8</v>
      </c>
      <c r="AO70" s="56">
        <v>2708.9</v>
      </c>
      <c r="AP70" s="56">
        <v>2784</v>
      </c>
      <c r="AQ70" s="56">
        <v>2866.5</v>
      </c>
      <c r="AR70" s="56">
        <v>2944.6</v>
      </c>
      <c r="AS70" s="56">
        <v>3036.4</v>
      </c>
      <c r="AT70" s="56">
        <v>3126.3</v>
      </c>
      <c r="AU70" s="56">
        <v>3208.3</v>
      </c>
      <c r="AV70" s="56">
        <v>3290.6</v>
      </c>
      <c r="AW70" s="56">
        <v>3371.2</v>
      </c>
      <c r="AX70" s="56">
        <v>3442.8</v>
      </c>
      <c r="AY70" s="56">
        <v>3513.8</v>
      </c>
      <c r="AZ70" s="56">
        <v>3590.9</v>
      </c>
      <c r="BA70" s="56">
        <v>3656.5</v>
      </c>
      <c r="BB70" s="56">
        <v>3712.5</v>
      </c>
      <c r="BC70" s="56">
        <v>3769.4</v>
      </c>
      <c r="BD70" s="56">
        <v>3840.1</v>
      </c>
      <c r="BE70" s="56">
        <v>3901.1</v>
      </c>
      <c r="BF70" s="56">
        <v>3974.3</v>
      </c>
      <c r="BG70" s="56">
        <v>4043.3</v>
      </c>
      <c r="BH70" s="56">
        <v>4115.6000000000004</v>
      </c>
      <c r="BI70" s="56">
        <v>4183.6000000000004</v>
      </c>
      <c r="BJ70" s="56">
        <v>4262.7</v>
      </c>
      <c r="BK70" s="56">
        <v>4328.2</v>
      </c>
      <c r="BL70" s="56">
        <v>4392.5</v>
      </c>
      <c r="BM70" s="56">
        <v>4455.1000000000004</v>
      </c>
      <c r="BN70" s="56">
        <v>4515.1000000000004</v>
      </c>
      <c r="BO70" s="56">
        <v>4569.8</v>
      </c>
      <c r="BP70" s="56">
        <v>4626.2</v>
      </c>
      <c r="BQ70" s="56">
        <v>4689.3</v>
      </c>
      <c r="BR70" s="56">
        <v>4757.3999999999996</v>
      </c>
      <c r="BS70" s="56">
        <v>4828.6000000000004</v>
      </c>
      <c r="BT70" s="56">
        <v>4903.7</v>
      </c>
      <c r="BU70" s="56">
        <v>4981.8</v>
      </c>
      <c r="BV70" s="56">
        <v>5060.2</v>
      </c>
      <c r="BW70" s="56">
        <v>5149.3999999999996</v>
      </c>
      <c r="BX70" s="56">
        <v>5251.5</v>
      </c>
      <c r="BY70" s="56">
        <v>5338.2</v>
      </c>
      <c r="BZ70" s="56">
        <v>5435.7</v>
      </c>
      <c r="CA70" s="56">
        <v>5535.9</v>
      </c>
      <c r="CB70" s="56">
        <v>5619</v>
      </c>
      <c r="CC70" s="56">
        <v>5701.6</v>
      </c>
      <c r="CD70" s="56">
        <v>5805.9</v>
      </c>
      <c r="CE70" s="56">
        <v>5913.5</v>
      </c>
      <c r="CF70" s="56">
        <v>6006</v>
      </c>
      <c r="CG70" s="56">
        <v>6091.7</v>
      </c>
      <c r="CH70" s="56">
        <v>6191.9</v>
      </c>
      <c r="CI70" s="56">
        <v>6277.1</v>
      </c>
      <c r="CJ70" s="56">
        <v>6365.5</v>
      </c>
      <c r="CK70" s="56">
        <v>6442.9</v>
      </c>
      <c r="CL70" s="56">
        <v>6506.8</v>
      </c>
      <c r="CM70" s="56">
        <v>6586.5</v>
      </c>
      <c r="CN70" s="56">
        <v>6660.2</v>
      </c>
      <c r="CO70" s="56">
        <v>6748.6</v>
      </c>
      <c r="CP70" s="56">
        <v>6829.8</v>
      </c>
      <c r="CQ70" s="56">
        <v>6915.3</v>
      </c>
      <c r="CR70" s="56">
        <v>7002.2</v>
      </c>
      <c r="CS70" s="56">
        <v>7087.1</v>
      </c>
      <c r="CT70" s="56">
        <v>7168.8</v>
      </c>
      <c r="CU70" s="56">
        <v>7251.8</v>
      </c>
      <c r="CV70" s="56">
        <v>7343.3</v>
      </c>
      <c r="CW70" s="56">
        <v>7434.2</v>
      </c>
      <c r="CX70" s="56">
        <v>7526.2</v>
      </c>
      <c r="CY70" s="56">
        <v>7615.5</v>
      </c>
      <c r="CZ70" s="56">
        <v>7707</v>
      </c>
      <c r="DA70" s="56">
        <v>7799.8</v>
      </c>
      <c r="DB70" s="56">
        <v>7894.6</v>
      </c>
      <c r="DC70" s="56">
        <v>7988.2</v>
      </c>
      <c r="DD70" s="56">
        <v>8080</v>
      </c>
      <c r="DE70" s="56">
        <v>8193.6</v>
      </c>
      <c r="DF70" s="56">
        <v>8317.4</v>
      </c>
      <c r="DG70" s="56">
        <v>8412.6</v>
      </c>
      <c r="DH70" s="56">
        <v>8532.2000000000007</v>
      </c>
      <c r="DI70" s="56">
        <v>8646.7999999999993</v>
      </c>
      <c r="DJ70" s="56">
        <v>8748.1</v>
      </c>
      <c r="DK70" s="56">
        <v>8860.6</v>
      </c>
      <c r="DL70" s="56">
        <v>8992.1</v>
      </c>
      <c r="DM70" s="56">
        <v>9113.6</v>
      </c>
      <c r="DN70" s="56">
        <v>9241.5</v>
      </c>
      <c r="DO70" s="56">
        <v>9376.5</v>
      </c>
      <c r="DP70" s="56">
        <v>9511.2000000000007</v>
      </c>
      <c r="DQ70" s="56">
        <v>9667.9</v>
      </c>
      <c r="DR70" s="56">
        <v>9837.7999999999993</v>
      </c>
      <c r="DS70" s="56">
        <v>10002.5</v>
      </c>
      <c r="DT70" s="56">
        <v>10160.799999999999</v>
      </c>
      <c r="DU70" s="56">
        <v>10310.700000000001</v>
      </c>
      <c r="DV70" s="56">
        <v>10469.700000000001</v>
      </c>
      <c r="DW70" s="56">
        <v>10618.9</v>
      </c>
      <c r="DX70" s="56">
        <v>10742</v>
      </c>
      <c r="DY70" s="56">
        <v>10853</v>
      </c>
      <c r="DZ70" s="56">
        <v>10960.5</v>
      </c>
      <c r="EA70" s="56">
        <v>11069.8</v>
      </c>
      <c r="EB70" s="56">
        <v>11192.4</v>
      </c>
      <c r="EC70" s="56">
        <v>11326.6</v>
      </c>
      <c r="ED70" s="56">
        <v>11451.7</v>
      </c>
      <c r="EE70" s="56">
        <v>11562.5</v>
      </c>
      <c r="EF70" s="56">
        <v>11699.6</v>
      </c>
      <c r="EG70" s="56">
        <v>11843.3</v>
      </c>
      <c r="EH70" s="56">
        <v>12002.1</v>
      </c>
      <c r="EI70" s="56">
        <v>12175</v>
      </c>
      <c r="EJ70" s="56">
        <v>12330.3</v>
      </c>
      <c r="EK70" s="56">
        <v>12505.2</v>
      </c>
      <c r="EL70" s="56">
        <v>12683.2</v>
      </c>
      <c r="EM70" s="56">
        <v>12850.6</v>
      </c>
      <c r="EN70" s="56">
        <v>13042.6</v>
      </c>
      <c r="EO70" s="56">
        <v>13223</v>
      </c>
      <c r="EP70" s="56">
        <v>13387.8</v>
      </c>
      <c r="EQ70" s="56">
        <v>13574.3</v>
      </c>
      <c r="ER70" s="56">
        <v>13735.8</v>
      </c>
      <c r="ES70" s="56">
        <v>13848.4</v>
      </c>
      <c r="ET70" s="56">
        <v>14045.7</v>
      </c>
      <c r="EU70" s="56">
        <v>14212.1</v>
      </c>
      <c r="EV70" s="56">
        <v>14361.2</v>
      </c>
      <c r="EW70" s="56">
        <v>14491.6</v>
      </c>
      <c r="EX70" s="56">
        <v>14618.2</v>
      </c>
      <c r="EY70" s="56">
        <v>14761</v>
      </c>
      <c r="EZ70" s="56">
        <v>14942.7</v>
      </c>
      <c r="FA70" s="56">
        <v>15046.2</v>
      </c>
      <c r="FB70" s="56">
        <v>15096.7</v>
      </c>
      <c r="FC70" s="56">
        <v>15130.2</v>
      </c>
      <c r="FD70" s="56">
        <v>15203.5</v>
      </c>
      <c r="FE70" s="56">
        <v>15305.3</v>
      </c>
      <c r="FF70" s="56">
        <v>15403.5</v>
      </c>
      <c r="FG70" s="56">
        <v>15534</v>
      </c>
      <c r="FH70" s="56">
        <v>15639</v>
      </c>
      <c r="FI70" s="56">
        <v>15789.4</v>
      </c>
      <c r="FJ70" s="56">
        <v>15932</v>
      </c>
      <c r="FK70" s="56">
        <v>16101.2</v>
      </c>
      <c r="FL70" s="56">
        <v>16264.4</v>
      </c>
      <c r="FM70" s="56">
        <v>16351.6</v>
      </c>
      <c r="FN70" s="56">
        <v>16517.099999999999</v>
      </c>
      <c r="FO70" s="56">
        <v>16657.099999999999</v>
      </c>
      <c r="FP70" s="56">
        <v>16822.2</v>
      </c>
      <c r="FQ70" s="56">
        <v>16982</v>
      </c>
      <c r="FR70" s="56">
        <v>17126.8</v>
      </c>
      <c r="FS70" s="56">
        <v>17242.400000000001</v>
      </c>
      <c r="FT70" s="56">
        <v>17406.7</v>
      </c>
      <c r="FU70" s="56">
        <v>17580.2</v>
      </c>
      <c r="FV70" s="56">
        <v>17729.7</v>
      </c>
      <c r="FW70" s="56">
        <v>17914.599999999999</v>
      </c>
      <c r="FX70" s="56">
        <v>18074.900000000001</v>
      </c>
      <c r="FY70" s="56">
        <v>18181</v>
      </c>
      <c r="FZ70" s="56">
        <v>18260.099999999999</v>
      </c>
      <c r="GA70" s="56">
        <v>18455.8</v>
      </c>
      <c r="GB70" s="56">
        <v>18596.2</v>
      </c>
      <c r="GC70" s="56">
        <v>18687.599999999999</v>
      </c>
      <c r="GD70" s="56">
        <v>18763.3</v>
      </c>
      <c r="GE70" s="56">
        <v>18983.599999999999</v>
      </c>
      <c r="GF70" s="56">
        <v>19125</v>
      </c>
      <c r="GG70" s="56">
        <v>19310.599999999999</v>
      </c>
      <c r="GH70" s="56">
        <v>19502.599999999999</v>
      </c>
      <c r="GI70" s="56">
        <v>19648</v>
      </c>
      <c r="GJ70" s="56">
        <v>19846.599999999999</v>
      </c>
      <c r="GK70" s="56">
        <v>20069.2</v>
      </c>
      <c r="GL70" s="56">
        <v>20300.7</v>
      </c>
      <c r="GM70" s="56">
        <v>20551.5</v>
      </c>
      <c r="GN70" s="56">
        <v>20749.400000000001</v>
      </c>
      <c r="GO70" s="56">
        <v>20949</v>
      </c>
      <c r="GP70" s="56">
        <v>21123.4</v>
      </c>
      <c r="GQ70" s="56">
        <v>21344.7</v>
      </c>
      <c r="GR70" s="56">
        <v>21525.200000000001</v>
      </c>
      <c r="GS70" s="56">
        <v>21701.8</v>
      </c>
      <c r="GT70" s="56">
        <v>21910.5</v>
      </c>
      <c r="GU70" s="56">
        <v>21937.5</v>
      </c>
      <c r="GV70" s="56">
        <v>22236.5</v>
      </c>
      <c r="GW70" s="56">
        <v>22496.6</v>
      </c>
      <c r="GX70" s="56">
        <v>22892.7</v>
      </c>
      <c r="GY70" s="56">
        <v>23362.2</v>
      </c>
      <c r="GZ70" s="56">
        <v>23835.1</v>
      </c>
      <c r="HA70" s="56">
        <v>24377.200000000001</v>
      </c>
      <c r="HB70" s="56">
        <v>25006.1</v>
      </c>
      <c r="HC70">
        <v>25713.200000000001</v>
      </c>
      <c r="HD70">
        <v>26146.7</v>
      </c>
      <c r="HE70">
        <v>26536.6</v>
      </c>
      <c r="HF70">
        <v>26927.8</v>
      </c>
      <c r="HG70">
        <v>27202.5</v>
      </c>
      <c r="HH70">
        <v>27573.4</v>
      </c>
      <c r="HI70">
        <v>27838</v>
      </c>
      <c r="HJ70">
        <v>28207.7</v>
      </c>
      <c r="HK70">
        <v>28549.4</v>
      </c>
      <c r="HL70">
        <v>28845.5</v>
      </c>
      <c r="HM70">
        <v>29181.8</v>
      </c>
      <c r="HN70">
        <v>29512.400000000001</v>
      </c>
    </row>
    <row r="71" spans="1:222" x14ac:dyDescent="0.25">
      <c r="A71" s="56" t="s">
        <v>2276</v>
      </c>
      <c r="B71" s="56">
        <v>1</v>
      </c>
      <c r="C71" s="56">
        <v>1</v>
      </c>
      <c r="D71" s="56">
        <v>1</v>
      </c>
      <c r="E71" s="56">
        <v>1</v>
      </c>
      <c r="F71" s="56">
        <v>-1</v>
      </c>
      <c r="G71" s="56">
        <v>-1</v>
      </c>
      <c r="H71" s="56">
        <v>-1</v>
      </c>
      <c r="I71" s="56">
        <v>-1</v>
      </c>
      <c r="J71" s="56">
        <v>-1</v>
      </c>
      <c r="K71" s="56">
        <v>-1</v>
      </c>
      <c r="L71" s="56">
        <v>-1</v>
      </c>
      <c r="M71" s="56">
        <v>-1</v>
      </c>
      <c r="N71" s="56">
        <v>-1</v>
      </c>
      <c r="O71" s="56">
        <v>-1</v>
      </c>
      <c r="P71" s="56">
        <v>-1</v>
      </c>
      <c r="Q71" s="56">
        <v>1</v>
      </c>
      <c r="R71" s="56">
        <v>1</v>
      </c>
      <c r="S71" s="56">
        <v>1</v>
      </c>
      <c r="T71" s="56">
        <v>1</v>
      </c>
      <c r="U71" s="56">
        <v>1</v>
      </c>
      <c r="V71" s="56">
        <v>1</v>
      </c>
      <c r="W71" s="56">
        <v>-1</v>
      </c>
      <c r="X71" s="56">
        <v>-1</v>
      </c>
      <c r="Y71" s="56">
        <v>-1</v>
      </c>
      <c r="Z71" s="56">
        <v>-1</v>
      </c>
      <c r="AA71" s="56">
        <v>-1</v>
      </c>
      <c r="AB71" s="56">
        <v>-1</v>
      </c>
      <c r="AC71" s="56">
        <v>-1</v>
      </c>
      <c r="AD71" s="56">
        <v>-1</v>
      </c>
      <c r="AE71" s="56">
        <v>-1</v>
      </c>
      <c r="AF71" s="56">
        <v>-1</v>
      </c>
      <c r="AG71" s="56">
        <v>-1</v>
      </c>
      <c r="AH71" s="56">
        <v>-1</v>
      </c>
      <c r="AI71" s="56">
        <v>-1</v>
      </c>
      <c r="AJ71" s="56">
        <v>-1</v>
      </c>
      <c r="AK71" s="56">
        <v>-1</v>
      </c>
      <c r="AL71" s="56">
        <v>-1</v>
      </c>
      <c r="AM71" s="56">
        <v>-1</v>
      </c>
      <c r="AN71" s="56">
        <v>-1</v>
      </c>
      <c r="AO71" s="56">
        <v>-1</v>
      </c>
      <c r="AP71" s="56">
        <v>1</v>
      </c>
      <c r="AQ71" s="56">
        <v>1</v>
      </c>
      <c r="AR71" s="56">
        <v>1</v>
      </c>
      <c r="AS71" s="56">
        <v>-1</v>
      </c>
      <c r="AT71" s="56">
        <v>-1</v>
      </c>
      <c r="AU71" s="56">
        <v>-1</v>
      </c>
      <c r="AV71" s="56">
        <v>1</v>
      </c>
      <c r="AW71" s="56">
        <v>1</v>
      </c>
      <c r="AX71" s="56">
        <v>1</v>
      </c>
      <c r="AY71" s="56">
        <v>1</v>
      </c>
      <c r="AZ71" s="56">
        <v>1</v>
      </c>
      <c r="BA71" s="56">
        <v>1</v>
      </c>
      <c r="BB71" s="56">
        <v>-1</v>
      </c>
      <c r="BC71" s="56">
        <v>-1</v>
      </c>
      <c r="BD71" s="56">
        <v>-1</v>
      </c>
      <c r="BE71" s="56">
        <v>-1</v>
      </c>
      <c r="BF71" s="56">
        <v>-1</v>
      </c>
      <c r="BG71" s="56">
        <v>-1</v>
      </c>
      <c r="BH71" s="56">
        <v>-1</v>
      </c>
      <c r="BI71" s="56">
        <v>-1</v>
      </c>
      <c r="BJ71" s="56">
        <v>-1</v>
      </c>
      <c r="BK71" s="56">
        <v>-1</v>
      </c>
      <c r="BL71" s="56">
        <v>-1</v>
      </c>
      <c r="BM71" s="56">
        <v>-1</v>
      </c>
      <c r="BN71" s="56">
        <v>-1</v>
      </c>
      <c r="BO71" s="56">
        <v>-1</v>
      </c>
      <c r="BP71" s="56">
        <v>-1</v>
      </c>
      <c r="BQ71" s="56">
        <v>-1</v>
      </c>
      <c r="BR71" s="56">
        <v>-1</v>
      </c>
      <c r="BS71" s="56">
        <v>-1</v>
      </c>
      <c r="BT71" s="56">
        <v>-1</v>
      </c>
      <c r="BU71" s="56">
        <v>-1</v>
      </c>
      <c r="BV71" s="56">
        <v>-1</v>
      </c>
      <c r="BW71" s="56">
        <v>-1</v>
      </c>
      <c r="BX71" s="56">
        <v>-1</v>
      </c>
      <c r="BY71" s="56">
        <v>-1</v>
      </c>
      <c r="BZ71" s="56">
        <v>-1</v>
      </c>
      <c r="CA71" s="56">
        <v>-1</v>
      </c>
      <c r="CB71" s="56">
        <v>-1</v>
      </c>
      <c r="CC71" s="56">
        <v>-1</v>
      </c>
      <c r="CD71" s="56">
        <v>-1</v>
      </c>
      <c r="CE71" s="56">
        <v>-1</v>
      </c>
      <c r="CF71" s="56">
        <v>1</v>
      </c>
      <c r="CG71" s="56">
        <v>1</v>
      </c>
      <c r="CH71" s="56">
        <v>1</v>
      </c>
      <c r="CI71" s="56">
        <v>-1</v>
      </c>
      <c r="CJ71" s="56">
        <v>-1</v>
      </c>
      <c r="CK71" s="56">
        <v>-1</v>
      </c>
      <c r="CL71" s="56">
        <v>-1</v>
      </c>
      <c r="CM71" s="56">
        <v>-1</v>
      </c>
      <c r="CN71" s="56">
        <v>-1</v>
      </c>
      <c r="CO71" s="56">
        <v>-1</v>
      </c>
      <c r="CP71" s="56">
        <v>-1</v>
      </c>
      <c r="CQ71" s="56">
        <v>-1</v>
      </c>
      <c r="CR71" s="56">
        <v>-1</v>
      </c>
      <c r="CS71" s="56">
        <v>-1</v>
      </c>
      <c r="CT71" s="56">
        <v>-1</v>
      </c>
      <c r="CU71" s="56">
        <v>-1</v>
      </c>
      <c r="CV71" s="56">
        <v>-1</v>
      </c>
      <c r="CW71" s="56">
        <v>-1</v>
      </c>
      <c r="CX71" s="56">
        <v>-1</v>
      </c>
      <c r="CY71" s="56">
        <v>-1</v>
      </c>
      <c r="CZ71" s="56">
        <v>-1</v>
      </c>
      <c r="DA71" s="56">
        <v>-1</v>
      </c>
      <c r="DB71" s="56">
        <v>-1</v>
      </c>
      <c r="DC71" s="56">
        <v>-1</v>
      </c>
      <c r="DD71" s="56">
        <v>-1</v>
      </c>
      <c r="DE71" s="56">
        <v>-1</v>
      </c>
      <c r="DF71" s="56">
        <v>-1</v>
      </c>
      <c r="DG71" s="56">
        <v>-1</v>
      </c>
      <c r="DH71" s="56">
        <v>-1</v>
      </c>
      <c r="DI71" s="56">
        <v>-1</v>
      </c>
      <c r="DJ71" s="56">
        <v>-1</v>
      </c>
      <c r="DK71" s="56">
        <v>-1</v>
      </c>
      <c r="DL71" s="56">
        <v>-1</v>
      </c>
      <c r="DM71" s="56">
        <v>-1</v>
      </c>
      <c r="DN71" s="56">
        <v>-1</v>
      </c>
      <c r="DO71" s="56">
        <v>-1</v>
      </c>
      <c r="DP71" s="56">
        <v>-1</v>
      </c>
      <c r="DQ71" s="56">
        <v>-1</v>
      </c>
      <c r="DR71" s="56">
        <v>-1</v>
      </c>
      <c r="DS71" s="56">
        <v>-1</v>
      </c>
      <c r="DT71" s="56">
        <v>-1</v>
      </c>
      <c r="DU71" s="56">
        <v>-1</v>
      </c>
      <c r="DV71" s="56">
        <v>1</v>
      </c>
      <c r="DW71" s="56">
        <v>1</v>
      </c>
      <c r="DX71" s="56">
        <v>1</v>
      </c>
      <c r="DY71" s="56">
        <v>1</v>
      </c>
      <c r="DZ71" s="56">
        <v>-1</v>
      </c>
      <c r="EA71" s="56">
        <v>-1</v>
      </c>
      <c r="EB71" s="56">
        <v>-1</v>
      </c>
      <c r="EC71" s="56">
        <v>-1</v>
      </c>
      <c r="ED71" s="56">
        <v>-1</v>
      </c>
      <c r="EE71" s="56">
        <v>-1</v>
      </c>
      <c r="EF71" s="56">
        <v>-1</v>
      </c>
      <c r="EG71" s="56">
        <v>-1</v>
      </c>
      <c r="EH71" s="56">
        <v>-1</v>
      </c>
      <c r="EI71" s="56">
        <v>-1</v>
      </c>
      <c r="EJ71" s="56">
        <v>-1</v>
      </c>
      <c r="EK71" s="56">
        <v>-1</v>
      </c>
      <c r="EL71" s="56">
        <v>-1</v>
      </c>
      <c r="EM71" s="56">
        <v>-1</v>
      </c>
      <c r="EN71" s="56">
        <v>-1</v>
      </c>
      <c r="EO71" s="56">
        <v>-1</v>
      </c>
      <c r="EP71" s="56">
        <v>-1</v>
      </c>
      <c r="EQ71" s="56">
        <v>-1</v>
      </c>
      <c r="ER71" s="56">
        <v>-1</v>
      </c>
      <c r="ES71" s="56">
        <v>-1</v>
      </c>
      <c r="ET71" s="56">
        <v>-1</v>
      </c>
      <c r="EU71" s="56">
        <v>-1</v>
      </c>
      <c r="EV71" s="56">
        <v>-1</v>
      </c>
      <c r="EW71" s="56">
        <v>1</v>
      </c>
      <c r="EX71" s="56">
        <v>1</v>
      </c>
      <c r="EY71" s="56">
        <v>1</v>
      </c>
      <c r="EZ71" s="56">
        <v>1</v>
      </c>
      <c r="FA71" s="56">
        <v>1</v>
      </c>
      <c r="FB71" s="56">
        <v>1</v>
      </c>
      <c r="FC71" s="56">
        <v>1</v>
      </c>
      <c r="FD71" s="56">
        <v>-1</v>
      </c>
      <c r="FE71" s="56">
        <v>-1</v>
      </c>
      <c r="FF71" s="56">
        <v>-1</v>
      </c>
      <c r="FG71" s="56">
        <v>-1</v>
      </c>
      <c r="FH71" s="56">
        <v>-1</v>
      </c>
      <c r="FI71" s="56">
        <v>-1</v>
      </c>
      <c r="FJ71" s="56">
        <v>-1</v>
      </c>
      <c r="FK71" s="56">
        <v>-1</v>
      </c>
      <c r="FL71" s="56">
        <v>-1</v>
      </c>
      <c r="FM71" s="56">
        <v>-1</v>
      </c>
      <c r="FN71" s="56">
        <v>-1</v>
      </c>
      <c r="FO71" s="56">
        <v>-1</v>
      </c>
      <c r="FP71" s="56">
        <v>-1</v>
      </c>
      <c r="FQ71" s="56">
        <v>-1</v>
      </c>
      <c r="FR71" s="56">
        <v>-1</v>
      </c>
      <c r="FS71" s="56">
        <v>-1</v>
      </c>
      <c r="FT71" s="56">
        <v>-1</v>
      </c>
      <c r="FU71" s="56">
        <v>-1</v>
      </c>
      <c r="FV71" s="56">
        <v>-1</v>
      </c>
      <c r="FW71" s="56">
        <v>-1</v>
      </c>
      <c r="FX71" s="56">
        <v>-1</v>
      </c>
      <c r="FY71" s="56">
        <v>-1</v>
      </c>
      <c r="FZ71" s="56">
        <v>-1</v>
      </c>
      <c r="GA71" s="56">
        <v>-1</v>
      </c>
      <c r="GB71" s="56">
        <v>-1</v>
      </c>
      <c r="GC71" s="56">
        <v>-1</v>
      </c>
      <c r="GD71" s="56">
        <v>-1</v>
      </c>
      <c r="GE71" s="56">
        <v>-1</v>
      </c>
      <c r="GF71" s="56">
        <v>-1</v>
      </c>
      <c r="GG71" s="56">
        <v>-1</v>
      </c>
      <c r="GH71" s="56">
        <v>-1</v>
      </c>
      <c r="GI71" s="56">
        <v>-1</v>
      </c>
      <c r="GJ71" s="56">
        <v>-1</v>
      </c>
      <c r="GK71" s="56">
        <v>-1</v>
      </c>
      <c r="GL71" s="56">
        <v>-1</v>
      </c>
      <c r="GM71" s="56">
        <v>-1</v>
      </c>
      <c r="GN71" s="56">
        <v>-1</v>
      </c>
      <c r="GO71" s="56">
        <v>-1</v>
      </c>
      <c r="GP71" s="56">
        <v>-1</v>
      </c>
      <c r="GQ71" s="56">
        <v>-1</v>
      </c>
      <c r="GR71" s="56">
        <v>-1</v>
      </c>
      <c r="GS71" s="56">
        <v>1</v>
      </c>
      <c r="GT71" s="56">
        <v>1</v>
      </c>
      <c r="GU71" s="56">
        <v>1</v>
      </c>
      <c r="GV71" s="56">
        <v>-1</v>
      </c>
      <c r="GW71" s="56">
        <v>-1</v>
      </c>
      <c r="GX71" s="56">
        <v>-1</v>
      </c>
      <c r="GY71" s="56">
        <v>-1</v>
      </c>
      <c r="GZ71" s="56">
        <v>-1</v>
      </c>
      <c r="HA71" s="56">
        <v>-1</v>
      </c>
      <c r="HB71" s="56">
        <v>-1</v>
      </c>
      <c r="HC71">
        <v>-1</v>
      </c>
      <c r="HD71">
        <v>-1</v>
      </c>
      <c r="HE71">
        <v>-1</v>
      </c>
      <c r="HF71">
        <v>-1</v>
      </c>
      <c r="HG71">
        <v>-1</v>
      </c>
      <c r="HH71">
        <v>-1</v>
      </c>
      <c r="HI71">
        <v>-1</v>
      </c>
      <c r="HJ71">
        <v>-1</v>
      </c>
      <c r="HK71">
        <v>-1</v>
      </c>
      <c r="HL71">
        <v>-1</v>
      </c>
      <c r="HM71">
        <v>-1</v>
      </c>
    </row>
    <row r="72" spans="1:222" x14ac:dyDescent="0.25">
      <c r="A72" s="56" t="s">
        <v>2277</v>
      </c>
      <c r="B72" s="56">
        <v>2613.3333333333298</v>
      </c>
      <c r="C72" s="56">
        <v>2648.3333333333298</v>
      </c>
      <c r="D72" s="56">
        <v>2681.6666666666702</v>
      </c>
      <c r="E72" s="56">
        <v>2716.3333333333298</v>
      </c>
      <c r="F72" s="56">
        <v>2719.3333333333298</v>
      </c>
      <c r="G72" s="56">
        <v>2739.6666666666702</v>
      </c>
      <c r="H72" s="56">
        <v>2751.6666666666702</v>
      </c>
      <c r="I72" s="56">
        <v>2781</v>
      </c>
      <c r="J72" s="56">
        <v>2815</v>
      </c>
      <c r="K72" s="56">
        <v>2849</v>
      </c>
      <c r="L72" s="56">
        <v>2874</v>
      </c>
      <c r="M72" s="56">
        <v>2901.3333333333298</v>
      </c>
      <c r="N72" s="56">
        <v>2899.6666666666702</v>
      </c>
      <c r="O72" s="56">
        <v>2911.6666666666702</v>
      </c>
      <c r="P72" s="56">
        <v>2926.3333333333298</v>
      </c>
      <c r="Q72" s="56">
        <v>2953.3333333333298</v>
      </c>
      <c r="R72" s="56">
        <v>2988.6666666666702</v>
      </c>
      <c r="S72" s="56">
        <v>3018</v>
      </c>
      <c r="T72" s="56">
        <v>3048.3333333333298</v>
      </c>
      <c r="U72" s="56">
        <v>3099</v>
      </c>
      <c r="V72" s="56">
        <v>3161.6666666666702</v>
      </c>
      <c r="W72" s="56">
        <v>3177.3333333333298</v>
      </c>
      <c r="X72" s="56">
        <v>3178</v>
      </c>
      <c r="Y72" s="56">
        <v>3197.3333333333298</v>
      </c>
      <c r="Z72" s="56">
        <v>3214.3333333333298</v>
      </c>
      <c r="AA72" s="56">
        <v>3241.6666666666702</v>
      </c>
      <c r="AB72" s="56">
        <v>3290.6666666666702</v>
      </c>
      <c r="AC72" s="56">
        <v>3342</v>
      </c>
      <c r="AD72" s="56">
        <v>3341.3333333333298</v>
      </c>
      <c r="AE72" s="56">
        <v>3374.6666666666702</v>
      </c>
      <c r="AF72" s="56">
        <v>3385</v>
      </c>
      <c r="AG72" s="56">
        <v>3404.6666666666702</v>
      </c>
      <c r="AH72" s="56">
        <v>3442.3333333333298</v>
      </c>
      <c r="AI72" s="56">
        <v>3479</v>
      </c>
      <c r="AJ72" s="56">
        <v>3477.3333333333298</v>
      </c>
      <c r="AK72" s="56">
        <v>3494</v>
      </c>
      <c r="AL72" s="56">
        <v>3504.3333333333298</v>
      </c>
      <c r="AM72" s="56">
        <v>3518</v>
      </c>
      <c r="AN72" s="56">
        <v>3560.6666666666702</v>
      </c>
      <c r="AO72" s="56">
        <v>3579.3333333333298</v>
      </c>
      <c r="AP72" s="56">
        <v>3582</v>
      </c>
      <c r="AQ72" s="56">
        <v>3602.6666666666702</v>
      </c>
      <c r="AR72" s="56">
        <v>3624</v>
      </c>
      <c r="AS72" s="56">
        <v>3630.6666666666702</v>
      </c>
      <c r="AT72" s="56">
        <v>3636</v>
      </c>
      <c r="AU72" s="56">
        <v>3631.6666666666702</v>
      </c>
      <c r="AV72" s="56">
        <v>3640</v>
      </c>
      <c r="AW72" s="56">
        <v>3653</v>
      </c>
      <c r="AX72" s="56">
        <v>3645.6666666666702</v>
      </c>
      <c r="AY72" s="56">
        <v>3647.3333333333298</v>
      </c>
      <c r="AZ72" s="56">
        <v>3625.6666666666702</v>
      </c>
      <c r="BA72" s="56">
        <v>3640.3333333333298</v>
      </c>
      <c r="BB72" s="56">
        <v>3650.3333333333298</v>
      </c>
      <c r="BC72" s="56">
        <v>3656</v>
      </c>
      <c r="BD72" s="56">
        <v>3671.3333333333298</v>
      </c>
      <c r="BE72" s="56">
        <v>3671.6666666666702</v>
      </c>
      <c r="BF72" s="56">
        <v>3687</v>
      </c>
      <c r="BG72" s="56">
        <v>3720</v>
      </c>
      <c r="BH72" s="56">
        <v>3758</v>
      </c>
      <c r="BI72" s="56">
        <v>3773</v>
      </c>
      <c r="BJ72" s="56">
        <v>3798.3333333333298</v>
      </c>
      <c r="BK72" s="56">
        <v>3819.3333333333298</v>
      </c>
      <c r="BL72" s="56">
        <v>3844.3333333333298</v>
      </c>
      <c r="BM72" s="56">
        <v>3864.3333333333298</v>
      </c>
      <c r="BN72" s="56">
        <v>3872.3333333333298</v>
      </c>
      <c r="BO72" s="56">
        <v>3883</v>
      </c>
      <c r="BP72" s="56">
        <v>3889.3333333333298</v>
      </c>
      <c r="BQ72" s="56">
        <v>3926.6666666666702</v>
      </c>
      <c r="BR72" s="56">
        <v>3943.6666666666702</v>
      </c>
      <c r="BS72" s="56">
        <v>3953</v>
      </c>
      <c r="BT72" s="56">
        <v>3969</v>
      </c>
      <c r="BU72" s="56">
        <v>4000.6666666666702</v>
      </c>
      <c r="BV72" s="56">
        <v>4030.6666666666702</v>
      </c>
      <c r="BW72" s="56">
        <v>4065.3333333333298</v>
      </c>
      <c r="BX72" s="56">
        <v>4094.3333333333298</v>
      </c>
      <c r="BY72" s="56">
        <v>4114.6666666666697</v>
      </c>
      <c r="BZ72" s="56">
        <v>4135.6666666666697</v>
      </c>
      <c r="CA72" s="56">
        <v>4169</v>
      </c>
      <c r="CB72" s="56">
        <v>4201.3333333333303</v>
      </c>
      <c r="CC72" s="56">
        <v>4221</v>
      </c>
      <c r="CD72" s="56">
        <v>4258</v>
      </c>
      <c r="CE72" s="56">
        <v>4295.6666666666697</v>
      </c>
      <c r="CF72" s="56">
        <v>4322.6666666666697</v>
      </c>
      <c r="CG72" s="56">
        <v>4342.6666666666697</v>
      </c>
      <c r="CH72" s="56">
        <v>4358</v>
      </c>
      <c r="CI72" s="56">
        <v>4362.3333333333303</v>
      </c>
      <c r="CJ72" s="56">
        <v>4345</v>
      </c>
      <c r="CK72" s="56">
        <v>4354.3333333333303</v>
      </c>
      <c r="CL72" s="56">
        <v>4372</v>
      </c>
      <c r="CM72" s="56">
        <v>4395.6666666666697</v>
      </c>
      <c r="CN72" s="56">
        <v>4425.3333333333303</v>
      </c>
      <c r="CO72" s="56">
        <v>4438</v>
      </c>
      <c r="CP72" s="56">
        <v>4456</v>
      </c>
      <c r="CQ72" s="56">
        <v>4478</v>
      </c>
      <c r="CR72" s="56">
        <v>4496</v>
      </c>
      <c r="CS72" s="56">
        <v>4515</v>
      </c>
      <c r="CT72" s="56">
        <v>4523.6666666666697</v>
      </c>
      <c r="CU72" s="56">
        <v>4555.3333333333303</v>
      </c>
      <c r="CV72" s="56">
        <v>4600</v>
      </c>
      <c r="CW72" s="56">
        <v>4626.3333333333303</v>
      </c>
      <c r="CX72" s="56">
        <v>4649.6666666666697</v>
      </c>
      <c r="CY72" s="56">
        <v>4643</v>
      </c>
      <c r="CZ72" s="56">
        <v>4623.6666666666697</v>
      </c>
      <c r="DA72" s="56">
        <v>4624.6666666666697</v>
      </c>
      <c r="DB72" s="56">
        <v>4621.3333333333303</v>
      </c>
      <c r="DC72" s="56">
        <v>4618.3333333333303</v>
      </c>
      <c r="DD72" s="56">
        <v>4600.3333333333303</v>
      </c>
      <c r="DE72" s="56">
        <v>4581.3333333333303</v>
      </c>
      <c r="DF72" s="56">
        <v>4574.3333333333303</v>
      </c>
      <c r="DG72" s="56">
        <v>4577</v>
      </c>
      <c r="DH72" s="56">
        <v>4589</v>
      </c>
      <c r="DI72" s="56">
        <v>4583</v>
      </c>
      <c r="DJ72" s="56">
        <v>4578</v>
      </c>
      <c r="DK72" s="56">
        <v>4596.6666666666697</v>
      </c>
      <c r="DL72" s="56">
        <v>4631.6666666666697</v>
      </c>
      <c r="DM72" s="56">
        <v>4640.6666666666697</v>
      </c>
      <c r="DN72" s="56">
        <v>4669</v>
      </c>
      <c r="DO72" s="56">
        <v>4688.3333333333303</v>
      </c>
      <c r="DP72" s="56">
        <v>4717.3333333333303</v>
      </c>
      <c r="DQ72" s="56">
        <v>4757.3333333333303</v>
      </c>
      <c r="DR72" s="56">
        <v>4768</v>
      </c>
      <c r="DS72" s="56">
        <v>4779.3333333333303</v>
      </c>
      <c r="DT72" s="56">
        <v>4793.3333333333303</v>
      </c>
      <c r="DU72" s="56">
        <v>4809</v>
      </c>
      <c r="DV72" s="56">
        <v>4832</v>
      </c>
      <c r="DW72" s="56">
        <v>4877.6666666666697</v>
      </c>
      <c r="DX72" s="56">
        <v>4936.6666666666697</v>
      </c>
      <c r="DY72" s="56">
        <v>4977.3333333333303</v>
      </c>
      <c r="DZ72" s="56">
        <v>5004.3333333333303</v>
      </c>
      <c r="EA72" s="56">
        <v>5039</v>
      </c>
      <c r="EB72" s="56">
        <v>5052.6666666666697</v>
      </c>
      <c r="EC72" s="56">
        <v>5020.6666666666697</v>
      </c>
      <c r="ED72" s="56">
        <v>5029.3333333333303</v>
      </c>
      <c r="EE72" s="56">
        <v>5007.6666666666697</v>
      </c>
      <c r="EF72" s="56">
        <v>4978.6666666666697</v>
      </c>
      <c r="EG72" s="56">
        <v>4985.3333333333303</v>
      </c>
      <c r="EH72" s="56">
        <v>4968.3333333333303</v>
      </c>
      <c r="EI72" s="56">
        <v>4974</v>
      </c>
      <c r="EJ72" s="56">
        <v>4984</v>
      </c>
      <c r="EK72" s="56">
        <v>4995.3333333333303</v>
      </c>
      <c r="EL72" s="56">
        <v>5015.6666666666697</v>
      </c>
      <c r="EM72" s="56">
        <v>5023.3333333333303</v>
      </c>
      <c r="EN72" s="56">
        <v>5039.3333333333303</v>
      </c>
      <c r="EO72" s="56">
        <v>5047.6666666666697</v>
      </c>
      <c r="EP72" s="56">
        <v>5047</v>
      </c>
      <c r="EQ72" s="56">
        <v>5068.3333333333303</v>
      </c>
      <c r="ER72" s="56">
        <v>5086</v>
      </c>
      <c r="ES72" s="56">
        <v>5098.3333333333303</v>
      </c>
      <c r="ET72" s="56">
        <v>5106.3333333333303</v>
      </c>
      <c r="EU72" s="56">
        <v>5124.3333333333303</v>
      </c>
      <c r="EV72" s="56">
        <v>5122</v>
      </c>
      <c r="EW72" s="56">
        <v>5136</v>
      </c>
      <c r="EX72" s="56">
        <v>5148.6666666666697</v>
      </c>
      <c r="EY72" s="56">
        <v>5166</v>
      </c>
      <c r="EZ72" s="56">
        <v>5196.3333333333303</v>
      </c>
      <c r="FA72" s="56">
        <v>5189</v>
      </c>
      <c r="FB72" s="56">
        <v>5192</v>
      </c>
      <c r="FC72" s="56">
        <v>5181.6666666666697</v>
      </c>
      <c r="FD72" s="56">
        <v>5145.3333333333303</v>
      </c>
      <c r="FE72" s="56">
        <v>5153.3333333333303</v>
      </c>
      <c r="FF72" s="56">
        <v>5144</v>
      </c>
      <c r="FG72" s="56">
        <v>5136.6666666666697</v>
      </c>
      <c r="FH72" s="56">
        <v>5129.3333333333303</v>
      </c>
      <c r="FI72" s="56">
        <v>5137</v>
      </c>
      <c r="FJ72" s="56">
        <v>5113.3333333333303</v>
      </c>
      <c r="FK72" s="56">
        <v>5084.3333333333303</v>
      </c>
      <c r="FL72" s="56">
        <v>5069.6666666666697</v>
      </c>
      <c r="FM72" s="56">
        <v>5051</v>
      </c>
      <c r="FN72" s="56">
        <v>5048</v>
      </c>
      <c r="FO72" s="56">
        <v>5055.3333333333303</v>
      </c>
      <c r="FP72" s="56">
        <v>5064.6666666666697</v>
      </c>
      <c r="FQ72" s="56">
        <v>5051.6666666666697</v>
      </c>
      <c r="FR72" s="56">
        <v>5042</v>
      </c>
      <c r="FS72" s="56">
        <v>5044.6666666666697</v>
      </c>
      <c r="FT72" s="56">
        <v>5040</v>
      </c>
      <c r="FU72" s="56">
        <v>5055.3333333333303</v>
      </c>
      <c r="FV72" s="56">
        <v>5054.6666666666697</v>
      </c>
      <c r="FW72" s="56">
        <v>5054.6666666666697</v>
      </c>
      <c r="FX72" s="56">
        <v>5030.6666666666697</v>
      </c>
      <c r="FY72" s="56">
        <v>5052.6666666666697</v>
      </c>
      <c r="FZ72" s="56">
        <v>5067.6666666666697</v>
      </c>
      <c r="GA72" s="56">
        <v>5072.3333333333303</v>
      </c>
      <c r="GB72" s="56">
        <v>5077.6666666666697</v>
      </c>
      <c r="GC72" s="56">
        <v>5087.3333333333303</v>
      </c>
      <c r="GD72" s="56">
        <v>5089</v>
      </c>
      <c r="GE72" s="56">
        <v>5098.6666666666697</v>
      </c>
      <c r="GF72" s="56">
        <v>5126.6666666666697</v>
      </c>
      <c r="GG72" s="56">
        <v>5135.3333333333303</v>
      </c>
      <c r="GH72" s="56">
        <v>5159.6666666666697</v>
      </c>
      <c r="GI72" s="56">
        <v>5174.6666666666697</v>
      </c>
      <c r="GJ72" s="56">
        <v>5163.6666666666697</v>
      </c>
      <c r="GK72" s="56">
        <v>5157.3333333333303</v>
      </c>
      <c r="GL72" s="56">
        <v>5157.3333333333303</v>
      </c>
      <c r="GM72" s="56">
        <v>5176.6666666666697</v>
      </c>
      <c r="GN72" s="56">
        <v>5177.3333333333303</v>
      </c>
      <c r="GO72" s="56">
        <v>5174.6666666666697</v>
      </c>
      <c r="GP72" s="56">
        <v>5182</v>
      </c>
      <c r="GQ72" s="56">
        <v>5170.6666666666697</v>
      </c>
      <c r="GR72" s="56">
        <v>5207.6666666666697</v>
      </c>
      <c r="GS72" s="56">
        <v>5246</v>
      </c>
      <c r="GT72" s="56">
        <v>5277.6666666666697</v>
      </c>
      <c r="GU72" s="56">
        <v>5080.3333333333303</v>
      </c>
      <c r="GV72" s="56">
        <v>5097</v>
      </c>
      <c r="GW72" s="56">
        <v>5077</v>
      </c>
      <c r="GX72" s="56">
        <v>5165.3333333333303</v>
      </c>
      <c r="GY72" s="56">
        <v>5186.6666666666697</v>
      </c>
      <c r="GZ72" s="56">
        <v>5157</v>
      </c>
      <c r="HA72" s="56">
        <v>5125</v>
      </c>
      <c r="HB72" s="56">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5523.3333333333303</v>
      </c>
    </row>
    <row r="73" spans="1:222" x14ac:dyDescent="0.25">
      <c r="A73" s="56" t="s">
        <v>2278</v>
      </c>
      <c r="B73" s="56">
        <v>7048.6666666666697</v>
      </c>
      <c r="C73" s="56">
        <v>7104.3333333333303</v>
      </c>
      <c r="D73" s="56">
        <v>7204.3333333333303</v>
      </c>
      <c r="E73" s="56">
        <v>7279.3333333333303</v>
      </c>
      <c r="F73" s="56">
        <v>7353.3333333333303</v>
      </c>
      <c r="G73" s="56">
        <v>7419.6666666666697</v>
      </c>
      <c r="H73" s="56">
        <v>7443.6666666666697</v>
      </c>
      <c r="I73" s="56">
        <v>7534</v>
      </c>
      <c r="J73" s="56">
        <v>7651.6666666666697</v>
      </c>
      <c r="K73" s="56">
        <v>7726.3333333333303</v>
      </c>
      <c r="L73" s="56">
        <v>7855</v>
      </c>
      <c r="M73" s="56">
        <v>7931.3333333333303</v>
      </c>
      <c r="N73" s="56">
        <v>8016</v>
      </c>
      <c r="O73" s="56">
        <v>8115</v>
      </c>
      <c r="P73" s="56">
        <v>8183.6666666666697</v>
      </c>
      <c r="Q73" s="56">
        <v>8272.3333333333303</v>
      </c>
      <c r="R73" s="56">
        <v>8307.6666666666697</v>
      </c>
      <c r="S73" s="56">
        <v>8346.3333333333303</v>
      </c>
      <c r="T73" s="56">
        <v>8424.6666666666697</v>
      </c>
      <c r="U73" s="56">
        <v>8551.3333333333303</v>
      </c>
      <c r="V73" s="56">
        <v>8673</v>
      </c>
      <c r="W73" s="56">
        <v>8751.3333333333303</v>
      </c>
      <c r="X73" s="56">
        <v>8786.3333333333303</v>
      </c>
      <c r="Y73" s="56">
        <v>8824.6666666666697</v>
      </c>
      <c r="Z73" s="56">
        <v>8883</v>
      </c>
      <c r="AA73" s="56">
        <v>8868.6666666666697</v>
      </c>
      <c r="AB73" s="56">
        <v>8845</v>
      </c>
      <c r="AC73" s="56">
        <v>8861</v>
      </c>
      <c r="AD73" s="56">
        <v>8860.6666666666697</v>
      </c>
      <c r="AE73" s="56">
        <v>8907.3333333333303</v>
      </c>
      <c r="AF73" s="56">
        <v>9099.3333333333303</v>
      </c>
      <c r="AG73" s="56">
        <v>9231</v>
      </c>
      <c r="AH73" s="56">
        <v>9348.3333333333303</v>
      </c>
      <c r="AI73" s="56">
        <v>9466</v>
      </c>
      <c r="AJ73" s="56">
        <v>9492.3333333333303</v>
      </c>
      <c r="AK73" s="56">
        <v>9482.6666666666697</v>
      </c>
      <c r="AL73" s="56">
        <v>9531.3333333333303</v>
      </c>
      <c r="AM73" s="56">
        <v>9604.3333333333303</v>
      </c>
      <c r="AN73" s="56">
        <v>9710.6666666666697</v>
      </c>
      <c r="AO73" s="56">
        <v>9697.3333333333303</v>
      </c>
      <c r="AP73" s="56">
        <v>9741.3333333333303</v>
      </c>
      <c r="AQ73" s="56">
        <v>9749.3333333333303</v>
      </c>
      <c r="AR73" s="56">
        <v>9782.3333333333303</v>
      </c>
      <c r="AS73" s="56">
        <v>9793</v>
      </c>
      <c r="AT73" s="56">
        <v>9750.3333333333303</v>
      </c>
      <c r="AU73" s="56">
        <v>9665</v>
      </c>
      <c r="AV73" s="56">
        <v>9547.6666666666697</v>
      </c>
      <c r="AW73" s="56">
        <v>9507</v>
      </c>
      <c r="AX73" s="56">
        <v>9484.3333333333303</v>
      </c>
      <c r="AY73" s="56">
        <v>9495.6666666666697</v>
      </c>
      <c r="AZ73" s="56">
        <v>9409.6666666666697</v>
      </c>
      <c r="BA73" s="56">
        <v>9437</v>
      </c>
      <c r="BB73" s="56">
        <v>9447.3333333333303</v>
      </c>
      <c r="BC73" s="56">
        <v>9445.3333333333303</v>
      </c>
      <c r="BD73" s="56">
        <v>9433</v>
      </c>
      <c r="BE73" s="56">
        <v>9401.6666666666697</v>
      </c>
      <c r="BF73" s="56">
        <v>9412</v>
      </c>
      <c r="BG73" s="56">
        <v>9445.3333333333303</v>
      </c>
      <c r="BH73" s="56">
        <v>9509</v>
      </c>
      <c r="BI73" s="56">
        <v>9555</v>
      </c>
      <c r="BJ73" s="56">
        <v>9595.6666666666697</v>
      </c>
      <c r="BK73" s="56">
        <v>9640.3333333333303</v>
      </c>
      <c r="BL73" s="56">
        <v>9746.6666666666697</v>
      </c>
      <c r="BM73" s="56">
        <v>9764.3333333333303</v>
      </c>
      <c r="BN73" s="56">
        <v>9815.3333333333303</v>
      </c>
      <c r="BO73" s="56">
        <v>9854.3333333333303</v>
      </c>
      <c r="BP73" s="56">
        <v>9906.6666666666697</v>
      </c>
      <c r="BQ73" s="56">
        <v>10024.333333333299</v>
      </c>
      <c r="BR73" s="56">
        <v>10039.333333333299</v>
      </c>
      <c r="BS73" s="56">
        <v>10083.333333333299</v>
      </c>
      <c r="BT73" s="56">
        <v>10092.333333333299</v>
      </c>
      <c r="BU73" s="56">
        <v>10184.666666666701</v>
      </c>
      <c r="BV73" s="56">
        <v>10250.666666666701</v>
      </c>
      <c r="BW73" s="56">
        <v>10315.333333333299</v>
      </c>
      <c r="BX73" s="56">
        <v>10341.666666666701</v>
      </c>
      <c r="BY73" s="56">
        <v>10446.666666666701</v>
      </c>
      <c r="BZ73" s="56">
        <v>10510.666666666701</v>
      </c>
      <c r="CA73" s="56">
        <v>10566.333333333299</v>
      </c>
      <c r="CB73" s="56">
        <v>10640.666666666701</v>
      </c>
      <c r="CC73" s="56">
        <v>10719.666666666701</v>
      </c>
      <c r="CD73" s="56">
        <v>10814</v>
      </c>
      <c r="CE73" s="56">
        <v>10873</v>
      </c>
      <c r="CF73" s="56">
        <v>10967.333333333299</v>
      </c>
      <c r="CG73" s="56">
        <v>11000.333333333299</v>
      </c>
      <c r="CH73" s="56">
        <v>11027</v>
      </c>
      <c r="CI73" s="56">
        <v>11057.333333333299</v>
      </c>
      <c r="CJ73" s="56">
        <v>11099.333333333299</v>
      </c>
      <c r="CK73" s="56">
        <v>11139.333333333299</v>
      </c>
      <c r="CL73" s="56">
        <v>11199</v>
      </c>
      <c r="CM73" s="56">
        <v>11238</v>
      </c>
      <c r="CN73" s="56">
        <v>11306.666666666701</v>
      </c>
      <c r="CO73" s="56">
        <v>11319.666666666701</v>
      </c>
      <c r="CP73" s="56">
        <v>11366.666666666701</v>
      </c>
      <c r="CQ73" s="56">
        <v>11407.666666666701</v>
      </c>
      <c r="CR73" s="56">
        <v>11483</v>
      </c>
      <c r="CS73" s="56">
        <v>11520.666666666701</v>
      </c>
      <c r="CT73" s="56">
        <v>11591.333333333299</v>
      </c>
      <c r="CU73" s="56">
        <v>11672.333333333299</v>
      </c>
      <c r="CV73" s="56">
        <v>11710.333333333299</v>
      </c>
      <c r="CW73" s="56">
        <v>11752</v>
      </c>
      <c r="CX73" s="56">
        <v>11791.333333333299</v>
      </c>
      <c r="CY73" s="56">
        <v>11828.666666666701</v>
      </c>
      <c r="CZ73" s="56">
        <v>11868</v>
      </c>
      <c r="DA73" s="56">
        <v>11923</v>
      </c>
      <c r="DB73" s="56">
        <v>11966</v>
      </c>
      <c r="DC73" s="56">
        <v>12017.333333333299</v>
      </c>
      <c r="DD73" s="56">
        <v>12067</v>
      </c>
      <c r="DE73" s="56">
        <v>12139</v>
      </c>
      <c r="DF73" s="56">
        <v>12185.666666666701</v>
      </c>
      <c r="DG73" s="56">
        <v>12229.666666666701</v>
      </c>
      <c r="DH73" s="56">
        <v>12296</v>
      </c>
      <c r="DI73" s="56">
        <v>12380</v>
      </c>
      <c r="DJ73" s="56">
        <v>12437.333333333299</v>
      </c>
      <c r="DK73" s="56">
        <v>12501.333333333299</v>
      </c>
      <c r="DL73" s="56">
        <v>12553.333333333299</v>
      </c>
      <c r="DM73" s="56">
        <v>12616.333333333299</v>
      </c>
      <c r="DN73" s="56">
        <v>12694.666666666701</v>
      </c>
      <c r="DO73" s="56">
        <v>12783.333333333299</v>
      </c>
      <c r="DP73" s="56">
        <v>12887.333333333299</v>
      </c>
      <c r="DQ73" s="56">
        <v>12972.333333333299</v>
      </c>
      <c r="DR73" s="56">
        <v>13050.333333333299</v>
      </c>
      <c r="DS73" s="56">
        <v>13113</v>
      </c>
      <c r="DT73" s="56">
        <v>13168</v>
      </c>
      <c r="DU73" s="56">
        <v>13220.666666666701</v>
      </c>
      <c r="DV73" s="56">
        <v>13310</v>
      </c>
      <c r="DW73" s="56">
        <v>13410.666666666701</v>
      </c>
      <c r="DX73" s="56">
        <v>13500.666666666701</v>
      </c>
      <c r="DY73" s="56">
        <v>13583.666666666701</v>
      </c>
      <c r="DZ73" s="56">
        <v>13639</v>
      </c>
      <c r="EA73" s="56">
        <v>13699.333333333299</v>
      </c>
      <c r="EB73" s="56">
        <v>13744.666666666701</v>
      </c>
      <c r="EC73" s="56">
        <v>13775</v>
      </c>
      <c r="ED73" s="56">
        <v>13801</v>
      </c>
      <c r="EE73" s="56">
        <v>13820</v>
      </c>
      <c r="EF73" s="56">
        <v>13832.333333333299</v>
      </c>
      <c r="EG73" s="56">
        <v>13824.333333333299</v>
      </c>
      <c r="EH73" s="56">
        <v>13859</v>
      </c>
      <c r="EI73" s="56">
        <v>13898</v>
      </c>
      <c r="EJ73" s="56">
        <v>13909.333333333299</v>
      </c>
      <c r="EK73" s="56">
        <v>13958.666666666701</v>
      </c>
      <c r="EL73" s="56">
        <v>13994.666666666701</v>
      </c>
      <c r="EM73" s="56">
        <v>14012</v>
      </c>
      <c r="EN73" s="56">
        <v>14085.333333333299</v>
      </c>
      <c r="EO73" s="56">
        <v>14072.333333333299</v>
      </c>
      <c r="EP73" s="56">
        <v>14098</v>
      </c>
      <c r="EQ73" s="56">
        <v>14119.666666666701</v>
      </c>
      <c r="ER73" s="56">
        <v>14201</v>
      </c>
      <c r="ES73" s="56">
        <v>14251.333333333299</v>
      </c>
      <c r="ET73" s="56">
        <v>14287.333333333299</v>
      </c>
      <c r="EU73" s="56">
        <v>14336</v>
      </c>
      <c r="EV73" s="56">
        <v>14369.333333333299</v>
      </c>
      <c r="EW73" s="56">
        <v>14455</v>
      </c>
      <c r="EX73" s="56">
        <v>14521.666666666701</v>
      </c>
      <c r="EY73" s="56">
        <v>14560.333333333299</v>
      </c>
      <c r="EZ73" s="56">
        <v>14594</v>
      </c>
      <c r="FA73" s="56">
        <v>14591</v>
      </c>
      <c r="FB73" s="56">
        <v>14587</v>
      </c>
      <c r="FC73" s="56">
        <v>14576.333333333299</v>
      </c>
      <c r="FD73" s="56">
        <v>14532</v>
      </c>
      <c r="FE73" s="56">
        <v>14521</v>
      </c>
      <c r="FF73" s="56">
        <v>14466</v>
      </c>
      <c r="FG73" s="56">
        <v>14434</v>
      </c>
      <c r="FH73" s="56">
        <v>14327.666666666701</v>
      </c>
      <c r="FI73" s="56">
        <v>14279</v>
      </c>
      <c r="FJ73" s="56">
        <v>14232.666666666701</v>
      </c>
      <c r="FK73" s="56">
        <v>14207.666666666701</v>
      </c>
      <c r="FL73" s="56">
        <v>14094</v>
      </c>
      <c r="FM73" s="56">
        <v>14080.666666666701</v>
      </c>
      <c r="FN73" s="56">
        <v>14067.666666666701</v>
      </c>
      <c r="FO73" s="56">
        <v>14044.333333333299</v>
      </c>
      <c r="FP73" s="56">
        <v>14034.333333333299</v>
      </c>
      <c r="FQ73" s="56">
        <v>14026.333333333299</v>
      </c>
      <c r="FR73" s="56">
        <v>14029.333333333299</v>
      </c>
      <c r="FS73" s="56">
        <v>14033</v>
      </c>
      <c r="FT73" s="56">
        <v>14031</v>
      </c>
      <c r="FU73" s="56">
        <v>14033.666666666701</v>
      </c>
      <c r="FV73" s="56">
        <v>14037.666666666701</v>
      </c>
      <c r="FW73" s="56">
        <v>14077</v>
      </c>
      <c r="FX73" s="56">
        <v>14120</v>
      </c>
      <c r="FY73" s="56">
        <v>14140</v>
      </c>
      <c r="FZ73" s="56">
        <v>14155</v>
      </c>
      <c r="GA73" s="56">
        <v>14181.666666666701</v>
      </c>
      <c r="GB73" s="56">
        <v>14214</v>
      </c>
      <c r="GC73" s="56">
        <v>14223.666666666701</v>
      </c>
      <c r="GD73" s="56">
        <v>14277</v>
      </c>
      <c r="GE73" s="56">
        <v>14297.666666666701</v>
      </c>
      <c r="GF73" s="56">
        <v>14369</v>
      </c>
      <c r="GG73" s="56">
        <v>14351</v>
      </c>
      <c r="GH73" s="56">
        <v>14352.333333333299</v>
      </c>
      <c r="GI73" s="56">
        <v>14369</v>
      </c>
      <c r="GJ73" s="56">
        <v>14373</v>
      </c>
      <c r="GK73" s="56">
        <v>14421.666666666701</v>
      </c>
      <c r="GL73" s="56">
        <v>14457.333333333299</v>
      </c>
      <c r="GM73" s="56">
        <v>14484.666666666701</v>
      </c>
      <c r="GN73" s="56">
        <v>14480.333333333299</v>
      </c>
      <c r="GO73" s="56">
        <v>14505.666666666701</v>
      </c>
      <c r="GP73" s="56">
        <v>14542.333333333299</v>
      </c>
      <c r="GQ73" s="56">
        <v>14594.666666666701</v>
      </c>
      <c r="GR73" s="56">
        <v>14564</v>
      </c>
      <c r="GS73" s="56">
        <v>14617</v>
      </c>
      <c r="GT73" s="56">
        <v>14681.333333333299</v>
      </c>
      <c r="GU73" s="56">
        <v>13613</v>
      </c>
      <c r="GV73" s="56">
        <v>13655</v>
      </c>
      <c r="GW73" s="56">
        <v>13721.666666666701</v>
      </c>
      <c r="GX73" s="56">
        <v>13750</v>
      </c>
      <c r="GY73" s="56">
        <v>13864.333333333299</v>
      </c>
      <c r="GZ73" s="56">
        <v>14034</v>
      </c>
      <c r="HA73" s="56">
        <v>14047</v>
      </c>
      <c r="HB73" s="56">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15069.333333333299</v>
      </c>
    </row>
    <row r="74" spans="1:222" x14ac:dyDescent="0.25">
      <c r="A74" s="56" t="s">
        <v>2279</v>
      </c>
      <c r="B74" s="56">
        <v>23545.666666666701</v>
      </c>
      <c r="C74" s="56">
        <v>24037</v>
      </c>
      <c r="D74" s="56">
        <v>25485.666666666701</v>
      </c>
      <c r="E74" s="56">
        <v>25754.666666666701</v>
      </c>
      <c r="F74" s="56">
        <v>25713</v>
      </c>
      <c r="G74" s="56">
        <v>25998.666666666701</v>
      </c>
      <c r="H74" s="56">
        <v>25691</v>
      </c>
      <c r="I74" s="56">
        <v>26178.666666666701</v>
      </c>
      <c r="J74" s="56">
        <v>25519</v>
      </c>
      <c r="K74" s="56">
        <v>24875</v>
      </c>
      <c r="L74" s="56">
        <v>25641</v>
      </c>
      <c r="M74" s="56">
        <v>27114.333333333299</v>
      </c>
      <c r="N74" s="56">
        <v>27472.666666666701</v>
      </c>
      <c r="O74" s="56">
        <v>27079.333333333299</v>
      </c>
      <c r="P74" s="56">
        <v>27510</v>
      </c>
      <c r="Q74" s="56">
        <v>28620</v>
      </c>
      <c r="R74" s="56">
        <v>30923.666666666701</v>
      </c>
      <c r="S74" s="56">
        <v>33400.666666666701</v>
      </c>
      <c r="T74" s="56">
        <v>33701.666666666701</v>
      </c>
      <c r="U74" s="56">
        <v>33884</v>
      </c>
      <c r="V74" s="56">
        <v>37820.333333333299</v>
      </c>
      <c r="W74" s="56">
        <v>35429.666666666701</v>
      </c>
      <c r="X74" s="56">
        <v>36988.333333333299</v>
      </c>
      <c r="Y74" s="56">
        <v>39554</v>
      </c>
      <c r="Z74" s="56">
        <v>42554</v>
      </c>
      <c r="AA74" s="56">
        <v>38830.666666666701</v>
      </c>
      <c r="AB74" s="56">
        <v>36130</v>
      </c>
      <c r="AC74" s="56">
        <v>34359.666666666701</v>
      </c>
      <c r="AD74" s="56">
        <v>36034</v>
      </c>
      <c r="AE74" s="56">
        <v>37037.666666666701</v>
      </c>
      <c r="AF74" s="56">
        <v>35666.333333333299</v>
      </c>
      <c r="AG74" s="56">
        <v>35160</v>
      </c>
      <c r="AH74" s="56">
        <v>34095.333333333299</v>
      </c>
      <c r="AI74" s="56">
        <v>41889.666666666701</v>
      </c>
      <c r="AJ74" s="56">
        <v>43760.666666666701</v>
      </c>
      <c r="AK74" s="56">
        <v>45015.333333333299</v>
      </c>
      <c r="AL74" s="56">
        <v>40794</v>
      </c>
      <c r="AM74" s="56">
        <v>45875.333333333299</v>
      </c>
      <c r="AN74" s="56">
        <v>49343.666666666701</v>
      </c>
      <c r="AO74" s="56">
        <v>52609</v>
      </c>
      <c r="AP74" s="56">
        <v>55934.333333333299</v>
      </c>
      <c r="AQ74" s="56">
        <v>54112</v>
      </c>
      <c r="AR74" s="56">
        <v>52797</v>
      </c>
      <c r="AS74" s="56">
        <v>54381</v>
      </c>
      <c r="AT74" s="56">
        <v>60484</v>
      </c>
      <c r="AU74" s="56">
        <v>53862</v>
      </c>
      <c r="AV74" s="56">
        <v>52044</v>
      </c>
      <c r="AW74" s="56">
        <v>54313.666666666701</v>
      </c>
      <c r="AX74" s="56">
        <v>51944</v>
      </c>
      <c r="AY74" s="56">
        <v>52182.666666666701</v>
      </c>
      <c r="AZ74" s="56">
        <v>52486.333333333299</v>
      </c>
      <c r="BA74" s="56">
        <v>54765.333333333299</v>
      </c>
      <c r="BB74" s="56">
        <v>52678.333333333299</v>
      </c>
      <c r="BC74" s="56">
        <v>51386</v>
      </c>
      <c r="BD74" s="56">
        <v>53662.333333333299</v>
      </c>
      <c r="BE74" s="56">
        <v>53249</v>
      </c>
      <c r="BF74" s="56">
        <v>55752.333333333299</v>
      </c>
      <c r="BG74" s="56">
        <v>57382.666666666701</v>
      </c>
      <c r="BH74" s="56">
        <v>59910.333333333299</v>
      </c>
      <c r="BI74" s="56">
        <v>60890.666666666701</v>
      </c>
      <c r="BJ74" s="56">
        <v>62514.666666666701</v>
      </c>
      <c r="BK74" s="56">
        <v>65739.333333333299</v>
      </c>
      <c r="BL74" s="56">
        <v>67220</v>
      </c>
      <c r="BM74" s="56">
        <v>66558.333333333299</v>
      </c>
      <c r="BN74" s="56">
        <v>70815.333333333299</v>
      </c>
      <c r="BO74" s="56">
        <v>72215.333333333299</v>
      </c>
      <c r="BP74" s="56">
        <v>73843.333333333299</v>
      </c>
      <c r="BQ74" s="56">
        <v>71122.666666666701</v>
      </c>
      <c r="BR74" s="56">
        <v>75290</v>
      </c>
      <c r="BS74" s="56">
        <v>75025.666666666701</v>
      </c>
      <c r="BT74" s="56">
        <v>77047</v>
      </c>
      <c r="BU74" s="56">
        <v>78058</v>
      </c>
      <c r="BV74" s="56">
        <v>79349.666666666701</v>
      </c>
      <c r="BW74" s="56">
        <v>83348</v>
      </c>
      <c r="BX74" s="56">
        <v>82022.666666666701</v>
      </c>
      <c r="BY74" s="56">
        <v>84604</v>
      </c>
      <c r="BZ74" s="56">
        <v>83566.666666666701</v>
      </c>
      <c r="CA74" s="56">
        <v>85684</v>
      </c>
      <c r="CB74" s="56">
        <v>85730.333333333299</v>
      </c>
      <c r="CC74" s="56">
        <v>89358.333333333299</v>
      </c>
      <c r="CD74" s="56">
        <v>94388.333333333299</v>
      </c>
      <c r="CE74" s="56">
        <v>93807</v>
      </c>
      <c r="CF74" s="56">
        <v>94972</v>
      </c>
      <c r="CG74" s="56">
        <v>98807.666666666701</v>
      </c>
      <c r="CH74" s="56">
        <v>95253.666666666701</v>
      </c>
      <c r="CI74" s="56">
        <v>96128.666666666701</v>
      </c>
      <c r="CJ74" s="56">
        <v>97326.333333333299</v>
      </c>
      <c r="CK74" s="56">
        <v>99221</v>
      </c>
      <c r="CL74" s="56">
        <v>106368.66666666701</v>
      </c>
      <c r="CM74" s="56">
        <v>103446</v>
      </c>
      <c r="CN74" s="56">
        <v>99580.333333333299</v>
      </c>
      <c r="CO74" s="56">
        <v>98022.333333333299</v>
      </c>
      <c r="CP74" s="56">
        <v>102495</v>
      </c>
      <c r="CQ74" s="56">
        <v>111962</v>
      </c>
      <c r="CR74" s="56">
        <v>116124.66666666701</v>
      </c>
      <c r="CS74" s="56">
        <v>118029</v>
      </c>
      <c r="CT74" s="56">
        <v>111803</v>
      </c>
      <c r="CU74" s="56">
        <v>113545</v>
      </c>
      <c r="CV74" s="56">
        <v>118942</v>
      </c>
      <c r="CW74" s="56">
        <v>117294.33333333299</v>
      </c>
      <c r="CX74" s="56">
        <v>116848.66666666701</v>
      </c>
      <c r="CY74" s="56">
        <v>124434.33333333299</v>
      </c>
      <c r="CZ74" s="56">
        <v>125240</v>
      </c>
      <c r="DA74" s="56">
        <v>127572.66666666701</v>
      </c>
      <c r="DB74" s="56">
        <v>126179.33333333299</v>
      </c>
      <c r="DC74" s="56">
        <v>131672</v>
      </c>
      <c r="DD74" s="56">
        <v>131615</v>
      </c>
      <c r="DE74" s="56">
        <v>135638.66666666701</v>
      </c>
      <c r="DF74" s="56">
        <v>135471.66666666701</v>
      </c>
      <c r="DG74" s="56">
        <v>139479.33333333299</v>
      </c>
      <c r="DH74" s="56">
        <v>141385.33333333299</v>
      </c>
      <c r="DI74" s="56">
        <v>140102.66666666701</v>
      </c>
      <c r="DJ74" s="56">
        <v>133975</v>
      </c>
      <c r="DK74" s="56">
        <v>137818</v>
      </c>
      <c r="DL74" s="56">
        <v>143529.33333333299</v>
      </c>
      <c r="DM74" s="56">
        <v>144434.66666666701</v>
      </c>
      <c r="DN74" s="56">
        <v>150497</v>
      </c>
      <c r="DO74" s="56">
        <v>152515.33333333299</v>
      </c>
      <c r="DP74" s="56">
        <v>155465.33333333299</v>
      </c>
      <c r="DQ74" s="56">
        <v>163365.33333333299</v>
      </c>
      <c r="DR74" s="56">
        <v>168776.33333333299</v>
      </c>
      <c r="DS74" s="56">
        <v>165200.66666666701</v>
      </c>
      <c r="DT74" s="56">
        <v>166145</v>
      </c>
      <c r="DU74" s="56">
        <v>170616.66666666701</v>
      </c>
      <c r="DV74" s="56">
        <v>176411.33333333299</v>
      </c>
      <c r="DW74" s="56">
        <v>189275.66666666701</v>
      </c>
      <c r="DX74" s="56">
        <v>187116</v>
      </c>
      <c r="DY74" s="56">
        <v>193037.66666666701</v>
      </c>
      <c r="DZ74" s="56">
        <v>198023.33333333299</v>
      </c>
      <c r="EA74" s="56">
        <v>194794</v>
      </c>
      <c r="EB74" s="56">
        <v>196443.66666666701</v>
      </c>
      <c r="EC74" s="56">
        <v>199770.66666666701</v>
      </c>
      <c r="ED74" s="56">
        <v>197410.66666666701</v>
      </c>
      <c r="EE74" s="56">
        <v>195858</v>
      </c>
      <c r="EF74" s="56">
        <v>200686</v>
      </c>
      <c r="EG74" s="56">
        <v>199340</v>
      </c>
      <c r="EH74" s="56">
        <v>197322.33333333299</v>
      </c>
      <c r="EI74" s="56">
        <v>202356.33333333299</v>
      </c>
      <c r="EJ74" s="56">
        <v>202328</v>
      </c>
      <c r="EK74" s="56">
        <v>204931</v>
      </c>
      <c r="EL74" s="56">
        <v>207202</v>
      </c>
      <c r="EM74" s="56">
        <v>215946</v>
      </c>
      <c r="EN74" s="56">
        <v>219407.66666666701</v>
      </c>
      <c r="EO74" s="56">
        <v>222763.66666666701</v>
      </c>
      <c r="EP74" s="56">
        <v>230117.66666666701</v>
      </c>
      <c r="EQ74" s="56">
        <v>238436</v>
      </c>
      <c r="ER74" s="56">
        <v>238965</v>
      </c>
      <c r="ES74" s="56">
        <v>242956.33333333299</v>
      </c>
      <c r="ET74" s="56">
        <v>258254.33333333299</v>
      </c>
      <c r="EU74" s="56">
        <v>266203.66666666698</v>
      </c>
      <c r="EV74" s="56">
        <v>271640.33333333302</v>
      </c>
      <c r="EW74" s="56">
        <v>276454.66666666698</v>
      </c>
      <c r="EX74" s="56">
        <v>278038.33333333302</v>
      </c>
      <c r="EY74" s="56">
        <v>283074.33333333302</v>
      </c>
      <c r="EZ74" s="56">
        <v>287093.66666666698</v>
      </c>
      <c r="FA74" s="56">
        <v>288334</v>
      </c>
      <c r="FB74" s="56">
        <v>289591.33333333302</v>
      </c>
      <c r="FC74" s="56">
        <v>292223.66666666698</v>
      </c>
      <c r="FD74" s="56">
        <v>287368</v>
      </c>
      <c r="FE74" s="56">
        <v>274301</v>
      </c>
      <c r="FF74" s="56">
        <v>268022</v>
      </c>
      <c r="FG74" s="56">
        <v>274526.66666666698</v>
      </c>
      <c r="FH74" s="56">
        <v>277232.33333333302</v>
      </c>
      <c r="FI74" s="56">
        <v>269906.33333333302</v>
      </c>
      <c r="FJ74" s="56">
        <v>258077</v>
      </c>
      <c r="FK74" s="56">
        <v>251739</v>
      </c>
      <c r="FL74" s="56">
        <v>253215.33333333299</v>
      </c>
      <c r="FM74" s="56">
        <v>258046</v>
      </c>
      <c r="FN74" s="56">
        <v>254528.33333333299</v>
      </c>
      <c r="FO74" s="56">
        <v>254598.66666666701</v>
      </c>
      <c r="FP74" s="56">
        <v>252248.66666666701</v>
      </c>
      <c r="FQ74" s="56">
        <v>246424.33333333299</v>
      </c>
      <c r="FR74" s="56">
        <v>242924.33333333299</v>
      </c>
      <c r="FS74" s="56">
        <v>245991.66666666701</v>
      </c>
      <c r="FT74" s="56">
        <v>249225</v>
      </c>
      <c r="FU74" s="56">
        <v>247543.33333333299</v>
      </c>
      <c r="FV74" s="56">
        <v>242281</v>
      </c>
      <c r="FW74" s="56">
        <v>251080</v>
      </c>
      <c r="FX74" s="56">
        <v>258128</v>
      </c>
      <c r="FY74" s="56">
        <v>260687.66666666701</v>
      </c>
      <c r="FZ74" s="56">
        <v>259584</v>
      </c>
      <c r="GA74" s="56">
        <v>273165.33333333302</v>
      </c>
      <c r="GB74" s="56">
        <v>279160.66666666698</v>
      </c>
      <c r="GC74" s="56">
        <v>269714.66666666698</v>
      </c>
      <c r="GD74" s="56">
        <v>278853</v>
      </c>
      <c r="GE74" s="56">
        <v>273154</v>
      </c>
      <c r="GF74" s="56">
        <v>272552.66666666698</v>
      </c>
      <c r="GG74" s="56">
        <v>276613</v>
      </c>
      <c r="GH74" s="56">
        <v>272767.66666666698</v>
      </c>
      <c r="GI74" s="56">
        <v>272875</v>
      </c>
      <c r="GJ74" s="56">
        <v>275357.66666666698</v>
      </c>
      <c r="GK74" s="56">
        <v>281739</v>
      </c>
      <c r="GL74" s="56">
        <v>281221.66666666698</v>
      </c>
      <c r="GM74" s="56">
        <v>289749.33333333302</v>
      </c>
      <c r="GN74" s="56">
        <v>294085</v>
      </c>
      <c r="GO74" s="56">
        <v>286210.33333333302</v>
      </c>
      <c r="GP74" s="56">
        <v>302265.33333333302</v>
      </c>
      <c r="GQ74" s="56">
        <v>320029.66666666698</v>
      </c>
      <c r="GR74" s="56">
        <v>323820</v>
      </c>
      <c r="GS74" s="56">
        <v>324569.33333333302</v>
      </c>
      <c r="GT74" s="56">
        <v>343782</v>
      </c>
      <c r="GU74" s="56">
        <v>342186.66666666698</v>
      </c>
      <c r="GV74" s="56">
        <v>335548</v>
      </c>
      <c r="GW74" s="56">
        <v>341539.66666666698</v>
      </c>
      <c r="GX74" s="56">
        <v>339364</v>
      </c>
      <c r="GY74" s="56">
        <v>333909.66666666698</v>
      </c>
      <c r="GZ74" s="56">
        <v>330388.66666666698</v>
      </c>
      <c r="HA74" s="56">
        <v>329826.33333333302</v>
      </c>
      <c r="HB74">
        <v>340441</v>
      </c>
      <c r="HC74">
        <v>346689.66666666698</v>
      </c>
      <c r="HD74">
        <v>362679.33333333302</v>
      </c>
      <c r="HE74">
        <v>368692.66666666698</v>
      </c>
      <c r="HF74">
        <v>386955.66666666698</v>
      </c>
      <c r="HG74">
        <v>411120.33333333302</v>
      </c>
      <c r="HH74">
        <v>422729.66666666698</v>
      </c>
      <c r="HI74">
        <v>444155.66666666698</v>
      </c>
      <c r="HJ74">
        <v>446004.66666666698</v>
      </c>
      <c r="HK74">
        <v>451232.66666666698</v>
      </c>
      <c r="HL74">
        <v>460594.33333333302</v>
      </c>
      <c r="HM74">
        <v>469425.33333333302</v>
      </c>
    </row>
    <row r="75" spans="1:222" x14ac:dyDescent="0.25">
      <c r="A75" s="56" t="s">
        <v>2280</v>
      </c>
      <c r="B75" s="56">
        <v>1.44276850123595E-2</v>
      </c>
      <c r="C75" s="56">
        <v>1.44276850123595E-2</v>
      </c>
      <c r="D75" s="56">
        <v>8.2052812173654104E-3</v>
      </c>
      <c r="E75" s="56">
        <v>1.30709282825294E-2</v>
      </c>
      <c r="F75" s="56">
        <v>1.5141925118068E-2</v>
      </c>
      <c r="G75" s="56">
        <v>1.3429256594724E-2</v>
      </c>
      <c r="H75" s="56">
        <v>1.00804543303361E-2</v>
      </c>
      <c r="I75" s="56">
        <v>8.2931171812772302E-3</v>
      </c>
      <c r="J75" s="56">
        <v>1.60315985130111E-2</v>
      </c>
      <c r="K75" s="56">
        <v>6.1285158929795802E-3</v>
      </c>
      <c r="L75" s="56">
        <v>9.0458657211691697E-3</v>
      </c>
      <c r="M75" s="56">
        <v>1.13523740877557E-2</v>
      </c>
      <c r="N75" s="56">
        <v>1.2694877505567999E-2</v>
      </c>
      <c r="O75" s="56">
        <v>1.6538376951836398E-2</v>
      </c>
      <c r="P75" s="56">
        <v>1.9125091947557401E-2</v>
      </c>
      <c r="Q75" s="56">
        <v>1.7322634059355298E-2</v>
      </c>
      <c r="R75" s="56">
        <v>2.02412253244857E-2</v>
      </c>
      <c r="S75" s="56">
        <v>2.2212222858545301E-2</v>
      </c>
      <c r="T75" s="56">
        <v>3.08135579655049E-2</v>
      </c>
      <c r="U75" s="56">
        <v>3.0358321363406899E-2</v>
      </c>
      <c r="V75" s="56">
        <v>2.2606533288120199E-2</v>
      </c>
      <c r="W75" s="56">
        <v>1.44799381010281E-2</v>
      </c>
      <c r="X75" s="56">
        <v>1.7687223069659402E-2</v>
      </c>
      <c r="Y75" s="56">
        <v>1.6701759394739599E-2</v>
      </c>
      <c r="Z75" s="56">
        <v>1.09164940854365E-2</v>
      </c>
      <c r="AA75" s="56">
        <v>0.01</v>
      </c>
      <c r="AB75" s="56">
        <v>1.27544004400439E-2</v>
      </c>
      <c r="AC75" s="56">
        <v>1.7006687260260101E-2</v>
      </c>
      <c r="AD75" s="56">
        <v>1.6121495327102699E-2</v>
      </c>
      <c r="AE75" s="56">
        <v>1.5832867982787501E-2</v>
      </c>
      <c r="AF75" s="56">
        <v>1.3775262732417E-2</v>
      </c>
      <c r="AG75" s="56">
        <v>1.6713980415297799E-2</v>
      </c>
      <c r="AH75" s="56">
        <v>1.6376470588235201E-2</v>
      </c>
      <c r="AI75" s="56">
        <v>1.9940117912152298E-2</v>
      </c>
      <c r="AJ75" s="56">
        <v>1.7643676421632299E-2</v>
      </c>
      <c r="AK75" s="56">
        <v>1.97763635282222E-2</v>
      </c>
      <c r="AL75" s="56">
        <v>1.8663789332477899E-2</v>
      </c>
      <c r="AM75" s="56">
        <v>2.4161919212161199E-2</v>
      </c>
      <c r="AN75" s="56">
        <v>2.08805031446542E-2</v>
      </c>
      <c r="AO75" s="56">
        <v>1.8235584031542702E-2</v>
      </c>
      <c r="AP75" s="56">
        <v>2.1861890932558699E-2</v>
      </c>
      <c r="AQ75" s="56">
        <v>2.3736217467961399E-2</v>
      </c>
      <c r="AR75" s="56">
        <v>2.22861990077887E-2</v>
      </c>
      <c r="AS75" s="56">
        <v>2.65275333165702E-2</v>
      </c>
      <c r="AT75" s="56">
        <v>2.6503368034292499E-2</v>
      </c>
      <c r="AU75" s="56">
        <v>1.8779678812609099E-2</v>
      </c>
      <c r="AV75" s="56">
        <v>1.94406708202557E-2</v>
      </c>
      <c r="AW75" s="56">
        <v>1.6519621358330999E-2</v>
      </c>
      <c r="AX75" s="56">
        <v>1.4329950500644201E-2</v>
      </c>
      <c r="AY75" s="56">
        <v>1.3280745147848501E-2</v>
      </c>
      <c r="AZ75" s="56">
        <v>1.38763661953247E-2</v>
      </c>
      <c r="BA75" s="56">
        <v>1.01292729481173E-2</v>
      </c>
      <c r="BB75" s="56">
        <v>7.9878035687444005E-3</v>
      </c>
      <c r="BC75" s="56">
        <v>7.4132458513516096E-3</v>
      </c>
      <c r="BD75" s="56">
        <v>1.0636273286671801E-2</v>
      </c>
      <c r="BE75" s="56">
        <v>7.4695568481399901E-3</v>
      </c>
      <c r="BF75" s="56">
        <v>9.8648003156733798E-3</v>
      </c>
      <c r="BG75" s="56">
        <v>8.9869617077285007E-3</v>
      </c>
      <c r="BH75" s="56">
        <v>9.0292073456574896E-3</v>
      </c>
      <c r="BI75" s="56">
        <v>6.9890518321011896E-3</v>
      </c>
      <c r="BJ75" s="56">
        <v>1.02503410093879E-2</v>
      </c>
      <c r="BK75" s="56">
        <v>5.8971864265431303E-3</v>
      </c>
      <c r="BL75" s="56">
        <v>6.6521910777734804E-3</v>
      </c>
      <c r="BM75" s="56">
        <v>5.1963841010256298E-3</v>
      </c>
      <c r="BN75" s="56">
        <v>4.9354297530335199E-3</v>
      </c>
      <c r="BO75" s="56">
        <v>3.4941279239055802E-3</v>
      </c>
      <c r="BP75" s="56">
        <v>4.7586807234742999E-3</v>
      </c>
      <c r="BQ75" s="56">
        <v>5.9490575845671002E-3</v>
      </c>
      <c r="BR75" s="56">
        <v>5.8181818181819401E-3</v>
      </c>
      <c r="BS75" s="56">
        <v>6.7930129010160796E-3</v>
      </c>
      <c r="BT75" s="56">
        <v>7.7299616336867797E-3</v>
      </c>
      <c r="BU75" s="56">
        <v>7.5018754688671602E-3</v>
      </c>
      <c r="BV75" s="56">
        <v>7.7252419955324801E-3</v>
      </c>
      <c r="BW75" s="56">
        <v>9.9935346818140793E-3</v>
      </c>
      <c r="BX75" s="56">
        <v>1.22357158533908E-2</v>
      </c>
      <c r="BY75" s="56">
        <v>9.1968560845605597E-3</v>
      </c>
      <c r="BZ75" s="56">
        <v>9.6322555233287997E-3</v>
      </c>
      <c r="CA75" s="56">
        <v>1.0817137182579199E-2</v>
      </c>
      <c r="CB75" s="56">
        <v>7.4207922529032598E-3</v>
      </c>
      <c r="CC75" s="56">
        <v>6.8262951676099099E-3</v>
      </c>
      <c r="CD75" s="56">
        <v>1.0896449141256001E-2</v>
      </c>
      <c r="CE75" s="56">
        <v>1.11896247882697E-2</v>
      </c>
      <c r="CF75" s="56">
        <v>8.6462158000710793E-3</v>
      </c>
      <c r="CG75" s="56">
        <v>7.6326914044151399E-3</v>
      </c>
      <c r="CH75" s="56">
        <v>9.7224765678325404E-3</v>
      </c>
      <c r="CI75" s="56">
        <v>7.2051573758058502E-3</v>
      </c>
      <c r="CJ75" s="56">
        <v>7.6774489261393101E-3</v>
      </c>
      <c r="CK75" s="56">
        <v>5.8157480059131102E-3</v>
      </c>
      <c r="CL75" s="56">
        <v>3.9893402245012597E-3</v>
      </c>
      <c r="CM75" s="56">
        <v>5.9682764389821204E-3</v>
      </c>
      <c r="CN75" s="56">
        <v>4.7974669374570801E-3</v>
      </c>
      <c r="CO75" s="56">
        <v>7.0345200770296499E-3</v>
      </c>
      <c r="CP75" s="56">
        <v>5.9581193204267802E-3</v>
      </c>
      <c r="CQ75" s="56">
        <v>5.8914095393702796E-3</v>
      </c>
      <c r="CR75" s="56">
        <v>5.0291283364831702E-3</v>
      </c>
      <c r="CS75" s="56">
        <v>5.8742171595518302E-3</v>
      </c>
      <c r="CT75" s="56">
        <v>5.1137855917933201E-3</v>
      </c>
      <c r="CU75" s="56">
        <v>4.7803498416796302E-3</v>
      </c>
      <c r="CV75" s="56">
        <v>5.3236243479324302E-3</v>
      </c>
      <c r="CW75" s="56">
        <v>5.5693351796339803E-3</v>
      </c>
      <c r="CX75" s="56">
        <v>5.7049468093155501E-3</v>
      </c>
      <c r="CY75" s="56">
        <v>4.8901594944328296E-3</v>
      </c>
      <c r="CZ75" s="56">
        <v>4.4770532305158399E-3</v>
      </c>
      <c r="DA75" s="56">
        <v>4.7254188778247403E-3</v>
      </c>
      <c r="DB75" s="56">
        <v>4.6141748638746103E-3</v>
      </c>
      <c r="DC75" s="56">
        <v>4.0760869565217303E-3</v>
      </c>
      <c r="DD75" s="56">
        <v>4.8537977290110702E-3</v>
      </c>
      <c r="DE75" s="56">
        <v>4.2302175122221897E-3</v>
      </c>
      <c r="DF75" s="56">
        <v>4.4893378226713602E-3</v>
      </c>
      <c r="DG75" s="56">
        <v>4.9771457592684403E-3</v>
      </c>
      <c r="DH75" s="56">
        <v>2.9743856305408699E-3</v>
      </c>
      <c r="DI75" s="56">
        <v>3.5845905792928302E-3</v>
      </c>
      <c r="DJ75" s="56">
        <v>1.00411687920476E-3</v>
      </c>
      <c r="DK75" s="56">
        <v>2.5937549259849001E-3</v>
      </c>
      <c r="DL75" s="56">
        <v>3.8734206163169001E-3</v>
      </c>
      <c r="DM75" s="56">
        <v>2.6909660425715699E-3</v>
      </c>
      <c r="DN75" s="56">
        <v>2.7121435874131201E-3</v>
      </c>
      <c r="DO75" s="56">
        <v>4.5174537987679999E-3</v>
      </c>
      <c r="DP75" s="56">
        <v>3.8486480390220699E-3</v>
      </c>
      <c r="DQ75" s="56">
        <v>5.2522926116815903E-3</v>
      </c>
      <c r="DR75" s="56">
        <v>6.6637794945587601E-3</v>
      </c>
      <c r="DS75" s="56">
        <v>6.0090482666739203E-3</v>
      </c>
      <c r="DT75" s="56">
        <v>6.2628464223144498E-3</v>
      </c>
      <c r="DU75" s="56">
        <v>5.4287476866132804E-3</v>
      </c>
      <c r="DV75" s="56">
        <v>6.8447389591088604E-3</v>
      </c>
      <c r="DW75" s="56">
        <v>6.6627845564235502E-3</v>
      </c>
      <c r="DX75" s="56">
        <v>3.0268379632745201E-3</v>
      </c>
      <c r="DY75" s="56">
        <v>3.2322961373389999E-3</v>
      </c>
      <c r="DZ75" s="56">
        <v>2.6336546302856401E-3</v>
      </c>
      <c r="EA75" s="56">
        <v>3.96010560281601E-3</v>
      </c>
      <c r="EB75" s="56">
        <v>4.4890098944152497E-3</v>
      </c>
      <c r="EC75" s="56">
        <v>5.8175664061983498E-3</v>
      </c>
      <c r="ED75" s="56">
        <v>5.3764147595074504E-3</v>
      </c>
      <c r="EE75" s="56">
        <v>3.4517925786459202E-3</v>
      </c>
      <c r="EF75" s="56">
        <v>5.7201678263363301E-3</v>
      </c>
      <c r="EG75" s="56">
        <v>5.8042365744639399E-3</v>
      </c>
      <c r="EH75" s="56">
        <v>7.1876650393518596E-3</v>
      </c>
      <c r="EI75" s="56">
        <v>8.1083500658643004E-3</v>
      </c>
      <c r="EJ75" s="56">
        <v>6.3177925784965198E-3</v>
      </c>
      <c r="EK75" s="56">
        <v>7.72789733116519E-3</v>
      </c>
      <c r="EL75" s="56">
        <v>7.6811449159326396E-3</v>
      </c>
      <c r="EM75" s="56">
        <v>7.2873991309745402E-3</v>
      </c>
      <c r="EN75" s="56">
        <v>9.46547197949155E-3</v>
      </c>
      <c r="EO75" s="56">
        <v>7.9604419754593092E-3</v>
      </c>
      <c r="EP75" s="56">
        <v>7.00122339716813E-3</v>
      </c>
      <c r="EQ75" s="56">
        <v>8.85307030733129E-3</v>
      </c>
      <c r="ER75" s="56">
        <v>7.3326894874272703E-3</v>
      </c>
      <c r="ES75" s="56">
        <v>3.7876097815021702E-3</v>
      </c>
      <c r="ET75" s="56">
        <v>1.0011084121406499E-2</v>
      </c>
      <c r="EU75" s="56">
        <v>6.3744089662014503E-3</v>
      </c>
      <c r="EV75" s="56">
        <v>4.2574912123989296E-3</v>
      </c>
      <c r="EW75" s="56">
        <v>4.7823676185194701E-3</v>
      </c>
      <c r="EX75" s="56">
        <v>4.3342300705893101E-3</v>
      </c>
      <c r="EY75" s="56">
        <v>3.6515985759910702E-3</v>
      </c>
      <c r="EZ75" s="56">
        <v>7.78986746960486E-3</v>
      </c>
      <c r="FA75" s="56">
        <v>1.69758151220556E-3</v>
      </c>
      <c r="FB75" s="56">
        <v>2.8245076883104398E-4</v>
      </c>
      <c r="FC75" s="56">
        <v>-1.3327911809885001E-3</v>
      </c>
      <c r="FD75" s="56">
        <v>6.3335519916751803E-4</v>
      </c>
      <c r="FE75" s="56">
        <v>3.6620928182291598E-3</v>
      </c>
      <c r="FF75" s="56">
        <v>2.4775332777764399E-3</v>
      </c>
      <c r="FG75" s="56">
        <v>4.6395111101125196E-3</v>
      </c>
      <c r="FH75" s="56">
        <v>3.6229048092943899E-3</v>
      </c>
      <c r="FI75" s="56">
        <v>5.7378419029581202E-3</v>
      </c>
      <c r="FJ75" s="56">
        <v>4.8742660906169197E-3</v>
      </c>
      <c r="FK75" s="56">
        <v>7.1987652959983901E-3</v>
      </c>
      <c r="FL75" s="56">
        <v>5.22093188708772E-3</v>
      </c>
      <c r="FM75" s="56">
        <v>1.20862369337971E-3</v>
      </c>
      <c r="FN75" s="56">
        <v>5.9161944948942198E-3</v>
      </c>
      <c r="FO75" s="56">
        <v>4.1731985512729599E-3</v>
      </c>
      <c r="FP75" s="56">
        <v>6.2230165480561296E-3</v>
      </c>
      <c r="FQ75" s="56">
        <v>4.3869504274600696E-3</v>
      </c>
      <c r="FR75" s="56">
        <v>3.5688033323033599E-3</v>
      </c>
      <c r="FS75" s="56">
        <v>2.8661203345932101E-3</v>
      </c>
      <c r="FT75" s="56">
        <v>5.4512352604949603E-3</v>
      </c>
      <c r="FU75" s="56">
        <v>5.1374369663854703E-3</v>
      </c>
      <c r="FV75" s="56">
        <v>3.8019627763754599E-3</v>
      </c>
      <c r="FW75" s="56">
        <v>5.2483305509181096E-3</v>
      </c>
      <c r="FX75" s="56">
        <v>4.34904455954244E-3</v>
      </c>
      <c r="FY75" s="56">
        <v>3.92716148901462E-4</v>
      </c>
      <c r="FZ75" s="56">
        <v>-5.9917355371896797E-4</v>
      </c>
      <c r="GA75" s="56">
        <v>5.7885923383846896E-3</v>
      </c>
      <c r="GB75" s="56">
        <v>2.4048837639514299E-3</v>
      </c>
      <c r="GC75" s="56">
        <v>-9.22736220472231E-5</v>
      </c>
      <c r="GD75" s="56">
        <v>-6.04960677555888E-4</v>
      </c>
      <c r="GE75" s="56">
        <v>6.5662576435343602E-3</v>
      </c>
      <c r="GF75" s="56">
        <v>2.6909120561013902E-3</v>
      </c>
      <c r="GG75" s="56">
        <v>5.2047330541211698E-3</v>
      </c>
      <c r="GH75" s="56">
        <v>5.1069940536385703E-3</v>
      </c>
      <c r="GI75" s="56">
        <v>2.6864139894757799E-3</v>
      </c>
      <c r="GJ75" s="56">
        <v>5.19788070964111E-3</v>
      </c>
      <c r="GK75" s="56">
        <v>6.0494739153871303E-3</v>
      </c>
      <c r="GL75" s="56">
        <v>6.4298471919030896E-3</v>
      </c>
      <c r="GM75" s="56">
        <v>7.0197578577908502E-3</v>
      </c>
      <c r="GN75" s="56">
        <v>4.3665557078520498E-3</v>
      </c>
      <c r="GO75" s="56">
        <v>4.0843779853001498E-3</v>
      </c>
      <c r="GP75" s="56">
        <v>3.1746031746031599E-3</v>
      </c>
      <c r="GQ75" s="56">
        <v>5.0613556303953401E-3</v>
      </c>
      <c r="GR75" s="56">
        <v>3.28342400462178E-3</v>
      </c>
      <c r="GS75" s="56">
        <v>3.3302621981650101E-3</v>
      </c>
      <c r="GT75" s="56">
        <v>4.3809724228307499E-3</v>
      </c>
      <c r="GU75" s="56">
        <v>-3.33330158760403E-3</v>
      </c>
      <c r="GV75" s="56">
        <v>8.8197914974534903E-3</v>
      </c>
      <c r="GW75" s="56">
        <v>6.8103889215147496E-3</v>
      </c>
      <c r="GX75" s="56">
        <v>1.27195582023274E-2</v>
      </c>
      <c r="GY75" s="56">
        <v>1.5170235496307499E-2</v>
      </c>
      <c r="GZ75" s="56">
        <v>1.51265579531104E-2</v>
      </c>
      <c r="HA75" s="56">
        <v>1.7172837169050902E-2</v>
      </c>
      <c r="HB75" s="56">
        <v>2.0596263603814401E-2</v>
      </c>
      <c r="HC75">
        <v>2.2577283779090102E-2</v>
      </c>
      <c r="HD75">
        <v>1.1149796195652199E-2</v>
      </c>
      <c r="HE75">
        <v>9.2380304519077399E-3</v>
      </c>
      <c r="HF75">
        <v>8.9371156582593904E-3</v>
      </c>
      <c r="HG75">
        <v>4.6351662309169796E-3</v>
      </c>
      <c r="HH75">
        <v>8.0125442290799303E-3</v>
      </c>
      <c r="HI75">
        <v>3.7626745938021998E-3</v>
      </c>
      <c r="HJ75">
        <v>7.4727985265361499E-3</v>
      </c>
      <c r="HK75">
        <v>6.2334901101732702E-3</v>
      </c>
      <c r="HL75">
        <v>4.8102319476237597E-3</v>
      </c>
      <c r="HM75">
        <v>5.7908445711827303E-3</v>
      </c>
      <c r="HN75">
        <v>9.2262611863467292E-3</v>
      </c>
    </row>
    <row r="76" spans="1:222" x14ac:dyDescent="0.25">
      <c r="A76" s="56" t="s">
        <v>2281</v>
      </c>
      <c r="B76" s="56">
        <v>1.1057395597613699E-2</v>
      </c>
      <c r="C76" s="56">
        <v>1.1057395597613699E-2</v>
      </c>
      <c r="D76" s="56">
        <v>9.7665191515337001E-3</v>
      </c>
      <c r="E76" s="56">
        <v>1.29464510604E-2</v>
      </c>
      <c r="F76" s="56">
        <v>9.4987069822955999E-3</v>
      </c>
      <c r="G76" s="56">
        <v>1.1379870929602499E-2</v>
      </c>
      <c r="H76" s="56">
        <v>9.8392596200680398E-3</v>
      </c>
      <c r="I76" s="56">
        <v>6.1740304842754501E-3</v>
      </c>
      <c r="J76" s="56">
        <v>1.05465004793863E-2</v>
      </c>
      <c r="K76" s="56">
        <v>5.78747628083498E-3</v>
      </c>
      <c r="L76" s="56">
        <v>8.7727572870483998E-3</v>
      </c>
      <c r="M76" s="56">
        <v>8.1354030297362493E-3</v>
      </c>
      <c r="N76" s="56">
        <v>1.2104628513125E-2</v>
      </c>
      <c r="O76" s="56">
        <v>1.9199926682857499E-2</v>
      </c>
      <c r="P76" s="56">
        <v>1.8208794173185699E-2</v>
      </c>
      <c r="Q76" s="56">
        <v>2.04442089459973E-2</v>
      </c>
      <c r="R76" s="56">
        <v>2.977066205106E-2</v>
      </c>
      <c r="S76" s="56">
        <v>2.83217077065301E-2</v>
      </c>
      <c r="T76" s="56">
        <v>2.69695979078131E-2</v>
      </c>
      <c r="U76" s="56">
        <v>2.5425752029285299E-2</v>
      </c>
      <c r="V76" s="56">
        <v>1.88196034302122E-2</v>
      </c>
      <c r="W76" s="56">
        <v>1.22638634978671E-2</v>
      </c>
      <c r="X76" s="56">
        <v>1.8737301527579402E-2</v>
      </c>
      <c r="Y76" s="56">
        <v>1.6767617077854999E-2</v>
      </c>
      <c r="Z76" s="56">
        <v>1.1006175081729E-2</v>
      </c>
      <c r="AA76" s="56">
        <v>8.3713577408113197E-3</v>
      </c>
      <c r="AB76" s="56">
        <v>1.51785078030358E-2</v>
      </c>
      <c r="AC76" s="56">
        <v>1.57939070616313E-2</v>
      </c>
      <c r="AD76" s="56">
        <v>1.8070624006633999E-2</v>
      </c>
      <c r="AE76" s="56">
        <v>1.71050398778212E-2</v>
      </c>
      <c r="AF76" s="56">
        <v>1.50488838466416E-2</v>
      </c>
      <c r="AG76" s="56">
        <v>1.42011834319526E-2</v>
      </c>
      <c r="AH76" s="56">
        <v>1.64008816284196E-2</v>
      </c>
      <c r="AI76" s="56">
        <v>2.0537024044901001E-2</v>
      </c>
      <c r="AJ76" s="56">
        <v>1.75614024123492E-2</v>
      </c>
      <c r="AK76" s="56">
        <v>1.8885886254759801E-2</v>
      </c>
      <c r="AL76" s="56">
        <v>1.8837216311522201E-2</v>
      </c>
      <c r="AM76" s="56">
        <v>2.7334043308484102E-2</v>
      </c>
      <c r="AN76" s="56">
        <v>2.4821469707440699E-2</v>
      </c>
      <c r="AO76" s="56">
        <v>2.41921888170833E-2</v>
      </c>
      <c r="AP76" s="56">
        <v>3.00128940221118E-2</v>
      </c>
      <c r="AQ76" s="56">
        <v>2.44772939139699E-2</v>
      </c>
      <c r="AR76" s="56">
        <v>2.3398502495840301E-2</v>
      </c>
      <c r="AS76" s="56">
        <v>2.4743420384107501E-2</v>
      </c>
      <c r="AT76" s="56">
        <v>2.5930884029947001E-2</v>
      </c>
      <c r="AU76" s="56">
        <v>1.6769766093176298E-2</v>
      </c>
      <c r="AV76" s="56">
        <v>1.6493179333618501E-2</v>
      </c>
      <c r="AW76" s="56">
        <v>1.5313756663237799E-2</v>
      </c>
      <c r="AX76" s="56">
        <v>1.27109862527921E-2</v>
      </c>
      <c r="AY76" s="56">
        <v>9.6182268810114397E-3</v>
      </c>
      <c r="AZ76" s="56">
        <v>1.5787577136165101E-2</v>
      </c>
      <c r="BA76" s="56">
        <v>1.10413941422964E-2</v>
      </c>
      <c r="BB76" s="56">
        <v>8.2673625578386593E-3</v>
      </c>
      <c r="BC76" s="56">
        <v>9.1348036017226998E-3</v>
      </c>
      <c r="BD76" s="56">
        <v>1.31471184102763E-2</v>
      </c>
      <c r="BE76" s="56">
        <v>6.5946221919672698E-3</v>
      </c>
      <c r="BF76" s="56">
        <v>1.0820406610592101E-2</v>
      </c>
      <c r="BG76" s="56">
        <v>9.6801170813296498E-3</v>
      </c>
      <c r="BH76" s="56">
        <v>7.7236866626633196E-3</v>
      </c>
      <c r="BI76" s="56">
        <v>6.1644680064112398E-3</v>
      </c>
      <c r="BJ76" s="56">
        <v>1.18041089735734E-2</v>
      </c>
      <c r="BK76" s="56">
        <v>8.0938155982561693E-3</v>
      </c>
      <c r="BL76" s="56">
        <v>7.8486334968466097E-3</v>
      </c>
      <c r="BM76" s="56">
        <v>6.9730019667442198E-3</v>
      </c>
      <c r="BN76" s="56">
        <v>7.08254419191912E-3</v>
      </c>
      <c r="BO76" s="56">
        <v>-1.0578486492839299E-3</v>
      </c>
      <c r="BP76" s="56">
        <v>5.2948443904063903E-3</v>
      </c>
      <c r="BQ76" s="56">
        <v>6.0472465520942098E-3</v>
      </c>
      <c r="BR76" s="56">
        <v>9.4623155527115994E-3</v>
      </c>
      <c r="BS76" s="56">
        <v>9.6617429553793599E-3</v>
      </c>
      <c r="BT76" s="56">
        <v>9.4741648276386297E-3</v>
      </c>
      <c r="BU76" s="56">
        <v>8.6314123101278693E-3</v>
      </c>
      <c r="BV76" s="56">
        <v>7.9035874439461508E-3</v>
      </c>
      <c r="BW76" s="56">
        <v>1.10486995532322E-2</v>
      </c>
      <c r="BX76" s="56">
        <v>1.2321458039201301E-2</v>
      </c>
      <c r="BY76" s="56">
        <v>1.0106681639528299E-2</v>
      </c>
      <c r="BZ76" s="56">
        <v>1.14938406641683E-2</v>
      </c>
      <c r="CA76" s="56">
        <v>1.34727885126751E-2</v>
      </c>
      <c r="CB76" s="56">
        <v>5.8947000174915899E-3</v>
      </c>
      <c r="CC76" s="56">
        <v>7.85991270627928E-3</v>
      </c>
      <c r="CD76" s="56">
        <v>1.4493003675011501E-2</v>
      </c>
      <c r="CE76" s="56">
        <v>9.0817871052228903E-3</v>
      </c>
      <c r="CF76" s="56">
        <v>1.27079365614415E-2</v>
      </c>
      <c r="CG76" s="56">
        <v>1.3230815317789101E-2</v>
      </c>
      <c r="CH76" s="56">
        <v>5.2560691173089103E-3</v>
      </c>
      <c r="CI76" s="56">
        <v>5.4573379954903096E-3</v>
      </c>
      <c r="CJ76" s="56">
        <v>6.7927717108684496E-3</v>
      </c>
      <c r="CK76" s="56">
        <v>7.2634535300384303E-3</v>
      </c>
      <c r="CL76" s="56">
        <v>6.2656239984615301E-3</v>
      </c>
      <c r="CM76" s="56">
        <v>6.64065610319287E-3</v>
      </c>
      <c r="CN76" s="56">
        <v>6.3753717648546999E-3</v>
      </c>
      <c r="CO76" s="56">
        <v>6.9794859702898603E-3</v>
      </c>
      <c r="CP76" s="56">
        <v>5.9632526264849998E-3</v>
      </c>
      <c r="CQ76" s="56">
        <v>6.7193246535590702E-3</v>
      </c>
      <c r="CR76" s="56">
        <v>4.3314733175079398E-3</v>
      </c>
      <c r="CS76" s="56">
        <v>5.7708541171055403E-3</v>
      </c>
      <c r="CT76" s="56">
        <v>3.58608902656754E-3</v>
      </c>
      <c r="CU76" s="56">
        <v>5.5803910835383599E-3</v>
      </c>
      <c r="CV76" s="56">
        <v>7.16737483555874E-3</v>
      </c>
      <c r="CW76" s="56">
        <v>4.69920578918126E-3</v>
      </c>
      <c r="CX76" s="56">
        <v>4.8864315600716203E-3</v>
      </c>
      <c r="CY76" s="56">
        <v>5.8292563237021299E-3</v>
      </c>
      <c r="CZ76" s="56">
        <v>4.0804861100844896E-3</v>
      </c>
      <c r="DA76" s="56">
        <v>4.40256202606193E-3</v>
      </c>
      <c r="DB76" s="56">
        <v>5.5560442137978496E-3</v>
      </c>
      <c r="DC76" s="56">
        <v>6.6916449200355999E-3</v>
      </c>
      <c r="DD76" s="56">
        <v>4.25766089323987E-3</v>
      </c>
      <c r="DE76" s="56">
        <v>6.82086926426906E-3</v>
      </c>
      <c r="DF76" s="56">
        <v>4.4114066371616599E-3</v>
      </c>
      <c r="DG76" s="56">
        <v>2.50973234274965E-3</v>
      </c>
      <c r="DH76" s="56">
        <v>2.63146665149439E-3</v>
      </c>
      <c r="DI76" s="56">
        <v>3.1494722505958101E-3</v>
      </c>
      <c r="DJ76" s="56">
        <v>7.0711356243924301E-5</v>
      </c>
      <c r="DK76" s="56">
        <v>1.8100827264371201E-3</v>
      </c>
      <c r="DL76" s="56">
        <v>3.0913428285079801E-3</v>
      </c>
      <c r="DM76" s="56">
        <v>2.6315048830598499E-3</v>
      </c>
      <c r="DN76" s="56">
        <v>1.9789751435108599E-3</v>
      </c>
      <c r="DO76" s="56">
        <v>5.6870710183500898E-3</v>
      </c>
      <c r="DP76" s="56">
        <v>5.5016992590115601E-3</v>
      </c>
      <c r="DQ76" s="56">
        <v>6.0672382984028302E-3</v>
      </c>
      <c r="DR76" s="56">
        <v>8.1234768480908902E-3</v>
      </c>
      <c r="DS76" s="56">
        <v>4.7665223507560297E-3</v>
      </c>
      <c r="DT76" s="56">
        <v>6.44301870378428E-3</v>
      </c>
      <c r="DU76" s="56">
        <v>5.6454444774587404E-3</v>
      </c>
      <c r="DV76" s="56">
        <v>7.4133763094279496E-3</v>
      </c>
      <c r="DW76" s="56">
        <v>4.67925131978886E-3</v>
      </c>
      <c r="DX76" s="56">
        <v>5.04226211801573E-4</v>
      </c>
      <c r="DY76" s="56">
        <v>4.11135130833795E-4</v>
      </c>
      <c r="DZ76" s="56">
        <v>2.0150599215187398E-3</v>
      </c>
      <c r="EA76" s="56">
        <v>7.4222057578321498E-3</v>
      </c>
      <c r="EB76" s="56">
        <v>5.17433843325232E-3</v>
      </c>
      <c r="EC76" s="56">
        <v>4.6642887939480904E-3</v>
      </c>
      <c r="ED76" s="56">
        <v>7.6466916354556201E-3</v>
      </c>
      <c r="EE76" s="56">
        <v>1.00665943936806E-3</v>
      </c>
      <c r="EF76" s="56">
        <v>6.5882777648849098E-3</v>
      </c>
      <c r="EG76" s="56">
        <v>4.9184737361187602E-3</v>
      </c>
      <c r="EH76" s="56">
        <v>7.7112303554813799E-3</v>
      </c>
      <c r="EI76" s="56">
        <v>6.7288963092255703E-3</v>
      </c>
      <c r="EJ76" s="56">
        <v>4.9124305852199504E-3</v>
      </c>
      <c r="EK76" s="56">
        <v>8.5516034256423196E-3</v>
      </c>
      <c r="EL76" s="56">
        <v>5.8138814166532899E-3</v>
      </c>
      <c r="EM76" s="56">
        <v>6.3102368803766903E-3</v>
      </c>
      <c r="EN76" s="56">
        <v>1.0802204531536999E-2</v>
      </c>
      <c r="EO76" s="56">
        <v>7.9605486356806292E-3</v>
      </c>
      <c r="EP76" s="56">
        <v>5.1929942660688998E-3</v>
      </c>
      <c r="EQ76" s="56">
        <v>8.7776993817343402E-3</v>
      </c>
      <c r="ER76" s="56">
        <v>7.1957797403829904E-3</v>
      </c>
      <c r="ES76" s="56">
        <v>-1.64779548504035E-3</v>
      </c>
      <c r="ET76" s="56">
        <v>9.1367805522151197E-3</v>
      </c>
      <c r="EU76" s="56">
        <v>8.4932883161794592E-3</v>
      </c>
      <c r="EV76" s="56">
        <v>5.6531208007042401E-3</v>
      </c>
      <c r="EW76" s="56">
        <v>1.0159885730083499E-2</v>
      </c>
      <c r="EX76" s="56">
        <v>8.1419481378428599E-3</v>
      </c>
      <c r="EY76" s="56">
        <v>9.7389376527010595E-3</v>
      </c>
      <c r="EZ76" s="56">
        <v>1.06643963750013E-2</v>
      </c>
      <c r="FA76" s="56">
        <v>-1.5960807350838501E-2</v>
      </c>
      <c r="FB76" s="56">
        <v>-6.7582027686105004E-3</v>
      </c>
      <c r="FC76" s="56">
        <v>3.9804493031378998E-3</v>
      </c>
      <c r="FD76" s="56">
        <v>6.89016400849418E-3</v>
      </c>
      <c r="FE76" s="56">
        <v>7.7180229297075797E-3</v>
      </c>
      <c r="FF76" s="56">
        <v>3.8628520538797101E-3</v>
      </c>
      <c r="FG76" s="56">
        <v>1.5525023010301E-3</v>
      </c>
      <c r="FH76" s="56">
        <v>1.91547549187865E-3</v>
      </c>
      <c r="FI76" s="56">
        <v>6.4095480163552897E-3</v>
      </c>
      <c r="FJ76" s="56">
        <v>8.4001317667727893E-3</v>
      </c>
      <c r="FK76" s="56">
        <v>9.8328523983230998E-3</v>
      </c>
      <c r="FL76" s="56">
        <v>4.6259354309992097E-3</v>
      </c>
      <c r="FM76" s="56">
        <v>3.30589157104977E-3</v>
      </c>
      <c r="FN76" s="56">
        <v>6.6220914683070599E-3</v>
      </c>
      <c r="FO76" s="56">
        <v>2.4124811358854398E-3</v>
      </c>
      <c r="FP76" s="56">
        <v>2.90497344175744E-3</v>
      </c>
      <c r="FQ76" s="56">
        <v>5.61340451398062E-3</v>
      </c>
      <c r="FR76" s="56">
        <v>3.5006202300107399E-3</v>
      </c>
      <c r="FS76" s="56">
        <v>5.1330937889559902E-4</v>
      </c>
      <c r="FT76" s="56">
        <v>4.1148385475562304E-3</v>
      </c>
      <c r="FU76" s="56">
        <v>3.6808792400497801E-3</v>
      </c>
      <c r="FV76" s="56">
        <v>4.5920169551394397E-3</v>
      </c>
      <c r="FW76" s="56">
        <v>4.4779515181601103E-3</v>
      </c>
      <c r="FX76" s="56">
        <v>2.72833036477271E-3</v>
      </c>
      <c r="FY76" s="56">
        <v>-1.3245169106926901E-3</v>
      </c>
      <c r="FZ76" s="56">
        <v>-4.4825990849740602E-3</v>
      </c>
      <c r="GA76" s="56">
        <v>4.9881750302078797E-3</v>
      </c>
      <c r="GB76" s="56">
        <v>2.5998849062809398E-3</v>
      </c>
      <c r="GC76" s="56">
        <v>-7.6871829037050698E-4</v>
      </c>
      <c r="GD76" s="56">
        <v>4.92358190583575E-4</v>
      </c>
      <c r="GE76" s="56">
        <v>6.3462445405892999E-3</v>
      </c>
      <c r="GF76" s="56">
        <v>3.4536507839482101E-3</v>
      </c>
      <c r="GG76" s="56">
        <v>4.57886614684866E-3</v>
      </c>
      <c r="GH76" s="56">
        <v>5.8314046914005298E-3</v>
      </c>
      <c r="GI76" s="56">
        <v>2.0095655319321E-3</v>
      </c>
      <c r="GJ76" s="56">
        <v>3.5297420881632599E-3</v>
      </c>
      <c r="GK76" s="56">
        <v>5.9954434629683204E-3</v>
      </c>
      <c r="GL76" s="56">
        <v>6.9927291509395096E-3</v>
      </c>
      <c r="GM76" s="56">
        <v>5.2475833497731498E-3</v>
      </c>
      <c r="GN76" s="56">
        <v>3.3558364078814002E-3</v>
      </c>
      <c r="GO76" s="56">
        <v>3.7944725878693601E-3</v>
      </c>
      <c r="GP76" s="56">
        <v>2.0362035034391401E-3</v>
      </c>
      <c r="GQ76" s="56">
        <v>5.5906116615298497E-3</v>
      </c>
      <c r="GR76" s="56">
        <v>2.4075184189662501E-3</v>
      </c>
      <c r="GS76" s="56">
        <v>3.9353749698576301E-3</v>
      </c>
      <c r="GT76" s="56">
        <v>3.0840771307514298E-3</v>
      </c>
      <c r="GU76" s="56">
        <v>-3.98452166583652E-3</v>
      </c>
      <c r="GV76" s="56">
        <v>8.1163211139745305E-3</v>
      </c>
      <c r="GW76" s="56">
        <v>4.8458485958486897E-3</v>
      </c>
      <c r="GX76" s="56">
        <v>1.1287260299981E-2</v>
      </c>
      <c r="GY76" s="56">
        <v>1.5573224192473501E-2</v>
      </c>
      <c r="GZ76" s="56">
        <v>1.3800051761748E-2</v>
      </c>
      <c r="HA76" s="56">
        <v>1.6502402421568099E-2</v>
      </c>
      <c r="HB76" s="56">
        <v>1.8781785076822401E-2</v>
      </c>
      <c r="HC76">
        <v>1.8373905005062401E-2</v>
      </c>
      <c r="HD76">
        <v>1.1601770523549401E-2</v>
      </c>
      <c r="HE76">
        <v>9.8962517305620796E-3</v>
      </c>
      <c r="HF76">
        <v>9.7146532173442192E-3</v>
      </c>
      <c r="HG76">
        <v>7.2242708682535E-3</v>
      </c>
      <c r="HH76">
        <v>6.6648915811020597E-3</v>
      </c>
      <c r="HI76">
        <v>4.1080151756858196E-3</v>
      </c>
      <c r="HJ76">
        <v>8.4540665130061806E-3</v>
      </c>
      <c r="HK76">
        <v>6.2690295248435399E-3</v>
      </c>
      <c r="HL76">
        <v>3.8288379639017699E-3</v>
      </c>
      <c r="HM76">
        <v>5.9072139122564602E-3</v>
      </c>
      <c r="HN76">
        <v>8.8851041951187905E-3</v>
      </c>
    </row>
    <row r="77" spans="1:222" x14ac:dyDescent="0.25">
      <c r="A77" s="56" t="s">
        <v>2282</v>
      </c>
      <c r="B77" s="56">
        <v>1.32039273219726E-2</v>
      </c>
      <c r="C77" s="56">
        <v>1.32039273219726E-2</v>
      </c>
      <c r="D77" s="56">
        <v>1.7097349075517999E-2</v>
      </c>
      <c r="E77" s="56">
        <v>1.27032798554454E-2</v>
      </c>
      <c r="F77" s="56">
        <v>3.1684238983509E-2</v>
      </c>
      <c r="G77" s="56">
        <v>1.8657303076358801E-2</v>
      </c>
      <c r="H77" s="56">
        <v>1.4508411791943201E-2</v>
      </c>
      <c r="I77" s="56">
        <v>2.0437141842892598E-2</v>
      </c>
      <c r="J77" s="56">
        <v>4.12980817016202E-2</v>
      </c>
      <c r="K77" s="56">
        <v>1.01656087433781E-2</v>
      </c>
      <c r="L77" s="56">
        <v>8.2207313616176093E-3</v>
      </c>
      <c r="M77" s="56">
        <v>2.17432052483599E-2</v>
      </c>
      <c r="N77" s="56">
        <v>1.6097963676389802E-2</v>
      </c>
      <c r="O77" s="56">
        <v>1.7377567140600202E-2</v>
      </c>
      <c r="P77" s="56">
        <v>2.06743566992014E-2</v>
      </c>
      <c r="Q77" s="56">
        <v>2.1385725462922799E-2</v>
      </c>
      <c r="R77" s="56">
        <v>1.02561920163418E-2</v>
      </c>
      <c r="S77" s="56">
        <v>1.8071527865537701E-2</v>
      </c>
      <c r="T77" s="56">
        <v>2.9212181396888401E-2</v>
      </c>
      <c r="U77" s="56">
        <v>3.3207365120205799E-2</v>
      </c>
      <c r="V77" s="56">
        <v>1.81712062256809E-2</v>
      </c>
      <c r="W77" s="56">
        <v>1.4483891924943501E-2</v>
      </c>
      <c r="X77" s="56">
        <v>1.34860242597754E-2</v>
      </c>
      <c r="Y77" s="56">
        <v>2.2970561998215899E-2</v>
      </c>
      <c r="Z77" s="56">
        <v>1.4606496620885199E-2</v>
      </c>
      <c r="AA77" s="56">
        <v>8.3798882681565007E-3</v>
      </c>
      <c r="AB77" s="56">
        <v>1.14709851551957E-2</v>
      </c>
      <c r="AC77" s="56">
        <v>2.6719567430918901E-2</v>
      </c>
      <c r="AD77" s="56">
        <v>1.4157718350317899E-2</v>
      </c>
      <c r="AE77" s="56">
        <v>1.1363636363636499E-2</v>
      </c>
      <c r="AF77" s="56">
        <v>4.9344847130996499E-3</v>
      </c>
      <c r="AG77" s="56">
        <v>2.8963869811884101E-2</v>
      </c>
      <c r="AH77" s="56">
        <v>1.1446443541626401E-2</v>
      </c>
      <c r="AI77" s="56">
        <v>1.9637221460677701E-2</v>
      </c>
      <c r="AJ77" s="56">
        <v>1.6726590589338799E-2</v>
      </c>
      <c r="AK77" s="56">
        <v>1.7250922509225001E-2</v>
      </c>
      <c r="AL77" s="56">
        <v>1.8439587678728001E-2</v>
      </c>
      <c r="AM77" s="56">
        <v>1.51078923154553E-2</v>
      </c>
      <c r="AN77" s="56">
        <v>2.3333333333333199E-2</v>
      </c>
      <c r="AO77" s="56">
        <v>2.2001257214698099E-2</v>
      </c>
      <c r="AP77" s="56">
        <v>1.97662715276226E-2</v>
      </c>
      <c r="AQ77" s="56">
        <v>3.8656614119259698E-2</v>
      </c>
      <c r="AR77" s="56">
        <v>1.0135937706216199E-2</v>
      </c>
      <c r="AS77" s="56">
        <v>3.01026940865976E-2</v>
      </c>
      <c r="AT77" s="56">
        <v>1.9989345780168099E-2</v>
      </c>
      <c r="AU77" s="56">
        <v>2.3253500460095802E-2</v>
      </c>
      <c r="AV77" s="56">
        <v>2.19230021388295E-2</v>
      </c>
      <c r="AW77" s="56">
        <v>1.91694810445702E-2</v>
      </c>
      <c r="AX77" s="56">
        <v>1.5961915429851599E-2</v>
      </c>
      <c r="AY77" s="56">
        <v>1.9822675486953299E-2</v>
      </c>
      <c r="AZ77" s="56">
        <v>8.3785670848441907E-3</v>
      </c>
      <c r="BA77" s="56">
        <v>1.18156842599002E-2</v>
      </c>
      <c r="BB77" s="56">
        <v>1.8763796909493399E-3</v>
      </c>
      <c r="BC77" s="56">
        <v>7.7117990525503704E-3</v>
      </c>
      <c r="BD77" s="56">
        <v>1.10856018366676E-2</v>
      </c>
      <c r="BE77" s="56">
        <v>6.5308593918949097E-3</v>
      </c>
      <c r="BF77" s="56">
        <v>1.29554829838432E-2</v>
      </c>
      <c r="BG77" s="56">
        <v>9.9688209217978496E-3</v>
      </c>
      <c r="BH77" s="56">
        <v>1.48686393514923E-2</v>
      </c>
      <c r="BI77" s="56">
        <v>1.23124676668391E-2</v>
      </c>
      <c r="BJ77" s="56">
        <v>-3.9860997547015399E-3</v>
      </c>
      <c r="BK77" s="56">
        <v>2.3601847101077898E-3</v>
      </c>
      <c r="BL77" s="56">
        <v>5.3439803439803103E-3</v>
      </c>
      <c r="BM77" s="56">
        <v>6.5579112441702704E-3</v>
      </c>
      <c r="BN77" s="56">
        <v>-2.52918681585501E-3</v>
      </c>
      <c r="BO77" s="56">
        <v>-2.4950302243499402E-3</v>
      </c>
      <c r="BP77" s="56">
        <v>1.42348754448407E-3</v>
      </c>
      <c r="BQ77" s="56">
        <v>1.1168646563102199E-3</v>
      </c>
      <c r="BR77" s="56">
        <v>-1.68356997971597E-3</v>
      </c>
      <c r="BS77" s="56">
        <v>4.73413657882449E-3</v>
      </c>
      <c r="BT77" s="56">
        <v>7.2396359959554504E-3</v>
      </c>
      <c r="BU77" s="56">
        <v>2.08801798907809E-3</v>
      </c>
      <c r="BV77" s="56">
        <v>1.3644013463696101E-2</v>
      </c>
      <c r="BW77" s="56">
        <v>9.8234933686478492E-3</v>
      </c>
      <c r="BX77" s="56">
        <v>5.7154041886864296E-3</v>
      </c>
      <c r="BY77" s="56">
        <v>8.0572963294538395E-3</v>
      </c>
      <c r="BZ77" s="56">
        <v>7.4136998996061597E-3</v>
      </c>
      <c r="CA77" s="56">
        <v>7.3399770026829599E-3</v>
      </c>
      <c r="CB77" s="56">
        <v>4.9844947967201403E-3</v>
      </c>
      <c r="CC77" s="56">
        <v>3.57785139611932E-3</v>
      </c>
      <c r="CD77" s="56">
        <v>7.0170143735617304E-3</v>
      </c>
      <c r="CE77" s="56">
        <v>1.7176787921926898E-2</v>
      </c>
      <c r="CF77" s="56">
        <v>1.34430878588665E-3</v>
      </c>
      <c r="CG77" s="56">
        <v>1.18986317493013E-2</v>
      </c>
      <c r="CH77" s="56">
        <v>8.9780637188086009E-3</v>
      </c>
      <c r="CI77" s="56">
        <v>4.9174126844029296E-3</v>
      </c>
      <c r="CJ77" s="56">
        <v>1.28696899085858E-2</v>
      </c>
      <c r="CK77" s="56">
        <v>1.01047639272316E-2</v>
      </c>
      <c r="CL77" s="56">
        <v>1.4716445627989099E-3</v>
      </c>
      <c r="CM77" s="56">
        <v>3.6387173521335E-3</v>
      </c>
      <c r="CN77" s="56">
        <v>8.7326349549423608E-3</v>
      </c>
      <c r="CO77" s="56">
        <v>6.2724633674315902E-3</v>
      </c>
      <c r="CP77" s="56">
        <v>2.5070833691078799E-3</v>
      </c>
      <c r="CQ77" s="56">
        <v>4.3849882667306196E-3</v>
      </c>
      <c r="CR77" s="56">
        <v>7.2479833552192598E-3</v>
      </c>
      <c r="CS77" s="56">
        <v>8.9566895804409404E-3</v>
      </c>
      <c r="CT77" s="56">
        <v>4.59800976657543E-3</v>
      </c>
      <c r="CU77" s="56">
        <v>8.3855341184331193E-3</v>
      </c>
      <c r="CV77" s="56">
        <v>5.7316083290539499E-3</v>
      </c>
      <c r="CW77" s="56">
        <v>8.21899757877231E-3</v>
      </c>
      <c r="CX77" s="56">
        <v>8.4297196628111398E-3</v>
      </c>
      <c r="CY77" s="56">
        <v>6.6582426127528302E-3</v>
      </c>
      <c r="CZ77" s="56">
        <v>5.1819308324883E-3</v>
      </c>
      <c r="DA77" s="56">
        <v>1.38006115816269E-2</v>
      </c>
      <c r="DB77" s="56">
        <v>2.3530154920012899E-3</v>
      </c>
      <c r="DC77" s="56">
        <v>-5.3566927148979097E-3</v>
      </c>
      <c r="DD77" s="56">
        <v>5.8132167522018099E-3</v>
      </c>
      <c r="DE77" s="56">
        <v>3.4173766516008E-3</v>
      </c>
      <c r="DF77" s="56">
        <v>3.4214326071944101E-3</v>
      </c>
      <c r="DG77" s="56">
        <v>6.5692745643945996E-3</v>
      </c>
      <c r="DH77" s="56">
        <v>2.3153183951269999E-3</v>
      </c>
      <c r="DI77" s="56">
        <v>6.9919228563011197E-3</v>
      </c>
      <c r="DJ77" s="56">
        <v>-4.18757890199206E-3</v>
      </c>
      <c r="DK77" s="56">
        <v>6.4469249559382397E-3</v>
      </c>
      <c r="DL77" s="56">
        <v>6.5285181031966601E-3</v>
      </c>
      <c r="DM77" s="56">
        <v>3.2201941273426499E-3</v>
      </c>
      <c r="DN77" s="56">
        <v>3.2250703582565902E-3</v>
      </c>
      <c r="DO77" s="56">
        <v>8.4310127829922994E-3</v>
      </c>
      <c r="DP77" s="56">
        <v>9.0672601236032602E-3</v>
      </c>
      <c r="DQ77" s="56">
        <v>1.22939826543083E-2</v>
      </c>
      <c r="DR77" s="56">
        <v>9.7451826117678202E-3</v>
      </c>
      <c r="DS77" s="56">
        <v>3.8342104879505201E-3</v>
      </c>
      <c r="DT77" s="56">
        <v>7.1598698733590397E-3</v>
      </c>
      <c r="DU77" s="56">
        <v>4.5134032213876001E-3</v>
      </c>
      <c r="DV77" s="56">
        <v>1.7226034279807E-3</v>
      </c>
      <c r="DW77" s="56">
        <v>5.24490556303925E-3</v>
      </c>
      <c r="DX77" s="56">
        <v>6.4007526943035097E-3</v>
      </c>
      <c r="DY77" s="56">
        <v>6.4875277986318203E-3</v>
      </c>
      <c r="DZ77" s="56">
        <v>6.4738582787979802E-3</v>
      </c>
      <c r="EA77" s="56">
        <v>9.4525623994965394E-3</v>
      </c>
      <c r="EB77" s="56">
        <v>8.5883281849539195E-3</v>
      </c>
      <c r="EC77" s="56">
        <v>1.8541154495886399E-2</v>
      </c>
      <c r="ED77" s="56">
        <v>1.0841277760547999E-2</v>
      </c>
      <c r="EE77" s="56">
        <v>7.1233242179682401E-3</v>
      </c>
      <c r="EF77" s="56">
        <v>9.0464774367873292E-3</v>
      </c>
      <c r="EG77" s="56">
        <v>7.4820823816648101E-3</v>
      </c>
      <c r="EH77" s="56">
        <v>8.5079216176777699E-3</v>
      </c>
      <c r="EI77" s="56">
        <v>8.68160971513454E-3</v>
      </c>
      <c r="EJ77" s="56">
        <v>9.1576264456882904E-3</v>
      </c>
      <c r="EK77" s="56">
        <v>9.7344908112497706E-3</v>
      </c>
      <c r="EL77" s="56">
        <v>1.3160044746666001E-2</v>
      </c>
      <c r="EM77" s="56">
        <v>9.0191797136689508E-3</v>
      </c>
      <c r="EN77" s="56">
        <v>1.04385673711778E-2</v>
      </c>
      <c r="EO77" s="56">
        <v>7.1791876566644798E-3</v>
      </c>
      <c r="EP77" s="56">
        <v>8.4207219832792592E-3</v>
      </c>
      <c r="EQ77" s="56">
        <v>6.9726485281962304E-3</v>
      </c>
      <c r="ER77" s="56">
        <v>7.4002688843677299E-3</v>
      </c>
      <c r="ES77" s="56">
        <v>5.2082718221866404E-3</v>
      </c>
      <c r="ET77" s="56">
        <v>8.55323448551348E-3</v>
      </c>
      <c r="EU77" s="56">
        <v>7.9914261084319503E-3</v>
      </c>
      <c r="EV77" s="56">
        <v>6.88794378698221E-3</v>
      </c>
      <c r="EW77" s="56">
        <v>8.0115697167255605E-3</v>
      </c>
      <c r="EX77" s="56">
        <v>8.4375213500034203E-3</v>
      </c>
      <c r="EY77" s="56">
        <v>1.0241297155697099E-2</v>
      </c>
      <c r="EZ77" s="56">
        <v>7.49972057672976E-3</v>
      </c>
      <c r="FA77" s="56">
        <v>-4.75921057010686E-3</v>
      </c>
      <c r="FB77" s="56">
        <v>-8.3935259497057695E-3</v>
      </c>
      <c r="FC77" s="56">
        <v>1.79858136894362E-4</v>
      </c>
      <c r="FD77" s="56">
        <v>3.0570384939590002E-3</v>
      </c>
      <c r="FE77" s="56">
        <v>7.6865328806572401E-3</v>
      </c>
      <c r="FF77" s="56">
        <v>6.3714098273157703E-3</v>
      </c>
      <c r="FG77" s="56">
        <v>7.6679999116080503E-3</v>
      </c>
      <c r="FH77" s="56">
        <v>3.96929824561387E-3</v>
      </c>
      <c r="FI77" s="56">
        <v>8.1365632030756495E-3</v>
      </c>
      <c r="FJ77" s="56">
        <v>8.9809006900885002E-3</v>
      </c>
      <c r="FK77" s="56">
        <v>9.0512798488233698E-3</v>
      </c>
      <c r="FL77" s="56">
        <v>3.47950073952696E-3</v>
      </c>
      <c r="FM77" s="56">
        <v>-1.3360761775496101E-3</v>
      </c>
      <c r="FN77" s="56">
        <v>3.4614567848798598E-3</v>
      </c>
      <c r="FO77" s="56">
        <v>2.2114997989546299E-3</v>
      </c>
      <c r="FP77" s="56">
        <v>1.9215541360924099E-3</v>
      </c>
      <c r="FQ77" s="56">
        <v>1.2223779466158399E-3</v>
      </c>
      <c r="FR77" s="56">
        <v>-6.94641785860872E-4</v>
      </c>
      <c r="FS77" s="56">
        <v>1.6324897047825799E-3</v>
      </c>
      <c r="FT77" s="56">
        <v>3.5120186746862001E-3</v>
      </c>
      <c r="FU77" s="56">
        <v>1.5382036128924101E-2</v>
      </c>
      <c r="FV77" s="56">
        <v>-2.63147032114253E-3</v>
      </c>
      <c r="FW77" s="56">
        <v>4.2214611635920099E-3</v>
      </c>
      <c r="FX77" s="56">
        <v>4.69827008871082E-3</v>
      </c>
      <c r="FY77" s="56">
        <v>1.32290053633866E-3</v>
      </c>
      <c r="FZ77" s="56">
        <v>-1.9458839433850201E-3</v>
      </c>
      <c r="GA77" s="56">
        <v>1.9394163280384001E-3</v>
      </c>
      <c r="GB77" s="56">
        <v>9.1150234020553899E-4</v>
      </c>
      <c r="GC77" s="56">
        <v>-1.2176404379412599E-3</v>
      </c>
      <c r="GD77" s="56">
        <v>-1.10643267664512E-3</v>
      </c>
      <c r="GE77" s="56">
        <v>5.32291314113409E-3</v>
      </c>
      <c r="GF77" s="56">
        <v>3.8970843280079501E-3</v>
      </c>
      <c r="GG77" s="56">
        <v>4.9489858135849402E-3</v>
      </c>
      <c r="GH77" s="56">
        <v>4.7425953827950904E-3</v>
      </c>
      <c r="GI77" s="56">
        <v>3.2407407407408799E-3</v>
      </c>
      <c r="GJ77" s="56">
        <v>4.3939728336108699E-3</v>
      </c>
      <c r="GK77" s="56">
        <v>7.1713943268076896E-3</v>
      </c>
      <c r="GL77" s="56">
        <v>9.5202205517761502E-3</v>
      </c>
      <c r="GM77" s="56">
        <v>6.8665396176741398E-3</v>
      </c>
      <c r="GN77" s="56">
        <v>5.1708830502357203E-3</v>
      </c>
      <c r="GO77" s="56">
        <v>7.2893513350869004E-3</v>
      </c>
      <c r="GP77" s="56">
        <v>9.1830638478289702E-3</v>
      </c>
      <c r="GQ77" s="56">
        <v>-6.6551450859820803E-3</v>
      </c>
      <c r="GR77" s="56">
        <v>9.3238748870549904E-4</v>
      </c>
      <c r="GS77" s="56">
        <v>3.6396462148640101E-3</v>
      </c>
      <c r="GT77" s="56">
        <v>3.02363410199979E-3</v>
      </c>
      <c r="GU77" s="56">
        <v>6.3915440825756996E-4</v>
      </c>
      <c r="GV77" s="56">
        <v>5.4627096183730304E-3</v>
      </c>
      <c r="GW77" s="56">
        <v>7.4621204938085696E-3</v>
      </c>
      <c r="GX77" s="56">
        <v>7.6797831590638098E-3</v>
      </c>
      <c r="GY77" s="56">
        <v>1.07780963677628E-2</v>
      </c>
      <c r="GZ77" s="56">
        <v>1.1808950038346699E-2</v>
      </c>
      <c r="HA77" s="56">
        <v>1.23743162162901E-2</v>
      </c>
      <c r="HB77" s="56">
        <v>1.6029804430973502E-2</v>
      </c>
      <c r="HC77">
        <v>1.82184617296886E-2</v>
      </c>
      <c r="HD77">
        <v>1.3070584644896899E-2</v>
      </c>
      <c r="HE77">
        <v>1.02165530537768E-2</v>
      </c>
      <c r="HF77">
        <v>1.05562702882314E-2</v>
      </c>
      <c r="HG77">
        <v>8.6417671359919606E-3</v>
      </c>
      <c r="HH77">
        <v>9.3952438667612697E-3</v>
      </c>
      <c r="HI77">
        <v>9.4402901647081504E-3</v>
      </c>
      <c r="HJ77">
        <v>8.7613516107596396E-3</v>
      </c>
      <c r="HK77">
        <v>6.9774817634000704E-3</v>
      </c>
      <c r="HL77">
        <v>6.0650111043811803E-3</v>
      </c>
      <c r="HM77">
        <v>6.5983817107628804E-3</v>
      </c>
      <c r="HN77">
        <v>1.3373419033796401E-2</v>
      </c>
    </row>
    <row r="78" spans="1:222" x14ac:dyDescent="0.25">
      <c r="A78" s="56" t="s">
        <v>2283</v>
      </c>
      <c r="B78" s="56">
        <v>2.11423161880719E-2</v>
      </c>
      <c r="C78" s="56">
        <v>2.11423161880719E-2</v>
      </c>
      <c r="D78" s="56">
        <v>1.8077873918417801E-2</v>
      </c>
      <c r="E78" s="56">
        <v>1.89710122932161E-2</v>
      </c>
      <c r="F78" s="56">
        <v>2.27137324992552E-2</v>
      </c>
      <c r="G78" s="56">
        <v>1.8058690744920902E-2</v>
      </c>
      <c r="H78" s="56">
        <v>1.4090551462699399E-2</v>
      </c>
      <c r="I78" s="56">
        <v>1.0932430526167301E-2</v>
      </c>
      <c r="J78" s="56">
        <v>2.2395869671387701E-2</v>
      </c>
      <c r="K78" s="56">
        <v>1.18056503343797E-2</v>
      </c>
      <c r="L78" s="56">
        <v>1.51750185472448E-2</v>
      </c>
      <c r="M78" s="56">
        <v>1.3752325272389E-2</v>
      </c>
      <c r="N78" s="56">
        <v>1.9660528212857901E-2</v>
      </c>
      <c r="O78" s="56">
        <v>1.78032007198408E-2</v>
      </c>
      <c r="P78" s="56">
        <v>1.34503662541046E-2</v>
      </c>
      <c r="Q78" s="56">
        <v>1.8941990155149999E-2</v>
      </c>
      <c r="R78" s="56">
        <v>2.90466581055462E-2</v>
      </c>
      <c r="S78" s="56">
        <v>3.4763489422391401E-2</v>
      </c>
      <c r="T78" s="56">
        <v>3.6467007408258E-2</v>
      </c>
      <c r="U78" s="56">
        <v>2.9421542553191599E-2</v>
      </c>
      <c r="V78" s="56">
        <v>2.01302545885138E-2</v>
      </c>
      <c r="W78" s="56">
        <v>1.9838547987126101E-2</v>
      </c>
      <c r="X78" s="56">
        <v>1.2778726266232001E-2</v>
      </c>
      <c r="Y78" s="56">
        <v>1.2770739681242401E-2</v>
      </c>
      <c r="Z78" s="56">
        <v>1.12982951679612E-2</v>
      </c>
      <c r="AA78" s="56">
        <v>1.21197007481295E-2</v>
      </c>
      <c r="AB78" s="56">
        <v>7.4409895037696999E-3</v>
      </c>
      <c r="AC78" s="56">
        <v>1.19839561729604E-2</v>
      </c>
      <c r="AD78" s="56">
        <v>1.8850596935569699E-2</v>
      </c>
      <c r="AE78" s="56">
        <v>1.7885098913610599E-2</v>
      </c>
      <c r="AF78" s="56">
        <v>1.70115585384043E-2</v>
      </c>
      <c r="AG78" s="56">
        <v>1.6864488336923101E-2</v>
      </c>
      <c r="AH78" s="56">
        <v>1.41511559781875E-2</v>
      </c>
      <c r="AI78" s="56">
        <v>1.6708883260009699E-2</v>
      </c>
      <c r="AJ78" s="56">
        <v>1.5210455002403899E-2</v>
      </c>
      <c r="AK78" s="56">
        <v>1.43367632496663E-2</v>
      </c>
      <c r="AL78" s="56">
        <v>2.3811544991511099E-2</v>
      </c>
      <c r="AM78" s="56">
        <v>2.2884623357240601E-2</v>
      </c>
      <c r="AN78" s="56">
        <v>3.3883192153366201E-2</v>
      </c>
      <c r="AO78" s="56">
        <v>1.9522521463013E-2</v>
      </c>
      <c r="AP78" s="56">
        <v>2.6031453070327198E-2</v>
      </c>
      <c r="AQ78" s="56">
        <v>2.7469644730924801E-2</v>
      </c>
      <c r="AR78" s="56">
        <v>2.8850713061239201E-2</v>
      </c>
      <c r="AS78" s="56">
        <v>2.72263187748156E-2</v>
      </c>
      <c r="AT78" s="56">
        <v>3.2475151849806802E-2</v>
      </c>
      <c r="AU78" s="56">
        <v>2.1559648360463899E-2</v>
      </c>
      <c r="AV78" s="56">
        <v>1.3578954256920199E-2</v>
      </c>
      <c r="AW78" s="56">
        <v>1.57859056719503E-2</v>
      </c>
      <c r="AX78" s="56">
        <v>1.6875357528761199E-2</v>
      </c>
      <c r="AY78" s="56">
        <v>1.6064006000562601E-2</v>
      </c>
      <c r="AZ78" s="56">
        <v>1.5686998246747099E-2</v>
      </c>
      <c r="BA78" s="56">
        <v>1.27191787044609E-2</v>
      </c>
      <c r="BB78" s="56">
        <v>7.1768188750334101E-3</v>
      </c>
      <c r="BC78" s="56">
        <v>1.0985422048039E-2</v>
      </c>
      <c r="BD78" s="56">
        <v>9.6913453349387595E-3</v>
      </c>
      <c r="BE78" s="56">
        <v>7.5914022279748297E-3</v>
      </c>
      <c r="BF78" s="56">
        <v>1.4519946885283699E-2</v>
      </c>
      <c r="BG78" s="56">
        <v>9.5034855598235008E-3</v>
      </c>
      <c r="BH78" s="56">
        <v>9.3294624989430606E-3</v>
      </c>
      <c r="BI78" s="56">
        <v>9.9413571628035307E-3</v>
      </c>
      <c r="BJ78" s="56">
        <v>1.18066692473595E-2</v>
      </c>
      <c r="BK78" s="56">
        <v>9.8379471483616109E-3</v>
      </c>
      <c r="BL78" s="56">
        <v>8.2807891104916802E-3</v>
      </c>
      <c r="BM78" s="56">
        <v>9.25950776993467E-3</v>
      </c>
      <c r="BN78" s="56">
        <v>4.1484948409742399E-3</v>
      </c>
      <c r="BO78" s="56">
        <v>4.4226694915254798E-3</v>
      </c>
      <c r="BP78" s="56">
        <v>8.6481925804835508E-3</v>
      </c>
      <c r="BQ78" s="56">
        <v>1.27042216703699E-2</v>
      </c>
      <c r="BR78" s="56">
        <v>1.4300095506053E-2</v>
      </c>
      <c r="BS78" s="56">
        <v>1.22407430970861E-2</v>
      </c>
      <c r="BT78" s="56">
        <v>1.19670152855993E-2</v>
      </c>
      <c r="BU78" s="56">
        <v>5.9375931630725196E-3</v>
      </c>
      <c r="BV78" s="56">
        <v>5.1369440122495096E-3</v>
      </c>
      <c r="BW78" s="56">
        <v>9.7545394235729593E-3</v>
      </c>
      <c r="BX78" s="56">
        <v>8.4436441502822E-3</v>
      </c>
      <c r="BY78" s="56">
        <v>1.1461525468716E-2</v>
      </c>
      <c r="BZ78" s="56">
        <v>1.3144711102629001E-2</v>
      </c>
      <c r="CA78" s="56">
        <v>1.3586380654124101E-2</v>
      </c>
      <c r="CB78" s="56">
        <v>9.3853087394881705E-3</v>
      </c>
      <c r="CC78" s="56">
        <v>1.2911392405063201E-2</v>
      </c>
      <c r="CD78" s="56">
        <v>1.41555520210856E-2</v>
      </c>
      <c r="CE78" s="56">
        <v>1.0306044719272401E-2</v>
      </c>
      <c r="CF78" s="56">
        <v>1.3593826229653499E-2</v>
      </c>
      <c r="CG78" s="56">
        <v>1.5752510556369798E-2</v>
      </c>
      <c r="CH78" s="56">
        <v>4.2001421586577202E-3</v>
      </c>
      <c r="CI78" s="56">
        <v>6.0486465617091102E-3</v>
      </c>
      <c r="CJ78" s="56">
        <v>8.2295753027459301E-3</v>
      </c>
      <c r="CK78" s="56">
        <v>8.7333474307464999E-3</v>
      </c>
      <c r="CL78" s="56">
        <v>7.1274343332703403E-3</v>
      </c>
      <c r="CM78" s="56">
        <v>1.19476302479029E-2</v>
      </c>
      <c r="CN78" s="56">
        <v>7.3636793714133598E-3</v>
      </c>
      <c r="CO78" s="56">
        <v>6.8402246043899302E-3</v>
      </c>
      <c r="CP78" s="56">
        <v>5.8203204218210099E-3</v>
      </c>
      <c r="CQ78" s="56">
        <v>5.8874528701333704E-3</v>
      </c>
      <c r="CR78" s="56">
        <v>2.84631882779762E-3</v>
      </c>
      <c r="CS78" s="56">
        <v>5.0368771361755096E-3</v>
      </c>
      <c r="CT78" s="56">
        <v>8.1737366505578706E-3</v>
      </c>
      <c r="CU78" s="56">
        <v>5.5430622953407402E-3</v>
      </c>
      <c r="CV78" s="56">
        <v>8.7493869543893207E-3</v>
      </c>
      <c r="CW78" s="56">
        <v>8.4790260788394408E-3</v>
      </c>
      <c r="CX78" s="56">
        <v>5.5730181074880002E-3</v>
      </c>
      <c r="CY78" s="56">
        <v>7.5940628236106401E-3</v>
      </c>
      <c r="CZ78" s="56">
        <v>4.1109969167523203E-3</v>
      </c>
      <c r="DA78" s="56">
        <v>3.8288032146782699E-3</v>
      </c>
      <c r="DB78" s="56">
        <v>9.9886706948639804E-3</v>
      </c>
      <c r="DC78" s="56">
        <v>1.346071154817E-3</v>
      </c>
      <c r="DD78" s="56">
        <v>6.3105617893617297E-3</v>
      </c>
      <c r="DE78" s="56">
        <v>7.1800961056791603E-3</v>
      </c>
      <c r="DF78" s="56">
        <v>6.6315440445050599E-3</v>
      </c>
      <c r="DG78" s="56">
        <v>3.2390293891593198E-3</v>
      </c>
      <c r="DH78" s="56">
        <v>4.3412436386187601E-3</v>
      </c>
      <c r="DI78" s="56">
        <v>7.8458437006230196E-3</v>
      </c>
      <c r="DJ78" s="56">
        <v>1.3335015227144999E-3</v>
      </c>
      <c r="DK78" s="56">
        <v>4.4270880198680196E-3</v>
      </c>
      <c r="DL78" s="56">
        <v>7.4892946087827799E-3</v>
      </c>
      <c r="DM78" s="56">
        <v>8.3583788301826393E-3</v>
      </c>
      <c r="DN78" s="56">
        <v>7.6541859931922298E-3</v>
      </c>
      <c r="DO78" s="56">
        <v>1.35468626936204E-2</v>
      </c>
      <c r="DP78" s="56">
        <v>1.20015886995113E-2</v>
      </c>
      <c r="DQ78" s="56">
        <v>1.1483857757149701E-2</v>
      </c>
      <c r="DR78" s="56">
        <v>1.2770551816050101E-2</v>
      </c>
      <c r="DS78" s="56">
        <v>1.0627311190325501E-2</v>
      </c>
      <c r="DT78" s="56">
        <v>1.07463080168777E-2</v>
      </c>
      <c r="DU78" s="56">
        <v>1.2491031243885099E-2</v>
      </c>
      <c r="DV78" s="56">
        <v>1.1950394588500401E-2</v>
      </c>
      <c r="DW78" s="56">
        <v>3.8992869875222901E-3</v>
      </c>
      <c r="DX78" s="56">
        <v>2.5999968292722601E-3</v>
      </c>
      <c r="DY78" s="56">
        <v>1.92912825540392E-3</v>
      </c>
      <c r="DZ78" s="56">
        <v>5.8867162224009997E-3</v>
      </c>
      <c r="EA78" s="56">
        <v>9.0215890548515105E-3</v>
      </c>
      <c r="EB78" s="56">
        <v>7.2615882197446498E-3</v>
      </c>
      <c r="EC78" s="56">
        <v>8.4442248911666996E-3</v>
      </c>
      <c r="ED78" s="56">
        <v>1.4251817833907301E-2</v>
      </c>
      <c r="EE78" s="56">
        <v>7.6974160830722805E-4</v>
      </c>
      <c r="EF78" s="56">
        <v>6.6358001417647899E-3</v>
      </c>
      <c r="EG78" s="56">
        <v>7.8805039926887997E-3</v>
      </c>
      <c r="EH78" s="56">
        <v>1.27540023486392E-2</v>
      </c>
      <c r="EI78" s="56">
        <v>1.4340021429305501E-2</v>
      </c>
      <c r="EJ78" s="56">
        <v>1.61486369161312E-2</v>
      </c>
      <c r="EK78" s="56">
        <v>1.7301777170197999E-2</v>
      </c>
      <c r="EL78" s="56">
        <v>9.05667772505225E-3</v>
      </c>
      <c r="EM78" s="56">
        <v>1.2818022917071299E-2</v>
      </c>
      <c r="EN78" s="56">
        <v>1.6025202027119701E-2</v>
      </c>
      <c r="EO78" s="56">
        <v>1.6325155028309401E-2</v>
      </c>
      <c r="EP78" s="56">
        <v>7.1493944900584703E-3</v>
      </c>
      <c r="EQ78" s="56">
        <v>1.54484393520347E-2</v>
      </c>
      <c r="ER78" s="56">
        <v>1.0155246877553399E-2</v>
      </c>
      <c r="ES78" s="56">
        <v>1.0553886449426101E-2</v>
      </c>
      <c r="ET78" s="56">
        <v>1.9134014331452901E-2</v>
      </c>
      <c r="EU78" s="56">
        <v>1.0833520333108901E-2</v>
      </c>
      <c r="EV78" s="56">
        <v>1.0951740808800899E-2</v>
      </c>
      <c r="EW78" s="56">
        <v>1.4334337753595799E-2</v>
      </c>
      <c r="EX78" s="56">
        <v>1.61162292834292E-2</v>
      </c>
      <c r="EY78" s="56">
        <v>1.4002319910991099E-2</v>
      </c>
      <c r="EZ78" s="56">
        <v>1.3517141556455701E-2</v>
      </c>
      <c r="FA78" s="56">
        <v>-1.2012392458567001E-2</v>
      </c>
      <c r="FB78" s="56">
        <v>-1.28695327800056E-2</v>
      </c>
      <c r="FC78" s="56">
        <v>2.3027869626830498E-3</v>
      </c>
      <c r="FD78" s="56">
        <v>5.2076583210602899E-3</v>
      </c>
      <c r="FE78" s="56">
        <v>7.2084109849150898E-3</v>
      </c>
      <c r="FF78" s="56">
        <v>9.97300190848582E-3</v>
      </c>
      <c r="FG78" s="56">
        <v>6.7289633478897501E-3</v>
      </c>
      <c r="FH78" s="56">
        <v>5.2762294988153401E-3</v>
      </c>
      <c r="FI78" s="56">
        <v>8.4135983787598807E-3</v>
      </c>
      <c r="FJ78" s="56">
        <v>1.0172400167094E-2</v>
      </c>
      <c r="FK78" s="56">
        <v>1.21599570825044E-2</v>
      </c>
      <c r="FL78" s="56">
        <v>5.1125195998322796E-3</v>
      </c>
      <c r="FM78" s="56">
        <v>-1.23043120021982E-3</v>
      </c>
      <c r="FN78" s="56">
        <v>1.2121478776412601E-2</v>
      </c>
      <c r="FO78" s="56">
        <v>9.7810139651155495E-5</v>
      </c>
      <c r="FP78" s="56">
        <v>5.9549682691471002E-3</v>
      </c>
      <c r="FQ78" s="56">
        <v>1.22499243831828E-2</v>
      </c>
      <c r="FR78" s="56">
        <v>1.140802083111E-2</v>
      </c>
      <c r="FS78" s="56">
        <v>5.1068319704563603E-3</v>
      </c>
      <c r="FT78" s="56">
        <v>7.9152625998593108E-3</v>
      </c>
      <c r="FU78" s="56">
        <v>5.7804672283960903E-3</v>
      </c>
      <c r="FV78" s="56">
        <v>7.9943666639052894E-3</v>
      </c>
      <c r="FW78" s="56">
        <v>3.10252722416271E-3</v>
      </c>
      <c r="FX78" s="56">
        <v>5.3153356137727297E-3</v>
      </c>
      <c r="FY78" s="56">
        <v>-8.7611169405366095E-4</v>
      </c>
      <c r="FZ78" s="56">
        <v>-9.1868468009176397E-3</v>
      </c>
      <c r="GA78" s="56">
        <v>6.2671084858087998E-3</v>
      </c>
      <c r="GB78" s="56">
        <v>6.3405704468055802E-4</v>
      </c>
      <c r="GC78" s="56">
        <v>-3.86325310439983E-3</v>
      </c>
      <c r="GD78" s="56">
        <v>-8.0232283747319107E-3</v>
      </c>
      <c r="GE78" s="56">
        <v>7.5606350519727998E-3</v>
      </c>
      <c r="GF78" s="56">
        <v>3.14116777531415E-3</v>
      </c>
      <c r="GG78" s="56">
        <v>4.8709604797281302E-3</v>
      </c>
      <c r="GH78" s="56">
        <v>9.2262571539136803E-3</v>
      </c>
      <c r="GI78" s="56">
        <v>1.8061834032936401E-3</v>
      </c>
      <c r="GJ78" s="56">
        <v>8.8736238832427504E-3</v>
      </c>
      <c r="GK78" s="56">
        <v>1.28189768779201E-2</v>
      </c>
      <c r="GL78" s="56">
        <v>1.29228767447362E-2</v>
      </c>
      <c r="GM78" s="56">
        <v>1.01986200722077E-2</v>
      </c>
      <c r="GN78" s="56">
        <v>8.9781999287139608E-3</v>
      </c>
      <c r="GO78" s="56">
        <v>4.3727742292747297E-3</v>
      </c>
      <c r="GP78" s="56">
        <v>-4.8575529720429299E-3</v>
      </c>
      <c r="GQ78" s="56">
        <v>7.5177196568785298E-3</v>
      </c>
      <c r="GR78" s="56">
        <v>3.9251751633120301E-3</v>
      </c>
      <c r="GS78" s="56">
        <v>5.8458545430506402E-3</v>
      </c>
      <c r="GT78" s="56">
        <v>1.29100707941336E-2</v>
      </c>
      <c r="GU78" s="56">
        <v>-1.30699567115622E-3</v>
      </c>
      <c r="GV78" s="56">
        <v>1.2001113792463399E-2</v>
      </c>
      <c r="GW78" s="56">
        <v>1.2262342593526701E-2</v>
      </c>
      <c r="GX78" s="56">
        <v>2.21890006342302E-2</v>
      </c>
      <c r="GY78" s="56">
        <v>1.9721855361242401E-2</v>
      </c>
      <c r="GZ78" s="56">
        <v>1.6072111539932502E-2</v>
      </c>
      <c r="HA78" s="56">
        <v>1.9761662374992599E-2</v>
      </c>
      <c r="HB78" s="56">
        <v>2.31370015855306E-2</v>
      </c>
      <c r="HC78">
        <v>3.3953476931150299E-2</v>
      </c>
      <c r="HD78">
        <v>1.4353459897542601E-3</v>
      </c>
      <c r="HE78">
        <v>2.8269838378878198E-3</v>
      </c>
      <c r="HF78">
        <v>-5.2590018951358397E-3</v>
      </c>
      <c r="HG78">
        <v>-9.3193833648214097E-3</v>
      </c>
      <c r="HH78">
        <v>9.9439102564102804E-3</v>
      </c>
      <c r="HI78">
        <v>-2.7768741917311201E-4</v>
      </c>
      <c r="HJ78">
        <v>9.5154199006395306E-3</v>
      </c>
      <c r="HK78">
        <v>4.0485829959513399E-3</v>
      </c>
      <c r="HL78">
        <v>5.9191982461634903E-3</v>
      </c>
      <c r="HM78">
        <v>4.4210591861515401E-3</v>
      </c>
      <c r="HN78">
        <v>1.06475310746721E-2</v>
      </c>
    </row>
    <row r="79" spans="1:222" x14ac:dyDescent="0.25">
      <c r="A79" s="56" t="s">
        <v>2284</v>
      </c>
      <c r="B79" s="56">
        <v>1.98894115705208E-2</v>
      </c>
      <c r="C79" s="56">
        <v>1.98894115705208E-2</v>
      </c>
      <c r="D79" s="56">
        <v>1.7640394885903899E-2</v>
      </c>
      <c r="E79" s="56">
        <v>1.6857506361323198E-2</v>
      </c>
      <c r="F79" s="56">
        <v>2.4554269627776099E-2</v>
      </c>
      <c r="G79" s="56">
        <v>1.8775759426041799E-2</v>
      </c>
      <c r="H79" s="56">
        <v>1.50584357207071E-2</v>
      </c>
      <c r="I79" s="56">
        <v>9.0781607498708894E-3</v>
      </c>
      <c r="J79" s="56">
        <v>2.5234055002925498E-2</v>
      </c>
      <c r="K79" s="56">
        <v>1.3126917314689301E-2</v>
      </c>
      <c r="L79" s="56">
        <v>1.55622843461729E-2</v>
      </c>
      <c r="M79" s="56">
        <v>1.2411593398973899E-2</v>
      </c>
      <c r="N79" s="56">
        <v>1.9724676392027799E-2</v>
      </c>
      <c r="O79" s="56">
        <v>1.6925246826516201E-2</v>
      </c>
      <c r="P79" s="56">
        <v>1.15580212667592E-2</v>
      </c>
      <c r="Q79" s="56">
        <v>1.6779838077827E-2</v>
      </c>
      <c r="R79" s="56">
        <v>2.42727798112117E-2</v>
      </c>
      <c r="S79" s="56">
        <v>2.6894865525672201E-2</v>
      </c>
      <c r="T79" s="56">
        <v>2.8754578754578701E-2</v>
      </c>
      <c r="U79" s="56">
        <v>2.61705536763399E-2</v>
      </c>
      <c r="V79" s="56">
        <v>1.9951422623178301E-2</v>
      </c>
      <c r="W79" s="56">
        <v>2.4097068662471102E-2</v>
      </c>
      <c r="X79" s="56">
        <v>1.5391429520540199E-2</v>
      </c>
      <c r="Y79" s="56">
        <v>1.4558342420937899E-2</v>
      </c>
      <c r="Z79" s="56">
        <v>1.30058580104262E-2</v>
      </c>
      <c r="AA79" s="56">
        <v>1.3051090243514101E-2</v>
      </c>
      <c r="AB79" s="56">
        <v>8.7457449594134894E-3</v>
      </c>
      <c r="AC79" s="56">
        <v>1.32385006749038E-2</v>
      </c>
      <c r="AD79" s="56">
        <v>2.0290003586616898E-2</v>
      </c>
      <c r="AE79" s="56">
        <v>1.9886506302415601E-2</v>
      </c>
      <c r="AF79" s="56">
        <v>1.78738490324486E-2</v>
      </c>
      <c r="AG79" s="56">
        <v>1.8333978328173298E-2</v>
      </c>
      <c r="AH79" s="56">
        <v>1.45361265498076E-2</v>
      </c>
      <c r="AI79" s="56">
        <v>1.6060308095706199E-2</v>
      </c>
      <c r="AJ79" s="56">
        <v>1.42857142857145E-2</v>
      </c>
      <c r="AK79" s="56">
        <v>1.3402998636983E-2</v>
      </c>
      <c r="AL79" s="56">
        <v>2.4568482403048798E-2</v>
      </c>
      <c r="AM79" s="56">
        <v>2.1835207631383E-2</v>
      </c>
      <c r="AN79" s="56">
        <v>3.5157588215141998E-2</v>
      </c>
      <c r="AO79" s="56">
        <v>1.7167914615480201E-2</v>
      </c>
      <c r="AP79" s="56">
        <v>2.57035952497153E-2</v>
      </c>
      <c r="AQ79" s="56">
        <v>2.71609833465505E-2</v>
      </c>
      <c r="AR79" s="56">
        <v>2.7793862188766599E-2</v>
      </c>
      <c r="AS79" s="56">
        <v>2.6591549295774699E-2</v>
      </c>
      <c r="AT79" s="56">
        <v>3.3549189624263703E-2</v>
      </c>
      <c r="AU79" s="56">
        <v>2.08849557522124E-2</v>
      </c>
      <c r="AV79" s="56">
        <v>1.1962552011095799E-2</v>
      </c>
      <c r="AW79" s="56">
        <v>1.5350351207812101E-2</v>
      </c>
      <c r="AX79" s="56">
        <v>1.75142577531806E-2</v>
      </c>
      <c r="AY79" s="56">
        <v>1.59525072963651E-2</v>
      </c>
      <c r="AZ79" s="56">
        <v>1.6616067639473799E-2</v>
      </c>
      <c r="BA79" s="56">
        <v>1.4995825573181E-2</v>
      </c>
      <c r="BB79" s="56">
        <v>8.6051441045271702E-3</v>
      </c>
      <c r="BC79" s="56">
        <v>1.3644490448856799E-2</v>
      </c>
      <c r="BD79" s="56">
        <v>1.1696992202005201E-2</v>
      </c>
      <c r="BE79" s="56">
        <v>9.3901021594173795E-3</v>
      </c>
      <c r="BF79" s="56">
        <v>1.75146207690677E-2</v>
      </c>
      <c r="BG79" s="56">
        <v>1.0899669436254899E-2</v>
      </c>
      <c r="BH79" s="56">
        <v>1.0752688172042999E-2</v>
      </c>
      <c r="BI79" s="56">
        <v>1.18041387350627E-2</v>
      </c>
      <c r="BJ79" s="56">
        <v>1.3221950165634299E-2</v>
      </c>
      <c r="BK79" s="56">
        <v>1.14288963438904E-2</v>
      </c>
      <c r="BL79" s="56">
        <v>9.2759163480997699E-3</v>
      </c>
      <c r="BM79" s="56">
        <v>1.0081880465660401E-2</v>
      </c>
      <c r="BN79" s="56">
        <v>3.6395720745561202E-3</v>
      </c>
      <c r="BO79" s="56">
        <v>3.0219780219780099E-3</v>
      </c>
      <c r="BP79" s="56">
        <v>8.5456039441249593E-3</v>
      </c>
      <c r="BQ79" s="56">
        <v>1.3171473575579899E-2</v>
      </c>
      <c r="BR79" s="56">
        <v>1.6216795775591701E-2</v>
      </c>
      <c r="BS79" s="56">
        <v>1.3135682633467E-2</v>
      </c>
      <c r="BT79" s="56">
        <v>1.2705024733142599E-2</v>
      </c>
      <c r="BU79" s="56">
        <v>6.1185665072753803E-3</v>
      </c>
      <c r="BV79" s="56">
        <v>4.4204824202778202E-3</v>
      </c>
      <c r="BW79" s="56">
        <v>1.07863339184411E-2</v>
      </c>
      <c r="BX79" s="56">
        <v>8.9094707170362906E-3</v>
      </c>
      <c r="BY79" s="56">
        <v>1.2946840621648E-2</v>
      </c>
      <c r="BZ79" s="56">
        <v>1.51701718957789E-2</v>
      </c>
      <c r="CA79" s="56">
        <v>1.48949590024743E-2</v>
      </c>
      <c r="CB79" s="56">
        <v>9.8479778181470596E-3</v>
      </c>
      <c r="CC79" s="56">
        <v>1.4698920658966099E-2</v>
      </c>
      <c r="CD79" s="56">
        <v>1.58389512234949E-2</v>
      </c>
      <c r="CE79" s="56">
        <v>1.06778726922017E-2</v>
      </c>
      <c r="CF79" s="56">
        <v>1.4518437734305899E-2</v>
      </c>
      <c r="CG79" s="56">
        <v>1.89465197527545E-2</v>
      </c>
      <c r="CH79" s="56">
        <v>4.7474614268758798E-3</v>
      </c>
      <c r="CI79" s="56">
        <v>6.2781642385265598E-3</v>
      </c>
      <c r="CJ79" s="56">
        <v>9.5432707984608508E-3</v>
      </c>
      <c r="CK79" s="56">
        <v>1.1391042204995899E-2</v>
      </c>
      <c r="CL79" s="56">
        <v>9.4104622197619392E-3</v>
      </c>
      <c r="CM79" s="56">
        <v>1.3604437788698799E-2</v>
      </c>
      <c r="CN79" s="56">
        <v>8.5525220575994893E-3</v>
      </c>
      <c r="CO79" s="56">
        <v>7.3245713578311599E-3</v>
      </c>
      <c r="CP79" s="56">
        <v>5.46884601204356E-3</v>
      </c>
      <c r="CQ79" s="56">
        <v>5.90763714885201E-3</v>
      </c>
      <c r="CR79" s="56">
        <v>3.2604953522752402E-3</v>
      </c>
      <c r="CS79" s="56">
        <v>5.1069842551474398E-3</v>
      </c>
      <c r="CT79" s="56">
        <v>8.3746711385135307E-3</v>
      </c>
      <c r="CU79" s="56">
        <v>5.8155745867356501E-3</v>
      </c>
      <c r="CV79" s="56">
        <v>8.7323274325767902E-3</v>
      </c>
      <c r="CW79" s="56">
        <v>8.5389553029857606E-3</v>
      </c>
      <c r="CX79" s="56">
        <v>4.5934057378644901E-3</v>
      </c>
      <c r="CY79" s="56">
        <v>7.69171155112969E-3</v>
      </c>
      <c r="CZ79" s="56">
        <v>3.78766030262812E-3</v>
      </c>
      <c r="DA79" s="56">
        <v>3.3902850137910198E-3</v>
      </c>
      <c r="DB79" s="56">
        <v>1.1014603417008899E-2</v>
      </c>
      <c r="DC79" s="56">
        <v>1.41610966353234E-3</v>
      </c>
      <c r="DD79" s="56">
        <v>6.6180213812998502E-3</v>
      </c>
      <c r="DE79" s="56">
        <v>8.1104368022777394E-3</v>
      </c>
      <c r="DF79" s="56">
        <v>6.8560599022686698E-3</v>
      </c>
      <c r="DG79" s="56">
        <v>2.3989665990036299E-3</v>
      </c>
      <c r="DH79" s="56">
        <v>4.7680412371133903E-3</v>
      </c>
      <c r="DI79" s="56">
        <v>8.1716411073855504E-3</v>
      </c>
      <c r="DJ79" s="56">
        <v>1.58109950022722E-3</v>
      </c>
      <c r="DK79" s="56">
        <v>5.3164465089272604E-3</v>
      </c>
      <c r="DL79" s="56">
        <v>7.7971302229040704E-3</v>
      </c>
      <c r="DM79" s="56">
        <v>9.0083636298512494E-3</v>
      </c>
      <c r="DN79" s="56">
        <v>8.5374511892082304E-3</v>
      </c>
      <c r="DO79" s="56">
        <v>1.49944562749689E-2</v>
      </c>
      <c r="DP79" s="56">
        <v>1.3853969795224699E-2</v>
      </c>
      <c r="DQ79" s="56">
        <v>1.21938705705296E-2</v>
      </c>
      <c r="DR79" s="56">
        <v>1.39562389118866E-2</v>
      </c>
      <c r="DS79" s="56">
        <v>1.04480845178383E-2</v>
      </c>
      <c r="DT79" s="56">
        <v>1.17418120650419E-2</v>
      </c>
      <c r="DU79" s="56">
        <v>1.4083129584352001E-2</v>
      </c>
      <c r="DV79" s="56">
        <v>1.3357122191146801E-2</v>
      </c>
      <c r="DW79" s="56">
        <v>4.2192085018637497E-3</v>
      </c>
      <c r="DX79" s="56">
        <v>2.4798218319093102E-3</v>
      </c>
      <c r="DY79" s="56">
        <v>1.1029180059241E-3</v>
      </c>
      <c r="DZ79" s="56">
        <v>6.2482294060248701E-3</v>
      </c>
      <c r="EA79" s="56">
        <v>9.8850394932352703E-3</v>
      </c>
      <c r="EB79" s="56">
        <v>8.2549909396441006E-3</v>
      </c>
      <c r="EC79" s="56">
        <v>1.0061443932411601E-2</v>
      </c>
      <c r="ED79" s="56">
        <v>1.5725039920918601E-2</v>
      </c>
      <c r="EE79" s="56">
        <v>7.0370869454539097E-4</v>
      </c>
      <c r="EF79" s="56">
        <v>7.9148961637440802E-3</v>
      </c>
      <c r="EG79" s="56">
        <v>9.1293698508128109E-3</v>
      </c>
      <c r="EH79" s="56">
        <v>1.42247719917623E-2</v>
      </c>
      <c r="EI79" s="56">
        <v>1.3387094434855799E-2</v>
      </c>
      <c r="EJ79" s="56">
        <v>1.3582367253470701E-2</v>
      </c>
      <c r="EK79" s="56">
        <v>1.5730241884240201E-2</v>
      </c>
      <c r="EL79" s="56">
        <v>9.2030083549969905E-3</v>
      </c>
      <c r="EM79" s="56">
        <v>1.14195192506372E-2</v>
      </c>
      <c r="EN79" s="56">
        <v>1.45456526476355E-2</v>
      </c>
      <c r="EO79" s="56">
        <v>1.69011437469795E-2</v>
      </c>
      <c r="EP79" s="56">
        <v>7.3794405354383804E-3</v>
      </c>
      <c r="EQ79" s="56">
        <v>1.3851395623116301E-2</v>
      </c>
      <c r="ER79" s="56">
        <v>9.2545917510049609E-3</v>
      </c>
      <c r="ES79" s="56">
        <v>7.4664139441362699E-3</v>
      </c>
      <c r="ET79" s="56">
        <v>1.7656929296011099E-2</v>
      </c>
      <c r="EU79" s="56">
        <v>1.09174942227219E-2</v>
      </c>
      <c r="EV79" s="56">
        <v>1.1256780634877599E-2</v>
      </c>
      <c r="EW79" s="56">
        <v>1.49560117302052E-2</v>
      </c>
      <c r="EX79" s="56">
        <v>1.77333140710778E-2</v>
      </c>
      <c r="EY79" s="56">
        <v>1.5543489832854101E-2</v>
      </c>
      <c r="EZ79" s="56">
        <v>1.36632071845406E-2</v>
      </c>
      <c r="FA79" s="56">
        <v>-1.92360728075015E-2</v>
      </c>
      <c r="FB79" s="56">
        <v>-1.7469244288224901E-2</v>
      </c>
      <c r="FC79" s="56">
        <v>5.0680308613268998E-3</v>
      </c>
      <c r="FD79" s="56">
        <v>8.6849224052014708E-3</v>
      </c>
      <c r="FE79" s="56">
        <v>9.1276936106143795E-3</v>
      </c>
      <c r="FF79" s="56">
        <v>1.16094740768369E-2</v>
      </c>
      <c r="FG79" s="56">
        <v>7.2705904042034098E-3</v>
      </c>
      <c r="FH79" s="56">
        <v>5.7538978940505602E-3</v>
      </c>
      <c r="FI79" s="56">
        <v>9.3150747253247807E-3</v>
      </c>
      <c r="FJ79" s="56">
        <v>1.11109859027958E-2</v>
      </c>
      <c r="FK79" s="56">
        <v>1.26160464520155E-2</v>
      </c>
      <c r="FL79" s="56">
        <v>3.7310558117522601E-3</v>
      </c>
      <c r="FM79" s="56">
        <v>-3.62946555845511E-3</v>
      </c>
      <c r="FN79" s="56">
        <v>1.32061144309814E-2</v>
      </c>
      <c r="FO79" s="56">
        <v>-1.6075249546525501E-3</v>
      </c>
      <c r="FP79" s="56">
        <v>6.0705621253496203E-3</v>
      </c>
      <c r="FQ79" s="56">
        <v>1.4522529926360101E-2</v>
      </c>
      <c r="FR79" s="56">
        <v>1.29929652526115E-2</v>
      </c>
      <c r="FS79" s="56">
        <v>5.1452561579983201E-3</v>
      </c>
      <c r="FT79" s="56">
        <v>8.4582530776315893E-3</v>
      </c>
      <c r="FU79" s="56">
        <v>5.43929579804026E-3</v>
      </c>
      <c r="FV79" s="56">
        <v>8.4967995044393802E-3</v>
      </c>
      <c r="FW79" s="56">
        <v>2.8357032441672599E-3</v>
      </c>
      <c r="FX79" s="56">
        <v>5.45120457329529E-3</v>
      </c>
      <c r="FY79" s="56">
        <v>-1.41125347736915E-3</v>
      </c>
      <c r="FZ79" s="56">
        <v>-1.1061969396573701E-2</v>
      </c>
      <c r="GA79" s="56">
        <v>6.7237603709378001E-3</v>
      </c>
      <c r="GB79" s="56">
        <v>1.6339702413170599E-4</v>
      </c>
      <c r="GC79" s="56">
        <v>-4.5641585917477502E-3</v>
      </c>
      <c r="GD79" s="56">
        <v>-9.2419735357471798E-3</v>
      </c>
      <c r="GE79" s="56">
        <v>7.4646181242170604E-3</v>
      </c>
      <c r="GF79" s="56">
        <v>3.68924057136977E-3</v>
      </c>
      <c r="GG79" s="56">
        <v>4.8940810287809696E-3</v>
      </c>
      <c r="GH79" s="56">
        <v>9.8627568850804294E-3</v>
      </c>
      <c r="GI79" s="56">
        <v>1.0391968924987601E-3</v>
      </c>
      <c r="GJ79" s="56">
        <v>8.9701465459897101E-3</v>
      </c>
      <c r="GK79" s="56">
        <v>1.44943461062053E-2</v>
      </c>
      <c r="GL79" s="56">
        <v>1.37457044673539E-2</v>
      </c>
      <c r="GM79" s="56">
        <v>9.5964256228449098E-3</v>
      </c>
      <c r="GN79" s="56">
        <v>9.5148302434988601E-3</v>
      </c>
      <c r="GO79" s="56">
        <v>3.0686539854383201E-3</v>
      </c>
      <c r="GP79" s="56">
        <v>-6.8215934786326499E-3</v>
      </c>
      <c r="GQ79" s="56">
        <v>6.8206168209994401E-3</v>
      </c>
      <c r="GR79" s="56">
        <v>3.8385162804397402E-3</v>
      </c>
      <c r="GS79" s="56">
        <v>6.7579718512489296E-3</v>
      </c>
      <c r="GT79" s="56">
        <v>1.52866960617484E-2</v>
      </c>
      <c r="GU79" s="56">
        <v>-7.7782819256788595E-4</v>
      </c>
      <c r="GV79" s="56">
        <v>1.24734730189324E-2</v>
      </c>
      <c r="GW79" s="56">
        <v>1.38391835613931E-2</v>
      </c>
      <c r="GX79" s="56">
        <v>2.3797701481488302E-2</v>
      </c>
      <c r="GY79" s="56">
        <v>1.8950115958131598E-2</v>
      </c>
      <c r="GZ79" s="56">
        <v>1.4902381611742E-2</v>
      </c>
      <c r="HA79" s="56">
        <v>1.7719187543701099E-2</v>
      </c>
      <c r="HB79" s="56">
        <v>2.17926804745627E-2</v>
      </c>
      <c r="HC79">
        <v>3.4136101612916497E-2</v>
      </c>
      <c r="HD79">
        <v>-2.9496653874211401E-3</v>
      </c>
      <c r="HE79">
        <v>5.4873393561516404E-4</v>
      </c>
      <c r="HF79">
        <v>-9.0213253002472404E-3</v>
      </c>
      <c r="HG79">
        <v>-1.15176695166749E-2</v>
      </c>
      <c r="HH79">
        <v>1.1822268382531999E-2</v>
      </c>
      <c r="HI79">
        <v>-1.0665682964577899E-3</v>
      </c>
      <c r="HJ79">
        <v>1.03800394971341E-2</v>
      </c>
      <c r="HK79">
        <v>4.8308027236829698E-3</v>
      </c>
      <c r="HL79">
        <v>5.4243399463891296E-3</v>
      </c>
      <c r="HM79">
        <v>4.7344537682947304E-3</v>
      </c>
      <c r="HN79">
        <v>1.1741223435481901E-2</v>
      </c>
    </row>
    <row r="80" spans="1:222" x14ac:dyDescent="0.25">
      <c r="A80" s="56" t="s">
        <v>2285</v>
      </c>
      <c r="B80" s="56">
        <v>2.51540041067762E-2</v>
      </c>
      <c r="C80" s="56">
        <v>2.51540041067762E-2</v>
      </c>
      <c r="D80" s="56">
        <v>1.93415122684026E-2</v>
      </c>
      <c r="E80" s="56">
        <v>2.5422167638931702E-2</v>
      </c>
      <c r="F80" s="56">
        <v>1.6827354931432802E-2</v>
      </c>
      <c r="G80" s="56">
        <v>1.5959952885747902E-2</v>
      </c>
      <c r="H80" s="56">
        <v>1.0897918961219499E-2</v>
      </c>
      <c r="I80" s="56">
        <v>1.73175067377715E-2</v>
      </c>
      <c r="J80" s="56">
        <v>1.2795220111605899E-2</v>
      </c>
      <c r="K80" s="56">
        <v>7.0124666073019303E-3</v>
      </c>
      <c r="L80" s="56">
        <v>1.38720017685419E-2</v>
      </c>
      <c r="M80" s="56">
        <v>1.8697192695557498E-2</v>
      </c>
      <c r="N80" s="56">
        <v>1.92636986301369E-2</v>
      </c>
      <c r="O80" s="56">
        <v>2.1052078958421001E-2</v>
      </c>
      <c r="P80" s="56">
        <v>2.0360944007403702E-2</v>
      </c>
      <c r="Q80" s="56">
        <v>2.68581506676746E-2</v>
      </c>
      <c r="R80" s="56">
        <v>4.6373540092256499E-2</v>
      </c>
      <c r="S80" s="56">
        <v>6.2842939548843901E-2</v>
      </c>
      <c r="T80" s="56">
        <v>6.3892688523143407E-2</v>
      </c>
      <c r="U80" s="56">
        <v>4.1557795197212803E-2</v>
      </c>
      <c r="V80" s="56">
        <v>2.13037072432605E-2</v>
      </c>
      <c r="W80" s="56">
        <v>4.9126637554586204E-3</v>
      </c>
      <c r="X80" s="56">
        <v>3.18150073717693E-3</v>
      </c>
      <c r="Y80" s="56">
        <v>6.0720915841583302E-3</v>
      </c>
      <c r="Z80" s="56">
        <v>4.9206166147695001E-3</v>
      </c>
      <c r="AA80" s="56">
        <v>8.5689147316476699E-3</v>
      </c>
      <c r="AB80" s="56">
        <v>2.1998862127821099E-3</v>
      </c>
      <c r="AC80" s="56">
        <v>6.7744010899595296E-3</v>
      </c>
      <c r="AD80" s="56">
        <v>1.29313585444704E-2</v>
      </c>
      <c r="AE80" s="56">
        <v>9.8715950419356897E-3</v>
      </c>
      <c r="AF80" s="56">
        <v>1.3449948552109301E-2</v>
      </c>
      <c r="AG80" s="56">
        <v>1.0696932337370501E-2</v>
      </c>
      <c r="AH80" s="56">
        <v>1.24134467046964E-2</v>
      </c>
      <c r="AI80" s="56">
        <v>1.9632162727240401E-2</v>
      </c>
      <c r="AJ80" s="56">
        <v>1.9149897473325701E-2</v>
      </c>
      <c r="AK80" s="56">
        <v>1.7869322057018099E-2</v>
      </c>
      <c r="AL80" s="56">
        <v>2.0604395604395798E-2</v>
      </c>
      <c r="AM80" s="56">
        <v>2.71476873584349E-2</v>
      </c>
      <c r="AN80" s="56">
        <v>2.9210610418664198E-2</v>
      </c>
      <c r="AO80" s="56">
        <v>2.8381567507141901E-2</v>
      </c>
      <c r="AP80" s="56">
        <v>2.7296334319705198E-2</v>
      </c>
      <c r="AQ80" s="56">
        <v>2.8716712715302101E-2</v>
      </c>
      <c r="AR80" s="56">
        <v>3.2858081659475902E-2</v>
      </c>
      <c r="AS80" s="56">
        <v>2.9599712301861598E-2</v>
      </c>
      <c r="AT80" s="56">
        <v>2.83188693946641E-2</v>
      </c>
      <c r="AU80" s="56">
        <v>2.3907193060382002E-2</v>
      </c>
      <c r="AV80" s="56">
        <v>2.0490966622435301E-2</v>
      </c>
      <c r="AW80" s="56">
        <v>1.7804005901327798E-2</v>
      </c>
      <c r="AX80" s="56">
        <v>1.4028449991401201E-2</v>
      </c>
      <c r="AY80" s="56">
        <v>1.6741774482725201E-2</v>
      </c>
      <c r="AZ80" s="56">
        <v>1.17955439056356E-2</v>
      </c>
      <c r="BA80" s="56">
        <v>2.5435704192180398E-3</v>
      </c>
      <c r="BB80" s="56">
        <v>9.1618116895331202E-4</v>
      </c>
      <c r="BC80" s="56">
        <v>-1.33780834135244E-3</v>
      </c>
      <c r="BD80" s="56">
        <v>5.6404230317275204E-4</v>
      </c>
      <c r="BE80" s="56">
        <v>-2.8186216939918301E-4</v>
      </c>
      <c r="BF80" s="56">
        <v>1.08077627931014E-3</v>
      </c>
      <c r="BG80" s="56">
        <v>3.5439354111903602E-3</v>
      </c>
      <c r="BH80" s="56">
        <v>3.2273907247597502E-3</v>
      </c>
      <c r="BI80" s="56">
        <v>2.0281138541158299E-3</v>
      </c>
      <c r="BJ80" s="56">
        <v>5.5602084496555503E-3</v>
      </c>
      <c r="BK80" s="56">
        <v>3.1002012817249501E-3</v>
      </c>
      <c r="BL80" s="56">
        <v>4.0823857739233898E-3</v>
      </c>
      <c r="BM80" s="56">
        <v>5.9723434556897496E-3</v>
      </c>
      <c r="BN80" s="56">
        <v>6.2108964698361904E-3</v>
      </c>
      <c r="BO80" s="56">
        <v>1.0302727726591901E-2</v>
      </c>
      <c r="BP80" s="56">
        <v>9.0970350404311305E-3</v>
      </c>
      <c r="BQ80" s="56">
        <v>1.0818030050083499E-2</v>
      </c>
      <c r="BR80" s="56">
        <v>6.4081389971593098E-3</v>
      </c>
      <c r="BS80" s="56">
        <v>8.4241389873529506E-3</v>
      </c>
      <c r="BT80" s="56">
        <v>8.8962180224356792E-3</v>
      </c>
      <c r="BU80" s="56">
        <v>5.2906639138008398E-3</v>
      </c>
      <c r="BV80" s="56">
        <v>8.0439851956442005E-3</v>
      </c>
      <c r="BW80" s="56">
        <v>5.5179439292005698E-3</v>
      </c>
      <c r="BX80" s="56">
        <v>6.4585575888052001E-3</v>
      </c>
      <c r="BY80" s="56">
        <v>5.2637097619796496E-3</v>
      </c>
      <c r="BZ80" s="56">
        <v>4.8397863818423498E-3</v>
      </c>
      <c r="CA80" s="56">
        <v>8.1174223550903903E-3</v>
      </c>
      <c r="CB80" s="56">
        <v>7.4136617310900403E-3</v>
      </c>
      <c r="CC80" s="56">
        <v>5.5397698235859502E-3</v>
      </c>
      <c r="CD80" s="56">
        <v>7.1965846716812703E-3</v>
      </c>
      <c r="CE80" s="56">
        <v>8.8204424350073508E-3</v>
      </c>
      <c r="CF80" s="56">
        <v>9.7036874012124096E-3</v>
      </c>
      <c r="CG80" s="56">
        <v>2.6750683628580202E-3</v>
      </c>
      <c r="CH80" s="56">
        <v>1.95648307345708E-3</v>
      </c>
      <c r="CI80" s="56">
        <v>5.14792899408278E-3</v>
      </c>
      <c r="CJ80" s="56">
        <v>2.6687074429465598E-3</v>
      </c>
      <c r="CK80" s="56">
        <v>-2.5050394348005199E-3</v>
      </c>
      <c r="CL80" s="56">
        <v>-2.6094292609233302E-3</v>
      </c>
      <c r="CM80" s="56">
        <v>4.7210638130459302E-3</v>
      </c>
      <c r="CN80" s="56">
        <v>2.0557600438562101E-3</v>
      </c>
      <c r="CO80" s="56">
        <v>4.5524706434028096E-3</v>
      </c>
      <c r="CP80" s="56">
        <v>7.42988291126934E-3</v>
      </c>
      <c r="CQ80" s="56">
        <v>5.8305660668778198E-3</v>
      </c>
      <c r="CR80" s="56">
        <v>1.0173135245115099E-3</v>
      </c>
      <c r="CS80" s="56">
        <v>4.6787214051504699E-3</v>
      </c>
      <c r="CT80" s="56">
        <v>7.29077202023087E-3</v>
      </c>
      <c r="CU80" s="56">
        <v>4.3390113117456296E-3</v>
      </c>
      <c r="CV80" s="56">
        <v>8.7537259932837196E-3</v>
      </c>
      <c r="CW80" s="56">
        <v>8.3224237890406894E-3</v>
      </c>
      <c r="CX80" s="56">
        <v>9.9786701289066304E-3</v>
      </c>
      <c r="CY80" s="56">
        <v>7.1621398270067501E-3</v>
      </c>
      <c r="CZ80" s="56">
        <v>5.5066280108673196E-3</v>
      </c>
      <c r="DA80" s="56">
        <v>5.7666152869706401E-3</v>
      </c>
      <c r="DB80" s="56">
        <v>5.3729513369273896E-3</v>
      </c>
      <c r="DC80" s="56">
        <v>1.09395455605177E-3</v>
      </c>
      <c r="DD80" s="56">
        <v>4.9801153667012902E-3</v>
      </c>
      <c r="DE80" s="56">
        <v>3.2263814616755298E-3</v>
      </c>
      <c r="DF80" s="56">
        <v>5.6502194346226301E-3</v>
      </c>
      <c r="DG80" s="56">
        <v>6.8199084789484204E-3</v>
      </c>
      <c r="DH80" s="56">
        <v>2.5445292620864799E-3</v>
      </c>
      <c r="DI80" s="56">
        <v>6.4239453877121804E-3</v>
      </c>
      <c r="DJ80" s="56">
        <v>3.47844235351502E-4</v>
      </c>
      <c r="DK80" s="56">
        <v>6.0851574317144497E-4</v>
      </c>
      <c r="DL80" s="56">
        <v>6.1857103141507198E-3</v>
      </c>
      <c r="DM80" s="56">
        <v>5.6296193962837001E-3</v>
      </c>
      <c r="DN80" s="56">
        <v>4.0182711130953798E-3</v>
      </c>
      <c r="DO80" s="56">
        <v>7.4057604159540897E-3</v>
      </c>
      <c r="DP80" s="56">
        <v>4.2274324714350903E-3</v>
      </c>
      <c r="DQ80" s="56">
        <v>8.5207100591717707E-3</v>
      </c>
      <c r="DR80" s="56">
        <v>7.9122942300600095E-3</v>
      </c>
      <c r="DS80" s="56">
        <v>1.1392741908658599E-2</v>
      </c>
      <c r="DT80" s="56">
        <v>6.5448685270756996E-3</v>
      </c>
      <c r="DU80" s="56">
        <v>5.8814880164681496E-3</v>
      </c>
      <c r="DV80" s="56">
        <v>6.1719371761761498E-3</v>
      </c>
      <c r="DW80" s="56">
        <v>2.5666273870441599E-3</v>
      </c>
      <c r="DX80" s="56">
        <v>3.1396921491595501E-3</v>
      </c>
      <c r="DY80" s="56">
        <v>5.37694814053902E-3</v>
      </c>
      <c r="DZ80" s="56">
        <v>4.3903062039016803E-3</v>
      </c>
      <c r="EA80" s="56">
        <v>5.4360783939726397E-3</v>
      </c>
      <c r="EB80" s="56">
        <v>3.0669512291516799E-3</v>
      </c>
      <c r="EC80" s="56">
        <v>1.73367586565587E-3</v>
      </c>
      <c r="ED80" s="56">
        <v>8.2915086769772602E-3</v>
      </c>
      <c r="EE80" s="56">
        <v>1.04547014948664E-3</v>
      </c>
      <c r="EF80" s="56">
        <v>1.26260658114186E-3</v>
      </c>
      <c r="EG80" s="56">
        <v>2.7711180994489698E-3</v>
      </c>
      <c r="EH80" s="56">
        <v>6.5049990684964403E-3</v>
      </c>
      <c r="EI80" s="56">
        <v>1.8370841109962802E-2</v>
      </c>
      <c r="EJ80" s="56">
        <v>2.6930417133682601E-2</v>
      </c>
      <c r="EK80" s="56">
        <v>2.40117994100295E-2</v>
      </c>
      <c r="EL80" s="56">
        <v>8.4548020971366693E-3</v>
      </c>
      <c r="EM80" s="56">
        <v>1.8810254945368799E-2</v>
      </c>
      <c r="EN80" s="56">
        <v>2.22761173106041E-2</v>
      </c>
      <c r="EO80" s="56">
        <v>1.3946599744929299E-2</v>
      </c>
      <c r="EP80" s="56">
        <v>6.2079039195002102E-3</v>
      </c>
      <c r="EQ80" s="56">
        <v>2.2043899619608402E-2</v>
      </c>
      <c r="ER80" s="56">
        <v>1.3914278574904199E-2</v>
      </c>
      <c r="ES80" s="56">
        <v>2.3451585705947402E-2</v>
      </c>
      <c r="ET80" s="56">
        <v>2.5233514568520701E-2</v>
      </c>
      <c r="EU80" s="56">
        <v>1.0458130392859699E-2</v>
      </c>
      <c r="EV80" s="56">
        <v>9.6280890628823706E-3</v>
      </c>
      <c r="EW80" s="56">
        <v>1.1765846329080201E-2</v>
      </c>
      <c r="EX80" s="56">
        <v>9.4852571319072893E-3</v>
      </c>
      <c r="EY80" s="56">
        <v>7.6877446909477997E-3</v>
      </c>
      <c r="EZ80" s="56">
        <v>1.29270762203018E-2</v>
      </c>
      <c r="FA80" s="56">
        <v>1.8317913431586699E-2</v>
      </c>
      <c r="FB80" s="56">
        <v>6.2434369721045E-3</v>
      </c>
      <c r="FC80" s="56">
        <v>-8.7795914200479198E-3</v>
      </c>
      <c r="FD80" s="56">
        <v>-9.0175659438119799E-3</v>
      </c>
      <c r="FE80" s="56">
        <v>-7.7369885792799597E-4</v>
      </c>
      <c r="FF80" s="56">
        <v>2.8313879579338098E-3</v>
      </c>
      <c r="FG80" s="56">
        <v>4.3560933448574301E-3</v>
      </c>
      <c r="FH80" s="56">
        <v>3.1438963661607499E-3</v>
      </c>
      <c r="FI80" s="56">
        <v>4.4951788349134603E-3</v>
      </c>
      <c r="FJ80" s="56">
        <v>6.0350717376451701E-3</v>
      </c>
      <c r="FK80" s="56">
        <v>1.01075268817203E-2</v>
      </c>
      <c r="FL80" s="56">
        <v>1.1306208890333101E-2</v>
      </c>
      <c r="FM80" s="56">
        <v>9.3959136639631992E-3</v>
      </c>
      <c r="FN80" s="56">
        <v>7.44237102085643E-3</v>
      </c>
      <c r="FO80" s="56">
        <v>7.8341214670181198E-3</v>
      </c>
      <c r="FP80" s="56">
        <v>5.4596365287522498E-3</v>
      </c>
      <c r="FQ80" s="56">
        <v>1.9461947054904001E-3</v>
      </c>
      <c r="FR80" s="56">
        <v>3.9599497762468098E-3</v>
      </c>
      <c r="FS80" s="56">
        <v>4.9598084487771903E-3</v>
      </c>
      <c r="FT80" s="56">
        <v>5.3501531654187601E-3</v>
      </c>
      <c r="FU80" s="56">
        <v>7.4376580370083501E-3</v>
      </c>
      <c r="FV80" s="56">
        <v>5.5554388691689801E-3</v>
      </c>
      <c r="FW80" s="56">
        <v>4.4281521864000303E-3</v>
      </c>
      <c r="FX80" s="56">
        <v>4.6269820639459596E-3</v>
      </c>
      <c r="FY80" s="56">
        <v>1.64562202442542E-3</v>
      </c>
      <c r="FZ80" s="56">
        <v>-3.8231434505409101E-4</v>
      </c>
      <c r="GA80" s="56">
        <v>4.1967294453286704E-3</v>
      </c>
      <c r="GB80" s="56">
        <v>2.77926462716693E-3</v>
      </c>
      <c r="GC80" s="56">
        <v>-6.6722782237382805E-4</v>
      </c>
      <c r="GD80" s="56">
        <v>-2.4652553080027899E-3</v>
      </c>
      <c r="GE80" s="56">
        <v>8.0421776693131407E-3</v>
      </c>
      <c r="GF80" s="56">
        <v>6.02692708439712E-4</v>
      </c>
      <c r="GG80" s="56">
        <v>4.7675926209509402E-3</v>
      </c>
      <c r="GH80" s="56">
        <v>6.4011379800852398E-3</v>
      </c>
      <c r="GI80" s="56">
        <v>5.2498738011104197E-3</v>
      </c>
      <c r="GJ80" s="56">
        <v>8.4563623581401792E-3</v>
      </c>
      <c r="GK80" s="56">
        <v>5.5371867904234796E-3</v>
      </c>
      <c r="GL80" s="56">
        <v>9.3395927422550394E-3</v>
      </c>
      <c r="GM80" s="56">
        <v>1.2785665924188699E-2</v>
      </c>
      <c r="GN80" s="56">
        <v>6.61731935590137E-3</v>
      </c>
      <c r="GO80" s="56">
        <v>1.00869130003753E-2</v>
      </c>
      <c r="GP80" s="56">
        <v>3.7734051169659999E-3</v>
      </c>
      <c r="GQ80" s="56">
        <v>1.0508728795056E-2</v>
      </c>
      <c r="GR80" s="56">
        <v>4.3589358184279404E-3</v>
      </c>
      <c r="GS80" s="56">
        <v>1.8987578569289499E-3</v>
      </c>
      <c r="GT80" s="56">
        <v>2.5206553703964701E-3</v>
      </c>
      <c r="GU80" s="56">
        <v>-3.6038552870513202E-3</v>
      </c>
      <c r="GV80" s="56">
        <v>9.8039215686274196E-3</v>
      </c>
      <c r="GW80" s="56">
        <v>5.0441011781909902E-3</v>
      </c>
      <c r="GX80" s="56">
        <v>1.4595918668042E-2</v>
      </c>
      <c r="GY80" s="56">
        <v>2.3135500149758799E-2</v>
      </c>
      <c r="GZ80" s="56">
        <v>2.1601050334439299E-2</v>
      </c>
      <c r="HA80" s="56">
        <v>2.97843888121847E-2</v>
      </c>
      <c r="HB80" s="56">
        <v>2.9732441753590199E-2</v>
      </c>
      <c r="HC80">
        <v>3.29520050443428E-2</v>
      </c>
      <c r="HD80">
        <v>2.3069422313125601E-2</v>
      </c>
      <c r="HE80">
        <v>1.35140370861133E-2</v>
      </c>
      <c r="HF80">
        <v>1.23016934898124E-2</v>
      </c>
      <c r="HG80">
        <v>5.2868493398983097E-4</v>
      </c>
      <c r="HH80">
        <v>1.4644383048749701E-3</v>
      </c>
      <c r="HI80">
        <v>3.0075074622366599E-3</v>
      </c>
      <c r="HJ80">
        <v>5.8992838194293898E-3</v>
      </c>
      <c r="HK80">
        <v>8.29274123658852E-4</v>
      </c>
      <c r="HL80">
        <v>7.94249158349691E-3</v>
      </c>
      <c r="HM80">
        <v>3.1771423493078799E-3</v>
      </c>
      <c r="HN80">
        <v>6.1200685093314401E-3</v>
      </c>
    </row>
    <row r="81" spans="1:222" x14ac:dyDescent="0.25">
      <c r="A81" s="56" t="s">
        <v>2286</v>
      </c>
      <c r="B81" s="56">
        <v>545.1</v>
      </c>
      <c r="C81" s="56">
        <v>549</v>
      </c>
      <c r="D81" s="56">
        <v>555.70000000000005</v>
      </c>
      <c r="E81" s="56">
        <v>556.29999999999995</v>
      </c>
      <c r="F81" s="56">
        <v>570.5</v>
      </c>
      <c r="G81" s="56">
        <v>580.4</v>
      </c>
      <c r="H81" s="56">
        <v>588.79999999999995</v>
      </c>
      <c r="I81" s="56">
        <v>598.4</v>
      </c>
      <c r="J81" s="56">
        <v>618.5</v>
      </c>
      <c r="K81" s="56">
        <v>630.4</v>
      </c>
      <c r="L81" s="56">
        <v>642.29999999999995</v>
      </c>
      <c r="M81" s="56">
        <v>664</v>
      </c>
      <c r="N81" s="56">
        <v>683.4</v>
      </c>
      <c r="O81" s="56">
        <v>700.2</v>
      </c>
      <c r="P81" s="56">
        <v>716.2</v>
      </c>
      <c r="Q81" s="56">
        <v>735.4</v>
      </c>
      <c r="R81" s="56">
        <v>748.2</v>
      </c>
      <c r="S81" s="56">
        <v>765.3</v>
      </c>
      <c r="T81" s="56">
        <v>783.2</v>
      </c>
      <c r="U81" s="56">
        <v>792.5</v>
      </c>
      <c r="V81" s="56">
        <v>792</v>
      </c>
      <c r="W81" s="56">
        <v>800.4</v>
      </c>
      <c r="X81" s="56">
        <v>821.3</v>
      </c>
      <c r="Y81" s="56">
        <v>845.8</v>
      </c>
      <c r="Z81" s="56">
        <v>871.3</v>
      </c>
      <c r="AA81" s="56">
        <v>889.4</v>
      </c>
      <c r="AB81" s="56">
        <v>908.5</v>
      </c>
      <c r="AC81" s="56">
        <v>930</v>
      </c>
      <c r="AD81" s="56">
        <v>950.1</v>
      </c>
      <c r="AE81" s="56">
        <v>981</v>
      </c>
      <c r="AF81" s="56">
        <v>1007.6</v>
      </c>
      <c r="AG81" s="56">
        <v>1038.2</v>
      </c>
      <c r="AH81" s="56">
        <v>1063.9000000000001</v>
      </c>
      <c r="AI81" s="56">
        <v>1106.0999999999999</v>
      </c>
      <c r="AJ81" s="56">
        <v>1138.0999999999999</v>
      </c>
      <c r="AK81" s="56">
        <v>1174.5</v>
      </c>
      <c r="AL81" s="56">
        <v>1208.5999999999999</v>
      </c>
      <c r="AM81" s="56">
        <v>1234.5</v>
      </c>
      <c r="AN81" s="56">
        <v>1269.5</v>
      </c>
      <c r="AO81" s="56">
        <v>1301</v>
      </c>
      <c r="AP81" s="56">
        <v>1333.9</v>
      </c>
      <c r="AQ81" s="56">
        <v>1354</v>
      </c>
      <c r="AR81" s="56">
        <v>1377.4</v>
      </c>
      <c r="AS81" s="56">
        <v>1428.8</v>
      </c>
      <c r="AT81" s="56">
        <v>1467.8</v>
      </c>
      <c r="AU81" s="56">
        <v>1496.8</v>
      </c>
      <c r="AV81" s="56">
        <v>1530.7</v>
      </c>
      <c r="AW81" s="56">
        <v>1550.7</v>
      </c>
      <c r="AX81" s="56">
        <v>1567.7</v>
      </c>
      <c r="AY81" s="56">
        <v>1581.9</v>
      </c>
      <c r="AZ81" s="56">
        <v>1596.6</v>
      </c>
      <c r="BA81" s="56">
        <v>1604.5</v>
      </c>
      <c r="BB81" s="56">
        <v>1622.6</v>
      </c>
      <c r="BC81" s="56">
        <v>1654.8</v>
      </c>
      <c r="BD81" s="56">
        <v>1691.6</v>
      </c>
      <c r="BE81" s="56">
        <v>1741.7</v>
      </c>
      <c r="BF81" s="56">
        <v>1784.2</v>
      </c>
      <c r="BG81" s="56">
        <v>1828.4</v>
      </c>
      <c r="BH81" s="56">
        <v>1867.3</v>
      </c>
      <c r="BI81" s="56">
        <v>1900.7</v>
      </c>
      <c r="BJ81" s="56">
        <v>1932.4</v>
      </c>
      <c r="BK81" s="56">
        <v>1963.8</v>
      </c>
      <c r="BL81" s="56">
        <v>1997.6</v>
      </c>
      <c r="BM81" s="56">
        <v>2037.2</v>
      </c>
      <c r="BN81" s="56">
        <v>2065.5</v>
      </c>
      <c r="BO81" s="56">
        <v>2083.6</v>
      </c>
      <c r="BP81" s="56">
        <v>2113.1</v>
      </c>
      <c r="BQ81" s="56">
        <v>2154.1999999999998</v>
      </c>
      <c r="BR81" s="56">
        <v>2194.3000000000002</v>
      </c>
      <c r="BS81" s="56">
        <v>2231.4</v>
      </c>
      <c r="BT81" s="56">
        <v>2272</v>
      </c>
      <c r="BU81" s="56">
        <v>2332.8000000000002</v>
      </c>
      <c r="BV81" s="56">
        <v>2367.1</v>
      </c>
      <c r="BW81" s="56">
        <v>2422.5</v>
      </c>
      <c r="BX81" s="56">
        <v>2463.6</v>
      </c>
      <c r="BY81" s="56">
        <v>2509.5</v>
      </c>
      <c r="BZ81" s="56">
        <v>2541.9</v>
      </c>
      <c r="CA81" s="56">
        <v>2564.6999999999998</v>
      </c>
      <c r="CB81" s="56">
        <v>2593.5</v>
      </c>
      <c r="CC81" s="56">
        <v>2637.3</v>
      </c>
      <c r="CD81" s="56">
        <v>2686.6</v>
      </c>
      <c r="CE81" s="56">
        <v>2741</v>
      </c>
      <c r="CF81" s="56">
        <v>2771.6</v>
      </c>
      <c r="CG81" s="56">
        <v>2774.8</v>
      </c>
      <c r="CH81" s="56">
        <v>2774.1</v>
      </c>
      <c r="CI81" s="56">
        <v>2802.8</v>
      </c>
      <c r="CJ81" s="56">
        <v>2830.9</v>
      </c>
      <c r="CK81" s="56">
        <v>2861.2</v>
      </c>
      <c r="CL81" s="56">
        <v>2915.9</v>
      </c>
      <c r="CM81" s="56">
        <v>2955</v>
      </c>
      <c r="CN81" s="56">
        <v>2979.4</v>
      </c>
      <c r="CO81" s="56">
        <v>3023.8</v>
      </c>
      <c r="CP81" s="56">
        <v>3019</v>
      </c>
      <c r="CQ81" s="56">
        <v>3069.8</v>
      </c>
      <c r="CR81" s="56">
        <v>3096.9</v>
      </c>
      <c r="CS81" s="56">
        <v>3144.9</v>
      </c>
      <c r="CT81" s="56">
        <v>3156.6</v>
      </c>
      <c r="CU81" s="56">
        <v>3227.4</v>
      </c>
      <c r="CV81" s="56">
        <v>3262.7</v>
      </c>
      <c r="CW81" s="56">
        <v>3315.7</v>
      </c>
      <c r="CX81" s="56">
        <v>3362.1</v>
      </c>
      <c r="CY81" s="56">
        <v>3399.3</v>
      </c>
      <c r="CZ81" s="56">
        <v>3443</v>
      </c>
      <c r="DA81" s="56">
        <v>3484.1</v>
      </c>
      <c r="DB81" s="56">
        <v>3528.3</v>
      </c>
      <c r="DC81" s="56">
        <v>3594</v>
      </c>
      <c r="DD81" s="56">
        <v>3651.3</v>
      </c>
      <c r="DE81" s="56">
        <v>3708.7</v>
      </c>
      <c r="DF81" s="56">
        <v>3780.5</v>
      </c>
      <c r="DG81" s="56">
        <v>3840</v>
      </c>
      <c r="DH81" s="56">
        <v>3907.4</v>
      </c>
      <c r="DI81" s="56">
        <v>3997.1</v>
      </c>
      <c r="DJ81" s="56">
        <v>4079.3</v>
      </c>
      <c r="DK81" s="56">
        <v>4149.8999999999996</v>
      </c>
      <c r="DL81" s="56">
        <v>4222</v>
      </c>
      <c r="DM81" s="56">
        <v>4293.5</v>
      </c>
      <c r="DN81" s="56">
        <v>4372.7</v>
      </c>
      <c r="DO81" s="56">
        <v>4416.8999999999996</v>
      </c>
      <c r="DP81" s="56">
        <v>4480.2</v>
      </c>
      <c r="DQ81" s="56">
        <v>4591</v>
      </c>
      <c r="DR81" s="56">
        <v>4758.7</v>
      </c>
      <c r="DS81" s="56">
        <v>4786.6000000000004</v>
      </c>
      <c r="DT81" s="56">
        <v>4878.8</v>
      </c>
      <c r="DU81" s="56">
        <v>4905.7</v>
      </c>
      <c r="DV81" s="56">
        <v>4987.2</v>
      </c>
      <c r="DW81" s="56">
        <v>4969.3</v>
      </c>
      <c r="DX81" s="56">
        <v>4944.1000000000004</v>
      </c>
      <c r="DY81" s="56">
        <v>4946</v>
      </c>
      <c r="DZ81" s="56">
        <v>4953.8999999999996</v>
      </c>
      <c r="EA81" s="56">
        <v>5006.3999999999996</v>
      </c>
      <c r="EB81" s="56">
        <v>5020.5</v>
      </c>
      <c r="EC81" s="56">
        <v>5035.5</v>
      </c>
      <c r="ED81" s="56">
        <v>5035.7</v>
      </c>
      <c r="EE81" s="56">
        <v>5109.8</v>
      </c>
      <c r="EF81" s="56">
        <v>5177.3999999999996</v>
      </c>
      <c r="EG81" s="56">
        <v>5264.9</v>
      </c>
      <c r="EH81" s="56">
        <v>5284</v>
      </c>
      <c r="EI81" s="56">
        <v>5390.8</v>
      </c>
      <c r="EJ81" s="56">
        <v>5502.5</v>
      </c>
      <c r="EK81" s="56">
        <v>5546.1</v>
      </c>
      <c r="EL81" s="56">
        <v>5586.1</v>
      </c>
      <c r="EM81" s="56">
        <v>5649.4</v>
      </c>
      <c r="EN81" s="56">
        <v>5749.8</v>
      </c>
      <c r="EO81" s="56">
        <v>5826.7</v>
      </c>
      <c r="EP81" s="56">
        <v>5983.1</v>
      </c>
      <c r="EQ81" s="56">
        <v>6024.2</v>
      </c>
      <c r="ER81" s="56">
        <v>6073</v>
      </c>
      <c r="ES81" s="56">
        <v>6193</v>
      </c>
      <c r="ET81" s="56">
        <v>6354.7</v>
      </c>
      <c r="EU81" s="56">
        <v>6381.4</v>
      </c>
      <c r="EV81" s="56">
        <v>6407.7</v>
      </c>
      <c r="EW81" s="56">
        <v>6485.3</v>
      </c>
      <c r="EX81" s="56">
        <v>6552.3</v>
      </c>
      <c r="EY81" s="56">
        <v>6544.1</v>
      </c>
      <c r="EZ81" s="56">
        <v>6558</v>
      </c>
      <c r="FA81" s="56">
        <v>6529.4</v>
      </c>
      <c r="FB81" s="56">
        <v>6234.6</v>
      </c>
      <c r="FC81" s="56">
        <v>6262.8</v>
      </c>
      <c r="FD81" s="56">
        <v>6245.2</v>
      </c>
      <c r="FE81" s="56">
        <v>6286.6</v>
      </c>
      <c r="FF81" s="56">
        <v>6240.2</v>
      </c>
      <c r="FG81" s="56">
        <v>6368.2</v>
      </c>
      <c r="FH81" s="56">
        <v>6430.5</v>
      </c>
      <c r="FI81" s="56">
        <v>6481.4</v>
      </c>
      <c r="FJ81" s="56">
        <v>6584.9</v>
      </c>
      <c r="FK81" s="56">
        <v>6615.9</v>
      </c>
      <c r="FL81" s="56">
        <v>6689.7</v>
      </c>
      <c r="FM81" s="56">
        <v>6645.7</v>
      </c>
      <c r="FN81" s="56">
        <v>6844.2</v>
      </c>
      <c r="FO81" s="56">
        <v>6884.3</v>
      </c>
      <c r="FP81" s="56">
        <v>6914.2</v>
      </c>
      <c r="FQ81" s="56">
        <v>7101.8</v>
      </c>
      <c r="FR81" s="56">
        <v>7052.2</v>
      </c>
      <c r="FS81" s="56">
        <v>7111.5</v>
      </c>
      <c r="FT81" s="56">
        <v>7121.5</v>
      </c>
      <c r="FU81" s="56">
        <v>7205.1</v>
      </c>
      <c r="FV81" s="56">
        <v>7367.7</v>
      </c>
      <c r="FW81" s="56">
        <v>7418.9</v>
      </c>
      <c r="FX81" s="56">
        <v>7512.6</v>
      </c>
      <c r="FY81" s="56">
        <v>7643.9</v>
      </c>
      <c r="FZ81" s="56">
        <v>7755.9</v>
      </c>
      <c r="GA81" s="56">
        <v>7840.7</v>
      </c>
      <c r="GB81" s="56">
        <v>7913.3</v>
      </c>
      <c r="GC81" s="56">
        <v>7968.5</v>
      </c>
      <c r="GD81" s="56">
        <v>8003.5</v>
      </c>
      <c r="GE81" s="56">
        <v>8050.2</v>
      </c>
      <c r="GF81" s="56">
        <v>8130.4</v>
      </c>
      <c r="GG81" s="56">
        <v>8224.9</v>
      </c>
      <c r="GH81" s="56">
        <v>8321.2999999999993</v>
      </c>
      <c r="GI81" s="56">
        <v>8412.7999999999993</v>
      </c>
      <c r="GJ81" s="56">
        <v>8529.1</v>
      </c>
      <c r="GK81" s="56">
        <v>8676.9</v>
      </c>
      <c r="GL81" s="56">
        <v>8772.7000000000007</v>
      </c>
      <c r="GM81" s="56">
        <v>8853.5</v>
      </c>
      <c r="GN81" s="56">
        <v>8979.5</v>
      </c>
      <c r="GO81" s="56">
        <v>9034.7000000000007</v>
      </c>
      <c r="GP81" s="56">
        <v>9233.2999999999993</v>
      </c>
      <c r="GQ81" s="56">
        <v>9285</v>
      </c>
      <c r="GR81" s="56">
        <v>9341</v>
      </c>
      <c r="GS81" s="56">
        <v>9488.7999999999993</v>
      </c>
      <c r="GT81" s="56">
        <v>9636.5</v>
      </c>
      <c r="GU81" s="56">
        <v>9005.2999999999993</v>
      </c>
      <c r="GV81" s="56">
        <v>9441.7999999999993</v>
      </c>
      <c r="GW81" s="56">
        <v>9809.5</v>
      </c>
      <c r="GX81" s="56">
        <v>9889.7999999999993</v>
      </c>
      <c r="GY81" s="56">
        <v>10182.5</v>
      </c>
      <c r="GZ81" s="56">
        <v>10462.799999999999</v>
      </c>
      <c r="HA81" s="56">
        <v>10772</v>
      </c>
      <c r="HB81" s="56">
        <v>10909.7</v>
      </c>
      <c r="HC81">
        <v>11012.9</v>
      </c>
      <c r="HD81">
        <v>11296.3</v>
      </c>
      <c r="HE81">
        <v>11343.1</v>
      </c>
      <c r="HF81">
        <v>11499.3</v>
      </c>
      <c r="HG81">
        <v>11660.4</v>
      </c>
      <c r="HH81">
        <v>11843.5</v>
      </c>
      <c r="HI81">
        <v>11975.4</v>
      </c>
      <c r="HJ81">
        <v>12270.7</v>
      </c>
      <c r="HK81">
        <v>12363.5</v>
      </c>
      <c r="HL81">
        <v>12425.1</v>
      </c>
      <c r="HM81">
        <v>12580.9</v>
      </c>
      <c r="HN81">
        <v>12723</v>
      </c>
    </row>
    <row r="82" spans="1:222" x14ac:dyDescent="0.25">
      <c r="A82" s="56" t="s">
        <v>2287</v>
      </c>
      <c r="B82" s="56">
        <v>77.099999999999994</v>
      </c>
      <c r="C82" s="56">
        <v>76.7</v>
      </c>
      <c r="D82" s="56">
        <v>78.5</v>
      </c>
      <c r="E82" s="56">
        <v>78.900000000000006</v>
      </c>
      <c r="F82" s="56">
        <v>80.3</v>
      </c>
      <c r="G82" s="56">
        <v>82.8</v>
      </c>
      <c r="H82" s="56">
        <v>84.6</v>
      </c>
      <c r="I82" s="56">
        <v>87.9</v>
      </c>
      <c r="J82" s="56">
        <v>87.9</v>
      </c>
      <c r="K82" s="56">
        <v>91.3</v>
      </c>
      <c r="L82" s="56">
        <v>95.5</v>
      </c>
      <c r="M82" s="56">
        <v>105.6</v>
      </c>
      <c r="N82" s="56">
        <v>104.1</v>
      </c>
      <c r="O82" s="56">
        <v>109.9</v>
      </c>
      <c r="P82" s="56">
        <v>113.8</v>
      </c>
      <c r="Q82" s="56">
        <v>122.2</v>
      </c>
      <c r="R82" s="56">
        <v>115.7</v>
      </c>
      <c r="S82" s="56">
        <v>108.6</v>
      </c>
      <c r="T82" s="56">
        <v>111</v>
      </c>
      <c r="U82" s="56">
        <v>113.5</v>
      </c>
      <c r="V82" s="56">
        <v>112.7</v>
      </c>
      <c r="W82" s="56">
        <v>114.3</v>
      </c>
      <c r="X82" s="56">
        <v>120.7</v>
      </c>
      <c r="Y82" s="56">
        <v>125.2</v>
      </c>
      <c r="Z82" s="56">
        <v>126.4</v>
      </c>
      <c r="AA82" s="56">
        <v>128.6</v>
      </c>
      <c r="AB82" s="56">
        <v>132.69999999999999</v>
      </c>
      <c r="AC82" s="56">
        <v>136.19999999999999</v>
      </c>
      <c r="AD82" s="56">
        <v>138.6</v>
      </c>
      <c r="AE82" s="56">
        <v>140.5</v>
      </c>
      <c r="AF82" s="56">
        <v>142.4</v>
      </c>
      <c r="AG82" s="56">
        <v>156.5</v>
      </c>
      <c r="AH82" s="56">
        <v>158.5</v>
      </c>
      <c r="AI82" s="56">
        <v>166.1</v>
      </c>
      <c r="AJ82" s="56">
        <v>168.3</v>
      </c>
      <c r="AK82" s="56">
        <v>170.9</v>
      </c>
      <c r="AL82" s="56">
        <v>180.1</v>
      </c>
      <c r="AM82" s="56">
        <v>179.2</v>
      </c>
      <c r="AN82" s="56">
        <v>180.7</v>
      </c>
      <c r="AO82" s="56">
        <v>177.8</v>
      </c>
      <c r="AP82" s="56">
        <v>167.6</v>
      </c>
      <c r="AQ82" s="56">
        <v>160.30000000000001</v>
      </c>
      <c r="AR82" s="56">
        <v>173.4</v>
      </c>
      <c r="AS82" s="56">
        <v>185</v>
      </c>
      <c r="AT82" s="56">
        <v>188.2</v>
      </c>
      <c r="AU82" s="56">
        <v>176.4</v>
      </c>
      <c r="AV82" s="56">
        <v>182.3</v>
      </c>
      <c r="AW82" s="56">
        <v>171.8</v>
      </c>
      <c r="AX82" s="56">
        <v>165.2</v>
      </c>
      <c r="AY82" s="56">
        <v>169.4</v>
      </c>
      <c r="AZ82" s="56">
        <v>170.7</v>
      </c>
      <c r="BA82" s="56">
        <v>179.5</v>
      </c>
      <c r="BB82" s="56">
        <v>183.3</v>
      </c>
      <c r="BC82" s="56">
        <v>182.6</v>
      </c>
      <c r="BD82" s="56">
        <v>183.8</v>
      </c>
      <c r="BE82" s="56">
        <v>195.3</v>
      </c>
      <c r="BF82" s="56">
        <v>221.9</v>
      </c>
      <c r="BG82" s="56">
        <v>231.8</v>
      </c>
      <c r="BH82" s="56">
        <v>232.4</v>
      </c>
      <c r="BI82" s="56">
        <v>226.9</v>
      </c>
      <c r="BJ82" s="56">
        <v>240.7</v>
      </c>
      <c r="BK82" s="56">
        <v>238.5</v>
      </c>
      <c r="BL82" s="56">
        <v>240.7</v>
      </c>
      <c r="BM82" s="56">
        <v>244.3</v>
      </c>
      <c r="BN82" s="56">
        <v>245.6</v>
      </c>
      <c r="BO82" s="56">
        <v>251.6</v>
      </c>
      <c r="BP82" s="56">
        <v>264.39999999999998</v>
      </c>
      <c r="BQ82" s="56">
        <v>264.2</v>
      </c>
      <c r="BR82" s="56">
        <v>275.39999999999998</v>
      </c>
      <c r="BS82" s="56">
        <v>282.3</v>
      </c>
      <c r="BT82" s="56">
        <v>289.5</v>
      </c>
      <c r="BU82" s="56">
        <v>298.60000000000002</v>
      </c>
      <c r="BV82" s="56">
        <v>319.2</v>
      </c>
      <c r="BW82" s="56">
        <v>322.5</v>
      </c>
      <c r="BX82" s="56">
        <v>333.6</v>
      </c>
      <c r="BY82" s="56">
        <v>326.8</v>
      </c>
      <c r="BZ82" s="56">
        <v>348.1</v>
      </c>
      <c r="CA82" s="56">
        <v>339.5</v>
      </c>
      <c r="CB82" s="56">
        <v>337.2</v>
      </c>
      <c r="CC82" s="56">
        <v>339.7</v>
      </c>
      <c r="CD82" s="56">
        <v>345.6</v>
      </c>
      <c r="CE82" s="56">
        <v>351.1</v>
      </c>
      <c r="CF82" s="56">
        <v>358.9</v>
      </c>
      <c r="CG82" s="56">
        <v>357</v>
      </c>
      <c r="CH82" s="56">
        <v>347.5</v>
      </c>
      <c r="CI82" s="56">
        <v>353</v>
      </c>
      <c r="CJ82" s="56">
        <v>353.6</v>
      </c>
      <c r="CK82" s="56">
        <v>362.6</v>
      </c>
      <c r="CL82" s="56">
        <v>378.7</v>
      </c>
      <c r="CM82" s="56">
        <v>395.2</v>
      </c>
      <c r="CN82" s="56">
        <v>407.9</v>
      </c>
      <c r="CO82" s="56">
        <v>418.8</v>
      </c>
      <c r="CP82" s="56">
        <v>418.9</v>
      </c>
      <c r="CQ82" s="56">
        <v>429.6</v>
      </c>
      <c r="CR82" s="56">
        <v>423.4</v>
      </c>
      <c r="CS82" s="56">
        <v>440</v>
      </c>
      <c r="CT82" s="56">
        <v>450.2</v>
      </c>
      <c r="CU82" s="56">
        <v>454.1</v>
      </c>
      <c r="CV82" s="56">
        <v>456.8</v>
      </c>
      <c r="CW82" s="56">
        <v>465.5</v>
      </c>
      <c r="CX82" s="56">
        <v>467.4</v>
      </c>
      <c r="CY82" s="56">
        <v>472</v>
      </c>
      <c r="CZ82" s="56">
        <v>484.5</v>
      </c>
      <c r="DA82" s="56">
        <v>501</v>
      </c>
      <c r="DB82" s="56">
        <v>523.29999999999995</v>
      </c>
      <c r="DC82" s="56">
        <v>547.5</v>
      </c>
      <c r="DD82" s="56">
        <v>547.5</v>
      </c>
      <c r="DE82" s="56">
        <v>556.79999999999995</v>
      </c>
      <c r="DF82" s="56">
        <v>575.6</v>
      </c>
      <c r="DG82" s="56">
        <v>575.1</v>
      </c>
      <c r="DH82" s="56">
        <v>588.5</v>
      </c>
      <c r="DI82" s="56">
        <v>596.6</v>
      </c>
      <c r="DJ82" s="56">
        <v>617.4</v>
      </c>
      <c r="DK82" s="56">
        <v>630.20000000000005</v>
      </c>
      <c r="DL82" s="56">
        <v>645.4</v>
      </c>
      <c r="DM82" s="56">
        <v>668.1</v>
      </c>
      <c r="DN82" s="56">
        <v>682.4</v>
      </c>
      <c r="DO82" s="56">
        <v>690.2</v>
      </c>
      <c r="DP82" s="56">
        <v>699.5</v>
      </c>
      <c r="DQ82" s="56">
        <v>713.3</v>
      </c>
      <c r="DR82" s="56">
        <v>720.6</v>
      </c>
      <c r="DS82" s="56">
        <v>750.7</v>
      </c>
      <c r="DT82" s="56">
        <v>760.3</v>
      </c>
      <c r="DU82" s="56">
        <v>782.7</v>
      </c>
      <c r="DV82" s="56">
        <v>810</v>
      </c>
      <c r="DW82" s="56">
        <v>827.8</v>
      </c>
      <c r="DX82" s="56">
        <v>845.6</v>
      </c>
      <c r="DY82" s="56">
        <v>840.9</v>
      </c>
      <c r="DZ82" s="56">
        <v>859.7</v>
      </c>
      <c r="EA82" s="56">
        <v>864.4</v>
      </c>
      <c r="EB82" s="56">
        <v>873</v>
      </c>
      <c r="EC82" s="56">
        <v>883.4</v>
      </c>
      <c r="ED82" s="56">
        <v>876.3</v>
      </c>
      <c r="EE82" s="56">
        <v>892.4</v>
      </c>
      <c r="EF82" s="56">
        <v>905.3</v>
      </c>
      <c r="EG82" s="56">
        <v>916.1</v>
      </c>
      <c r="EH82" s="56">
        <v>946.6</v>
      </c>
      <c r="EI82" s="56">
        <v>963</v>
      </c>
      <c r="EJ82" s="56">
        <v>964.2</v>
      </c>
      <c r="EK82" s="56">
        <v>977.8</v>
      </c>
      <c r="EL82" s="56">
        <v>957.1</v>
      </c>
      <c r="EM82" s="56">
        <v>963.9</v>
      </c>
      <c r="EN82" s="56">
        <v>988</v>
      </c>
      <c r="EO82" s="56">
        <v>1007.5</v>
      </c>
      <c r="EP82" s="56">
        <v>1049.5</v>
      </c>
      <c r="EQ82" s="56">
        <v>1052</v>
      </c>
      <c r="ER82" s="56">
        <v>1048.8</v>
      </c>
      <c r="ES82" s="56">
        <v>1053.2</v>
      </c>
      <c r="ET82" s="56">
        <v>1017.2</v>
      </c>
      <c r="EU82" s="56">
        <v>998.5</v>
      </c>
      <c r="EV82" s="56">
        <v>987.1</v>
      </c>
      <c r="EW82" s="56">
        <v>978.8</v>
      </c>
      <c r="EX82" s="56">
        <v>965</v>
      </c>
      <c r="EY82" s="56">
        <v>967.5</v>
      </c>
      <c r="EZ82" s="56">
        <v>957.2</v>
      </c>
      <c r="FA82" s="56">
        <v>951.5</v>
      </c>
      <c r="FB82" s="56">
        <v>913.8</v>
      </c>
      <c r="FC82" s="56">
        <v>902</v>
      </c>
      <c r="FD82" s="56">
        <v>935</v>
      </c>
      <c r="FE82" s="56">
        <v>1001.7</v>
      </c>
      <c r="FF82" s="56">
        <v>1057.0999999999999</v>
      </c>
      <c r="FG82" s="56">
        <v>1103.5</v>
      </c>
      <c r="FH82" s="56">
        <v>1129</v>
      </c>
      <c r="FI82" s="56">
        <v>1144.4000000000001</v>
      </c>
      <c r="FJ82" s="56">
        <v>1181.2</v>
      </c>
      <c r="FK82" s="56">
        <v>1211.9000000000001</v>
      </c>
      <c r="FL82" s="56">
        <v>1252.0999999999999</v>
      </c>
      <c r="FM82" s="56">
        <v>1268.2</v>
      </c>
      <c r="FN82" s="56">
        <v>1297.7</v>
      </c>
      <c r="FO82" s="56">
        <v>1308.7</v>
      </c>
      <c r="FP82" s="56">
        <v>1286.8</v>
      </c>
      <c r="FQ82" s="56">
        <v>1306.5999999999999</v>
      </c>
      <c r="FR82" s="56">
        <v>1339.6</v>
      </c>
      <c r="FS82" s="56">
        <v>1364.1</v>
      </c>
      <c r="FT82" s="56">
        <v>1363.1</v>
      </c>
      <c r="FU82" s="56">
        <v>1340.1</v>
      </c>
      <c r="FV82" s="56">
        <v>1349.4</v>
      </c>
      <c r="FW82" s="56">
        <v>1376.7</v>
      </c>
      <c r="FX82" s="56">
        <v>1381.9</v>
      </c>
      <c r="FY82" s="56">
        <v>1371.7</v>
      </c>
      <c r="FZ82" s="56">
        <v>1356.1</v>
      </c>
      <c r="GA82" s="56">
        <v>1339.9</v>
      </c>
      <c r="GB82" s="56">
        <v>1352.3</v>
      </c>
      <c r="GC82" s="56">
        <v>1342.5</v>
      </c>
      <c r="GD82" s="56">
        <v>1335.9</v>
      </c>
      <c r="GE82" s="56">
        <v>1334</v>
      </c>
      <c r="GF82" s="56">
        <v>1355.9</v>
      </c>
      <c r="GG82" s="56">
        <v>1371.1</v>
      </c>
      <c r="GH82" s="56">
        <v>1409.4</v>
      </c>
      <c r="GI82" s="56">
        <v>1419.7</v>
      </c>
      <c r="GJ82" s="56">
        <v>1423.9</v>
      </c>
      <c r="GK82" s="56">
        <v>1461.5</v>
      </c>
      <c r="GL82" s="56">
        <v>1472.2</v>
      </c>
      <c r="GM82" s="56">
        <v>1479.6</v>
      </c>
      <c r="GN82" s="56">
        <v>1499.9</v>
      </c>
      <c r="GO82" s="56">
        <v>1529.7</v>
      </c>
      <c r="GP82" s="56">
        <v>1534</v>
      </c>
      <c r="GQ82" s="56">
        <v>1535.6</v>
      </c>
      <c r="GR82" s="56">
        <v>1570.9</v>
      </c>
      <c r="GS82" s="56">
        <v>1582.7</v>
      </c>
      <c r="GT82" s="56">
        <v>1577.7</v>
      </c>
      <c r="GU82" s="56">
        <v>1424.4</v>
      </c>
      <c r="GV82" s="56">
        <v>1705.8</v>
      </c>
      <c r="GW82" s="56">
        <v>1668.1</v>
      </c>
      <c r="GX82" s="56">
        <v>1697.5</v>
      </c>
      <c r="GY82" s="56">
        <v>1845.5</v>
      </c>
      <c r="GZ82" s="56">
        <v>1867.1</v>
      </c>
      <c r="HA82" s="56">
        <v>1850.8</v>
      </c>
      <c r="HB82" s="56">
        <v>1833.3</v>
      </c>
      <c r="HC82">
        <v>1850.1</v>
      </c>
      <c r="HD82">
        <v>1895.3</v>
      </c>
      <c r="HE82">
        <v>1915.5</v>
      </c>
      <c r="HF82">
        <v>1934.7</v>
      </c>
      <c r="HG82">
        <v>1936.6</v>
      </c>
      <c r="HH82">
        <v>1954.6</v>
      </c>
      <c r="HI82">
        <v>1970.1</v>
      </c>
      <c r="HJ82">
        <v>1972.1</v>
      </c>
      <c r="HK82">
        <v>2002.3</v>
      </c>
      <c r="HL82">
        <v>2013.5</v>
      </c>
      <c r="HM82">
        <v>2035.5</v>
      </c>
      <c r="HN82">
        <v>2060.5</v>
      </c>
    </row>
    <row r="83" spans="1:222" x14ac:dyDescent="0.25">
      <c r="A83" s="56" t="s">
        <v>2288</v>
      </c>
      <c r="B83" s="56">
        <v>20.399999999999999</v>
      </c>
      <c r="C83" s="56">
        <v>20.2</v>
      </c>
      <c r="D83" s="56">
        <v>20.9</v>
      </c>
      <c r="E83" s="56">
        <v>21.2</v>
      </c>
      <c r="F83" s="56">
        <v>21.1</v>
      </c>
      <c r="G83" s="56">
        <v>21.7</v>
      </c>
      <c r="H83" s="56">
        <v>22</v>
      </c>
      <c r="I83" s="56">
        <v>22.5</v>
      </c>
      <c r="J83" s="56">
        <v>23.1</v>
      </c>
      <c r="K83" s="56">
        <v>20.2</v>
      </c>
      <c r="L83" s="56">
        <v>23.9</v>
      </c>
      <c r="M83" s="56">
        <v>23.8</v>
      </c>
      <c r="N83" s="56">
        <v>23.5</v>
      </c>
      <c r="O83" s="56">
        <v>23.3</v>
      </c>
      <c r="P83" s="56">
        <v>22.3</v>
      </c>
      <c r="Q83" s="56">
        <v>23.3</v>
      </c>
      <c r="R83" s="56">
        <v>23.5</v>
      </c>
      <c r="S83" s="56">
        <v>22.9</v>
      </c>
      <c r="T83" s="56">
        <v>23.3</v>
      </c>
      <c r="U83" s="56">
        <v>23</v>
      </c>
      <c r="V83" s="56">
        <v>22.7</v>
      </c>
      <c r="W83" s="56">
        <v>22.4</v>
      </c>
      <c r="X83" s="56">
        <v>22.2</v>
      </c>
      <c r="Y83" s="56">
        <v>21.9</v>
      </c>
      <c r="Z83" s="56">
        <v>21.6</v>
      </c>
      <c r="AA83" s="56">
        <v>20.5</v>
      </c>
      <c r="AB83" s="56">
        <v>20</v>
      </c>
      <c r="AC83" s="56">
        <v>19.100000000000001</v>
      </c>
      <c r="AD83" s="56">
        <v>16.399999999999999</v>
      </c>
      <c r="AE83" s="56">
        <v>16.3</v>
      </c>
      <c r="AF83" s="56">
        <v>15.6</v>
      </c>
      <c r="AG83" s="56">
        <v>15.1</v>
      </c>
      <c r="AH83" s="56">
        <v>15.9</v>
      </c>
      <c r="AI83" s="56">
        <v>15.6</v>
      </c>
      <c r="AJ83" s="56">
        <v>17.100000000000001</v>
      </c>
      <c r="AK83" s="56">
        <v>17.5</v>
      </c>
      <c r="AL83" s="56">
        <v>17.3</v>
      </c>
      <c r="AM83" s="56">
        <v>15.6</v>
      </c>
      <c r="AN83" s="56">
        <v>15.4</v>
      </c>
      <c r="AO83" s="56">
        <v>16.100000000000001</v>
      </c>
      <c r="AP83" s="56">
        <v>15.8</v>
      </c>
      <c r="AQ83" s="56">
        <v>17.100000000000001</v>
      </c>
      <c r="AR83" s="56">
        <v>19.899999999999999</v>
      </c>
      <c r="AS83" s="56">
        <v>23.2</v>
      </c>
      <c r="AT83" s="56">
        <v>24</v>
      </c>
      <c r="AU83" s="56">
        <v>23.3</v>
      </c>
      <c r="AV83" s="56">
        <v>23.1</v>
      </c>
      <c r="AW83" s="56">
        <v>24.7</v>
      </c>
      <c r="AX83" s="56">
        <v>23.5</v>
      </c>
      <c r="AY83" s="56">
        <v>21.1</v>
      </c>
      <c r="AZ83" s="56">
        <v>24.4</v>
      </c>
      <c r="BA83" s="56">
        <v>26.3</v>
      </c>
      <c r="BB83" s="56">
        <v>25.8</v>
      </c>
      <c r="BC83" s="56">
        <v>24.7</v>
      </c>
      <c r="BD83" s="56">
        <v>23.7</v>
      </c>
      <c r="BE83" s="56">
        <v>23.5</v>
      </c>
      <c r="BF83" s="56">
        <v>23.2</v>
      </c>
      <c r="BG83" s="56">
        <v>21.7</v>
      </c>
      <c r="BH83" s="56">
        <v>24.4</v>
      </c>
      <c r="BI83" s="56">
        <v>29.3</v>
      </c>
      <c r="BJ83" s="56">
        <v>26.9</v>
      </c>
      <c r="BK83" s="56">
        <v>25.3</v>
      </c>
      <c r="BL83" s="56">
        <v>27.1</v>
      </c>
      <c r="BM83" s="56">
        <v>25.6</v>
      </c>
      <c r="BN83" s="56">
        <v>22</v>
      </c>
      <c r="BO83" s="56">
        <v>21.1</v>
      </c>
      <c r="BP83" s="56">
        <v>16.600000000000001</v>
      </c>
      <c r="BQ83" s="56">
        <v>13.4</v>
      </c>
      <c r="BR83" s="56">
        <v>14.5</v>
      </c>
      <c r="BS83" s="56">
        <v>14.1</v>
      </c>
      <c r="BT83" s="56">
        <v>17.5</v>
      </c>
      <c r="BU83" s="56">
        <v>20.3</v>
      </c>
      <c r="BV83" s="56">
        <v>21.1</v>
      </c>
      <c r="BW83" s="56">
        <v>20.3</v>
      </c>
      <c r="BX83" s="56">
        <v>21.2</v>
      </c>
      <c r="BY83" s="56">
        <v>27.4</v>
      </c>
      <c r="BZ83" s="56">
        <v>23.1</v>
      </c>
      <c r="CA83" s="56">
        <v>21.2</v>
      </c>
      <c r="CB83" s="56">
        <v>20</v>
      </c>
      <c r="CC83" s="56">
        <v>21.8</v>
      </c>
      <c r="CD83" s="56">
        <v>23.1</v>
      </c>
      <c r="CE83" s="56">
        <v>26.7</v>
      </c>
      <c r="CF83" s="56">
        <v>31.6</v>
      </c>
      <c r="CG83" s="56">
        <v>31.3</v>
      </c>
      <c r="CH83" s="56">
        <v>33</v>
      </c>
      <c r="CI83" s="56">
        <v>35.5</v>
      </c>
      <c r="CJ83" s="56">
        <v>39.4</v>
      </c>
      <c r="CK83" s="56">
        <v>46.4</v>
      </c>
      <c r="CL83" s="56">
        <v>50</v>
      </c>
      <c r="CM83" s="56">
        <v>57.3</v>
      </c>
      <c r="CN83" s="56">
        <v>64.3</v>
      </c>
      <c r="CO83" s="56">
        <v>70.7</v>
      </c>
      <c r="CP83" s="56">
        <v>80.7</v>
      </c>
      <c r="CQ83" s="56">
        <v>86.9</v>
      </c>
      <c r="CR83" s="56">
        <v>92.5</v>
      </c>
      <c r="CS83" s="56">
        <v>100.2</v>
      </c>
      <c r="CT83" s="56">
        <v>109</v>
      </c>
      <c r="CU83" s="56">
        <v>113.5</v>
      </c>
      <c r="CV83" s="56">
        <v>116.3</v>
      </c>
      <c r="CW83" s="56">
        <v>115.9</v>
      </c>
      <c r="CX83" s="56">
        <v>118.3</v>
      </c>
      <c r="CY83" s="56">
        <v>121.6</v>
      </c>
      <c r="CZ83" s="56">
        <v>125.7</v>
      </c>
      <c r="DA83" s="56">
        <v>134</v>
      </c>
      <c r="DB83" s="56">
        <v>139.5</v>
      </c>
      <c r="DC83" s="56">
        <v>141.6</v>
      </c>
      <c r="DD83" s="56">
        <v>143.69999999999999</v>
      </c>
      <c r="DE83" s="56">
        <v>145.30000000000001</v>
      </c>
      <c r="DF83" s="56">
        <v>144.19999999999999</v>
      </c>
      <c r="DG83" s="56">
        <v>144.6</v>
      </c>
      <c r="DH83" s="56">
        <v>147.4</v>
      </c>
      <c r="DI83" s="56">
        <v>152.1</v>
      </c>
      <c r="DJ83" s="56">
        <v>156.80000000000001</v>
      </c>
      <c r="DK83" s="56">
        <v>162.6</v>
      </c>
      <c r="DL83" s="56">
        <v>168</v>
      </c>
      <c r="DM83" s="56">
        <v>173.4</v>
      </c>
      <c r="DN83" s="56">
        <v>176.1</v>
      </c>
      <c r="DO83" s="56">
        <v>179.6</v>
      </c>
      <c r="DP83" s="56">
        <v>179.4</v>
      </c>
      <c r="DQ83" s="56">
        <v>178.9</v>
      </c>
      <c r="DR83" s="56">
        <v>179.8</v>
      </c>
      <c r="DS83" s="56">
        <v>180.2</v>
      </c>
      <c r="DT83" s="56">
        <v>182.9</v>
      </c>
      <c r="DU83" s="56">
        <v>191</v>
      </c>
      <c r="DV83" s="56">
        <v>197.1</v>
      </c>
      <c r="DW83" s="56">
        <v>202.6</v>
      </c>
      <c r="DX83" s="56">
        <v>204.8</v>
      </c>
      <c r="DY83" s="56">
        <v>205.1</v>
      </c>
      <c r="DZ83" s="56">
        <v>207.3</v>
      </c>
      <c r="EA83" s="56">
        <v>208.9</v>
      </c>
      <c r="EB83" s="56">
        <v>207.7</v>
      </c>
      <c r="EC83" s="56">
        <v>209.9</v>
      </c>
      <c r="ED83" s="56">
        <v>218.7</v>
      </c>
      <c r="EE83" s="56">
        <v>223.2</v>
      </c>
      <c r="EF83" s="56">
        <v>227.5</v>
      </c>
      <c r="EG83" s="56">
        <v>239</v>
      </c>
      <c r="EH83" s="56">
        <v>243</v>
      </c>
      <c r="EI83" s="56">
        <v>243.4</v>
      </c>
      <c r="EJ83" s="56">
        <v>241.8</v>
      </c>
      <c r="EK83" s="56">
        <v>242.9</v>
      </c>
      <c r="EL83" s="56">
        <v>233.7</v>
      </c>
      <c r="EM83" s="56">
        <v>231.2</v>
      </c>
      <c r="EN83" s="56">
        <v>213.6</v>
      </c>
      <c r="EO83" s="56">
        <v>206</v>
      </c>
      <c r="EP83" s="56">
        <v>194.5</v>
      </c>
      <c r="EQ83" s="56">
        <v>183.4</v>
      </c>
      <c r="ER83" s="56">
        <v>177.8</v>
      </c>
      <c r="ES83" s="56">
        <v>168.7</v>
      </c>
      <c r="ET83" s="56">
        <v>162.5</v>
      </c>
      <c r="EU83" s="56">
        <v>180.3</v>
      </c>
      <c r="EV83" s="56">
        <v>193.6</v>
      </c>
      <c r="EW83" s="56">
        <v>208.7</v>
      </c>
      <c r="EX83" s="56">
        <v>249.2</v>
      </c>
      <c r="EY83" s="56">
        <v>281</v>
      </c>
      <c r="EZ83" s="56">
        <v>305.2</v>
      </c>
      <c r="FA83" s="56">
        <v>325.60000000000002</v>
      </c>
      <c r="FB83" s="56">
        <v>326.5</v>
      </c>
      <c r="FC83" s="56">
        <v>335.9</v>
      </c>
      <c r="FD83" s="56">
        <v>355.9</v>
      </c>
      <c r="FE83" s="56">
        <v>372</v>
      </c>
      <c r="FF83" s="56">
        <v>404.9</v>
      </c>
      <c r="FG83" s="56">
        <v>428.9</v>
      </c>
      <c r="FH83" s="56">
        <v>442.6</v>
      </c>
      <c r="FI83" s="56">
        <v>458.3</v>
      </c>
      <c r="FJ83" s="56">
        <v>489.1</v>
      </c>
      <c r="FK83" s="56">
        <v>501.4</v>
      </c>
      <c r="FL83" s="56">
        <v>510.1</v>
      </c>
      <c r="FM83" s="56">
        <v>525.6</v>
      </c>
      <c r="FN83" s="56">
        <v>526.79999999999995</v>
      </c>
      <c r="FO83" s="56">
        <v>532.5</v>
      </c>
      <c r="FP83" s="56">
        <v>536.1</v>
      </c>
      <c r="FQ83" s="56">
        <v>542.6</v>
      </c>
      <c r="FR83" s="56">
        <v>562.29999999999995</v>
      </c>
      <c r="FS83" s="56">
        <v>576.29999999999995</v>
      </c>
      <c r="FT83" s="56">
        <v>588.6</v>
      </c>
      <c r="FU83" s="56">
        <v>587.6</v>
      </c>
      <c r="FV83" s="56">
        <v>595</v>
      </c>
      <c r="FW83" s="56">
        <v>599.1</v>
      </c>
      <c r="FX83" s="56">
        <v>600.29999999999995</v>
      </c>
      <c r="FY83" s="56">
        <v>599.70000000000005</v>
      </c>
      <c r="FZ83" s="56">
        <v>588.79999999999995</v>
      </c>
      <c r="GA83" s="56">
        <v>603.1</v>
      </c>
      <c r="GB83" s="56">
        <v>606.4</v>
      </c>
      <c r="GC83" s="56">
        <v>607.20000000000005</v>
      </c>
      <c r="GD83" s="56">
        <v>612</v>
      </c>
      <c r="GE83" s="56">
        <v>619.1</v>
      </c>
      <c r="GF83" s="56">
        <v>619.9</v>
      </c>
      <c r="GG83" s="56">
        <v>623.9</v>
      </c>
      <c r="GH83" s="56">
        <v>633.9</v>
      </c>
      <c r="GI83" s="56">
        <v>634.29999999999995</v>
      </c>
      <c r="GJ83" s="56">
        <v>643.79999999999995</v>
      </c>
      <c r="GK83" s="56">
        <v>656.2</v>
      </c>
      <c r="GL83" s="56">
        <v>663.5</v>
      </c>
      <c r="GM83" s="56">
        <v>669</v>
      </c>
      <c r="GN83" s="56">
        <v>679.8</v>
      </c>
      <c r="GO83" s="56">
        <v>673.6</v>
      </c>
      <c r="GP83" s="56">
        <v>674.4</v>
      </c>
      <c r="GQ83" s="56">
        <v>682.8</v>
      </c>
      <c r="GR83" s="56">
        <v>690.2</v>
      </c>
      <c r="GS83" s="56">
        <v>706.3</v>
      </c>
      <c r="GT83" s="56">
        <v>729.3</v>
      </c>
      <c r="GU83" s="56">
        <v>731.2</v>
      </c>
      <c r="GV83" s="56">
        <v>744.6</v>
      </c>
      <c r="GW83" s="56">
        <v>747.4</v>
      </c>
      <c r="GX83" s="56">
        <v>745.6</v>
      </c>
      <c r="GY83" s="56">
        <v>761.6</v>
      </c>
      <c r="GZ83" s="56">
        <v>781.2</v>
      </c>
      <c r="HA83" s="56">
        <v>800.7</v>
      </c>
      <c r="HB83" s="56">
        <v>814.3</v>
      </c>
      <c r="HC83">
        <v>858.2</v>
      </c>
      <c r="HD83">
        <v>889.5</v>
      </c>
      <c r="HE83">
        <v>919.1</v>
      </c>
      <c r="HF83">
        <v>963.6</v>
      </c>
      <c r="HG83">
        <v>984.1</v>
      </c>
      <c r="HH83">
        <v>995</v>
      </c>
      <c r="HI83">
        <v>1013.6</v>
      </c>
      <c r="HJ83">
        <v>1046.0999999999999</v>
      </c>
      <c r="HK83">
        <v>1053.4000000000001</v>
      </c>
      <c r="HL83">
        <v>1055.7</v>
      </c>
      <c r="HM83">
        <v>1072.2</v>
      </c>
      <c r="HN83">
        <v>1093.0999999999999</v>
      </c>
    </row>
    <row r="84" spans="1:222" x14ac:dyDescent="0.25">
      <c r="A84" s="56" t="s">
        <v>2289</v>
      </c>
      <c r="B84" s="56">
        <v>109.2</v>
      </c>
      <c r="C84" s="56">
        <v>113.1</v>
      </c>
      <c r="D84" s="56">
        <v>117.5</v>
      </c>
      <c r="E84" s="56">
        <v>120</v>
      </c>
      <c r="F84" s="56">
        <v>122.8</v>
      </c>
      <c r="G84" s="56">
        <v>124.2</v>
      </c>
      <c r="H84" s="56">
        <v>126.1</v>
      </c>
      <c r="I84" s="56">
        <v>127.4</v>
      </c>
      <c r="J84" s="56">
        <v>131</v>
      </c>
      <c r="K84" s="56">
        <v>134.1</v>
      </c>
      <c r="L84" s="56">
        <v>138.4</v>
      </c>
      <c r="M84" s="56">
        <v>142.80000000000001</v>
      </c>
      <c r="N84" s="56">
        <v>146.6</v>
      </c>
      <c r="O84" s="56">
        <v>151.6</v>
      </c>
      <c r="P84" s="56">
        <v>158.80000000000001</v>
      </c>
      <c r="Q84" s="56">
        <v>164.6</v>
      </c>
      <c r="R84" s="56">
        <v>170.5</v>
      </c>
      <c r="S84" s="56">
        <v>177.6</v>
      </c>
      <c r="T84" s="56">
        <v>183.9</v>
      </c>
      <c r="U84" s="56">
        <v>190.4</v>
      </c>
      <c r="V84" s="56">
        <v>196.4</v>
      </c>
      <c r="W84" s="56">
        <v>198.5</v>
      </c>
      <c r="X84" s="56">
        <v>202.5</v>
      </c>
      <c r="Y84" s="56">
        <v>206.5</v>
      </c>
      <c r="Z84" s="56">
        <v>210.5</v>
      </c>
      <c r="AA84" s="56">
        <v>217.1</v>
      </c>
      <c r="AB84" s="56">
        <v>222.8</v>
      </c>
      <c r="AC84" s="56">
        <v>229.7</v>
      </c>
      <c r="AD84" s="56">
        <v>238.8</v>
      </c>
      <c r="AE84" s="56">
        <v>246.6</v>
      </c>
      <c r="AF84" s="56">
        <v>255.4</v>
      </c>
      <c r="AG84" s="56">
        <v>265.5</v>
      </c>
      <c r="AH84" s="56">
        <v>273.3</v>
      </c>
      <c r="AI84" s="56">
        <v>281.3</v>
      </c>
      <c r="AJ84" s="56">
        <v>289.8</v>
      </c>
      <c r="AK84" s="56">
        <v>298.89999999999998</v>
      </c>
      <c r="AL84" s="56">
        <v>308.60000000000002</v>
      </c>
      <c r="AM84" s="56">
        <v>318.60000000000002</v>
      </c>
      <c r="AN84" s="56">
        <v>330.4</v>
      </c>
      <c r="AO84" s="56">
        <v>351</v>
      </c>
      <c r="AP84" s="56">
        <v>378.8</v>
      </c>
      <c r="AQ84" s="56">
        <v>392.5</v>
      </c>
      <c r="AR84" s="56">
        <v>397.7</v>
      </c>
      <c r="AS84" s="56">
        <v>421.8</v>
      </c>
      <c r="AT84" s="56">
        <v>439.6</v>
      </c>
      <c r="AU84" s="56">
        <v>467.3</v>
      </c>
      <c r="AV84" s="56">
        <v>506.4</v>
      </c>
      <c r="AW84" s="56">
        <v>522.4</v>
      </c>
      <c r="AX84" s="56">
        <v>541</v>
      </c>
      <c r="AY84" s="56">
        <v>557.20000000000005</v>
      </c>
      <c r="AZ84" s="56">
        <v>558.79999999999995</v>
      </c>
      <c r="BA84" s="56">
        <v>562.5</v>
      </c>
      <c r="BB84" s="56">
        <v>575.1</v>
      </c>
      <c r="BC84" s="56">
        <v>585.79999999999995</v>
      </c>
      <c r="BD84" s="56">
        <v>610.20000000000005</v>
      </c>
      <c r="BE84" s="56">
        <v>629.79999999999995</v>
      </c>
      <c r="BF84" s="56">
        <v>642.79999999999995</v>
      </c>
      <c r="BG84" s="56">
        <v>667.2</v>
      </c>
      <c r="BH84" s="56">
        <v>693.7</v>
      </c>
      <c r="BI84" s="56">
        <v>703.2</v>
      </c>
      <c r="BJ84" s="56">
        <v>714.7</v>
      </c>
      <c r="BK84" s="56">
        <v>721.2</v>
      </c>
      <c r="BL84" s="56">
        <v>722.7</v>
      </c>
      <c r="BM84" s="56">
        <v>738.6</v>
      </c>
      <c r="BN84" s="56">
        <v>763.4</v>
      </c>
      <c r="BO84" s="56">
        <v>770.6</v>
      </c>
      <c r="BP84" s="56">
        <v>768.1</v>
      </c>
      <c r="BQ84" s="56">
        <v>763</v>
      </c>
      <c r="BR84" s="56">
        <v>758.1</v>
      </c>
      <c r="BS84" s="56">
        <v>764.7</v>
      </c>
      <c r="BT84" s="56">
        <v>780.5</v>
      </c>
      <c r="BU84" s="56">
        <v>801.9</v>
      </c>
      <c r="BV84" s="56">
        <v>816.5</v>
      </c>
      <c r="BW84" s="56">
        <v>830.3</v>
      </c>
      <c r="BX84" s="56">
        <v>859</v>
      </c>
      <c r="BY84" s="56">
        <v>886.3</v>
      </c>
      <c r="BZ84" s="56">
        <v>930.1</v>
      </c>
      <c r="CA84" s="56">
        <v>956.6</v>
      </c>
      <c r="CB84" s="56">
        <v>970.4</v>
      </c>
      <c r="CC84" s="56">
        <v>981.9</v>
      </c>
      <c r="CD84" s="56">
        <v>996.1</v>
      </c>
      <c r="CE84" s="56">
        <v>1001.4</v>
      </c>
      <c r="CF84" s="56">
        <v>1010.4</v>
      </c>
      <c r="CG84" s="56">
        <v>1011.5</v>
      </c>
      <c r="CH84" s="56">
        <v>1009.2</v>
      </c>
      <c r="CI84" s="56">
        <v>1010.5</v>
      </c>
      <c r="CJ84" s="56">
        <v>1012</v>
      </c>
      <c r="CK84" s="56">
        <v>1003.1</v>
      </c>
      <c r="CL84" s="56">
        <v>996.3</v>
      </c>
      <c r="CM84" s="56">
        <v>997.3</v>
      </c>
      <c r="CN84" s="56">
        <v>992.5</v>
      </c>
      <c r="CO84" s="56">
        <v>995.7</v>
      </c>
      <c r="CP84" s="56">
        <v>1002.7</v>
      </c>
      <c r="CQ84" s="56">
        <v>1002.4</v>
      </c>
      <c r="CR84" s="56">
        <v>1001.2</v>
      </c>
      <c r="CS84" s="56">
        <v>1001.5</v>
      </c>
      <c r="CT84" s="56">
        <v>1009.5</v>
      </c>
      <c r="CU84" s="56">
        <v>1029.5</v>
      </c>
      <c r="CV84" s="56">
        <v>1051.5999999999999</v>
      </c>
      <c r="CW84" s="56">
        <v>1084</v>
      </c>
      <c r="CX84" s="56">
        <v>1105.5999999999999</v>
      </c>
      <c r="CY84" s="56">
        <v>1123.3</v>
      </c>
      <c r="CZ84" s="56">
        <v>1136.0999999999999</v>
      </c>
      <c r="DA84" s="56">
        <v>1149.2</v>
      </c>
      <c r="DB84" s="56">
        <v>1160.5</v>
      </c>
      <c r="DC84" s="56">
        <v>1177.3</v>
      </c>
      <c r="DD84" s="56">
        <v>1197.7</v>
      </c>
      <c r="DE84" s="56">
        <v>1219.9000000000001</v>
      </c>
      <c r="DF84" s="56">
        <v>1234.2</v>
      </c>
      <c r="DG84" s="56">
        <v>1255.5</v>
      </c>
      <c r="DH84" s="56">
        <v>1276</v>
      </c>
      <c r="DI84" s="56">
        <v>1300.4000000000001</v>
      </c>
      <c r="DJ84" s="56">
        <v>1335.9</v>
      </c>
      <c r="DK84" s="56">
        <v>1361.9</v>
      </c>
      <c r="DL84" s="56">
        <v>1367.1</v>
      </c>
      <c r="DM84" s="56">
        <v>1345.1</v>
      </c>
      <c r="DN84" s="56">
        <v>1326.7</v>
      </c>
      <c r="DO84" s="56">
        <v>1321</v>
      </c>
      <c r="DP84" s="56">
        <v>1337.2</v>
      </c>
      <c r="DQ84" s="56">
        <v>1359.8</v>
      </c>
      <c r="DR84" s="56">
        <v>1398.1</v>
      </c>
      <c r="DS84" s="56">
        <v>1441.8</v>
      </c>
      <c r="DT84" s="56">
        <v>1478.2</v>
      </c>
      <c r="DU84" s="56">
        <v>1504.5</v>
      </c>
      <c r="DV84" s="56">
        <v>1494.8</v>
      </c>
      <c r="DW84" s="56">
        <v>1486.8</v>
      </c>
      <c r="DX84" s="56">
        <v>1462.4</v>
      </c>
      <c r="DY84" s="56">
        <v>1403.7</v>
      </c>
      <c r="DZ84" s="56">
        <v>1388</v>
      </c>
      <c r="EA84" s="56">
        <v>1398.7</v>
      </c>
      <c r="EB84" s="56">
        <v>1401.3</v>
      </c>
      <c r="EC84" s="56">
        <v>1422.5</v>
      </c>
      <c r="ED84" s="56">
        <v>1437.6</v>
      </c>
      <c r="EE84" s="56">
        <v>1419.2</v>
      </c>
      <c r="EF84" s="56">
        <v>1434</v>
      </c>
      <c r="EG84" s="56">
        <v>1451.5</v>
      </c>
      <c r="EH84" s="56">
        <v>1452.2</v>
      </c>
      <c r="EI84" s="56">
        <v>1467.5</v>
      </c>
      <c r="EJ84" s="56">
        <v>1477.8</v>
      </c>
      <c r="EK84" s="56">
        <v>1597.3</v>
      </c>
      <c r="EL84" s="56">
        <v>1545.5</v>
      </c>
      <c r="EM84" s="56">
        <v>1611.1</v>
      </c>
      <c r="EN84" s="56">
        <v>1648.9</v>
      </c>
      <c r="EO84" s="56">
        <v>1740</v>
      </c>
      <c r="EP84" s="56">
        <v>1805.5</v>
      </c>
      <c r="EQ84" s="56">
        <v>1909.5</v>
      </c>
      <c r="ER84" s="56">
        <v>1931.4</v>
      </c>
      <c r="ES84" s="56">
        <v>1949.7</v>
      </c>
      <c r="ET84" s="56">
        <v>1997.6</v>
      </c>
      <c r="EU84" s="56">
        <v>2125</v>
      </c>
      <c r="EV84" s="56">
        <v>2143.4</v>
      </c>
      <c r="EW84" s="56">
        <v>2155.3000000000002</v>
      </c>
      <c r="EX84" s="56">
        <v>2181.1</v>
      </c>
      <c r="EY84" s="56">
        <v>2148.6999999999998</v>
      </c>
      <c r="EZ84" s="56">
        <v>2175.1999999999998</v>
      </c>
      <c r="FA84" s="56">
        <v>2101</v>
      </c>
      <c r="FB84" s="56">
        <v>1982.2</v>
      </c>
      <c r="FC84" s="56">
        <v>1865.1</v>
      </c>
      <c r="FD84" s="56">
        <v>1773.6</v>
      </c>
      <c r="FE84" s="56">
        <v>1733</v>
      </c>
      <c r="FF84" s="56">
        <v>1729.5</v>
      </c>
      <c r="FG84" s="56">
        <v>1742.5</v>
      </c>
      <c r="FH84" s="56">
        <v>1735.7</v>
      </c>
      <c r="FI84" s="56">
        <v>1783</v>
      </c>
      <c r="FJ84" s="56">
        <v>1847.8</v>
      </c>
      <c r="FK84" s="56">
        <v>1882.4</v>
      </c>
      <c r="FL84" s="56">
        <v>1913.9</v>
      </c>
      <c r="FM84" s="56">
        <v>1981.8</v>
      </c>
      <c r="FN84" s="56">
        <v>2039.5</v>
      </c>
      <c r="FO84" s="56">
        <v>2088.9</v>
      </c>
      <c r="FP84" s="56">
        <v>2025.8</v>
      </c>
      <c r="FQ84" s="56">
        <v>2260</v>
      </c>
      <c r="FR84" s="56">
        <v>1957.5</v>
      </c>
      <c r="FS84" s="56">
        <v>1963.9</v>
      </c>
      <c r="FT84" s="56">
        <v>1998.1</v>
      </c>
      <c r="FU84" s="56">
        <v>2013.4</v>
      </c>
      <c r="FV84" s="56">
        <v>2067.1999999999998</v>
      </c>
      <c r="FW84" s="56">
        <v>2160.8000000000002</v>
      </c>
      <c r="FX84" s="56">
        <v>2214</v>
      </c>
      <c r="FY84" s="56">
        <v>2267.6</v>
      </c>
      <c r="FZ84" s="56">
        <v>2322.1999999999998</v>
      </c>
      <c r="GA84" s="56">
        <v>2341.1999999999998</v>
      </c>
      <c r="GB84" s="56">
        <v>2347.8000000000002</v>
      </c>
      <c r="GC84" s="56">
        <v>2367.1999999999998</v>
      </c>
      <c r="GD84" s="56">
        <v>2388.1</v>
      </c>
      <c r="GE84" s="56">
        <v>2391.1999999999998</v>
      </c>
      <c r="GF84" s="56">
        <v>2421.8000000000002</v>
      </c>
      <c r="GG84" s="56">
        <v>2460.5</v>
      </c>
      <c r="GH84" s="56">
        <v>2535.6</v>
      </c>
      <c r="GI84" s="56">
        <v>2612.6999999999998</v>
      </c>
      <c r="GJ84" s="56">
        <v>2636.3</v>
      </c>
      <c r="GK84" s="56">
        <v>2659.4</v>
      </c>
      <c r="GL84" s="56">
        <v>2690.3</v>
      </c>
      <c r="GM84" s="56">
        <v>2755.1</v>
      </c>
      <c r="GN84" s="56">
        <v>2808</v>
      </c>
      <c r="GO84" s="56">
        <v>2904.2</v>
      </c>
      <c r="GP84" s="56">
        <v>2920.5</v>
      </c>
      <c r="GQ84" s="56">
        <v>2961.5</v>
      </c>
      <c r="GR84" s="56">
        <v>2962.7</v>
      </c>
      <c r="GS84" s="56">
        <v>2955.4</v>
      </c>
      <c r="GT84" s="56">
        <v>2932.4</v>
      </c>
      <c r="GU84" s="56">
        <v>2874</v>
      </c>
      <c r="GV84" s="56">
        <v>2862.9</v>
      </c>
      <c r="GW84" s="56">
        <v>2980.3</v>
      </c>
      <c r="GX84" s="56">
        <v>3048</v>
      </c>
      <c r="GY84" s="56">
        <v>3158.1</v>
      </c>
      <c r="GZ84" s="56">
        <v>3225.4</v>
      </c>
      <c r="HA84" s="56">
        <v>3291.3</v>
      </c>
      <c r="HB84" s="56">
        <v>3333.6</v>
      </c>
      <c r="HC84">
        <v>3424.9</v>
      </c>
      <c r="HD84">
        <v>3509.5</v>
      </c>
      <c r="HE84">
        <v>3628.2</v>
      </c>
      <c r="HF84">
        <v>3729.9</v>
      </c>
      <c r="HG84">
        <v>3806.4</v>
      </c>
      <c r="HH84">
        <v>3836.2</v>
      </c>
      <c r="HI84">
        <v>3919.1</v>
      </c>
      <c r="HJ84">
        <v>3938.9</v>
      </c>
      <c r="HK84">
        <v>3950.2</v>
      </c>
      <c r="HL84">
        <v>3938.8</v>
      </c>
      <c r="HM84">
        <v>3958.3</v>
      </c>
      <c r="HN84">
        <v>4015.2</v>
      </c>
    </row>
    <row r="85" spans="1:222" x14ac:dyDescent="0.25">
      <c r="A85" s="56" t="s">
        <v>2290</v>
      </c>
      <c r="B85" s="56">
        <v>77.5</v>
      </c>
      <c r="C85" s="56">
        <v>81.099999999999994</v>
      </c>
      <c r="D85" s="56">
        <v>81.099999999999994</v>
      </c>
      <c r="E85" s="56">
        <v>76.900000000000006</v>
      </c>
      <c r="F85" s="56">
        <v>89.1</v>
      </c>
      <c r="G85" s="56">
        <v>90.8</v>
      </c>
      <c r="H85" s="56">
        <v>93.7</v>
      </c>
      <c r="I85" s="56">
        <v>97.6</v>
      </c>
      <c r="J85" s="56">
        <v>102.7</v>
      </c>
      <c r="K85" s="56">
        <v>104.3</v>
      </c>
      <c r="L85" s="56">
        <v>108.2</v>
      </c>
      <c r="M85" s="56">
        <v>115.5</v>
      </c>
      <c r="N85" s="56">
        <v>121</v>
      </c>
      <c r="O85" s="56">
        <v>117.2</v>
      </c>
      <c r="P85" s="56">
        <v>116.6</v>
      </c>
      <c r="Q85" s="56">
        <v>119.1</v>
      </c>
      <c r="R85" s="56">
        <v>111.1</v>
      </c>
      <c r="S85" s="56">
        <v>110.8</v>
      </c>
      <c r="T85" s="56">
        <v>107.3</v>
      </c>
      <c r="U85" s="56">
        <v>103.8</v>
      </c>
      <c r="V85" s="56">
        <v>103.9</v>
      </c>
      <c r="W85" s="56">
        <v>115.6</v>
      </c>
      <c r="X85" s="56">
        <v>135.4</v>
      </c>
      <c r="Y85" s="56">
        <v>142</v>
      </c>
      <c r="Z85" s="56">
        <v>159.1</v>
      </c>
      <c r="AA85" s="56">
        <v>156.6</v>
      </c>
      <c r="AB85" s="56">
        <v>158.4</v>
      </c>
      <c r="AC85" s="56">
        <v>157.1</v>
      </c>
      <c r="AD85" s="56">
        <v>165</v>
      </c>
      <c r="AE85" s="56">
        <v>185.7</v>
      </c>
      <c r="AF85" s="56">
        <v>199.9</v>
      </c>
      <c r="AG85" s="56">
        <v>196.1</v>
      </c>
      <c r="AH85" s="56">
        <v>187.5</v>
      </c>
      <c r="AI85" s="56">
        <v>220</v>
      </c>
      <c r="AJ85" s="56">
        <v>223.8</v>
      </c>
      <c r="AK85" s="56">
        <v>231.5</v>
      </c>
      <c r="AL85" s="56">
        <v>222.3</v>
      </c>
      <c r="AM85" s="56">
        <v>219.7</v>
      </c>
      <c r="AN85" s="56">
        <v>211.3</v>
      </c>
      <c r="AO85" s="56">
        <v>205.2</v>
      </c>
      <c r="AP85" s="56">
        <v>197.2</v>
      </c>
      <c r="AQ85" s="56">
        <v>169.9</v>
      </c>
      <c r="AR85" s="56">
        <v>179.2</v>
      </c>
      <c r="AS85" s="56">
        <v>204.4</v>
      </c>
      <c r="AT85" s="56">
        <v>213</v>
      </c>
      <c r="AU85" s="56">
        <v>211.8</v>
      </c>
      <c r="AV85" s="56">
        <v>228.6</v>
      </c>
      <c r="AW85" s="56">
        <v>211.4</v>
      </c>
      <c r="AX85" s="56">
        <v>188.2</v>
      </c>
      <c r="AY85" s="56">
        <v>200.5</v>
      </c>
      <c r="AZ85" s="56">
        <v>200.4</v>
      </c>
      <c r="BA85" s="56">
        <v>191.5</v>
      </c>
      <c r="BB85" s="56">
        <v>209.5</v>
      </c>
      <c r="BC85" s="56">
        <v>238.3</v>
      </c>
      <c r="BD85" s="56">
        <v>254.4</v>
      </c>
      <c r="BE85" s="56">
        <v>269.2</v>
      </c>
      <c r="BF85" s="56">
        <v>301.10000000000002</v>
      </c>
      <c r="BG85" s="56">
        <v>301.2</v>
      </c>
      <c r="BH85" s="56">
        <v>295.3</v>
      </c>
      <c r="BI85" s="56">
        <v>305.2</v>
      </c>
      <c r="BJ85" s="56">
        <v>311.39999999999998</v>
      </c>
      <c r="BK85" s="56">
        <v>310.3</v>
      </c>
      <c r="BL85" s="56">
        <v>331.5</v>
      </c>
      <c r="BM85" s="56">
        <v>306.60000000000002</v>
      </c>
      <c r="BN85" s="56">
        <v>296.7</v>
      </c>
      <c r="BO85" s="56">
        <v>286.39999999999998</v>
      </c>
      <c r="BP85" s="56">
        <v>275.60000000000002</v>
      </c>
      <c r="BQ85" s="56">
        <v>277.7</v>
      </c>
      <c r="BR85" s="56">
        <v>288.39999999999998</v>
      </c>
      <c r="BS85" s="56">
        <v>319.7</v>
      </c>
      <c r="BT85" s="56">
        <v>344.2</v>
      </c>
      <c r="BU85" s="56">
        <v>338.9</v>
      </c>
      <c r="BV85" s="56">
        <v>344.1</v>
      </c>
      <c r="BW85" s="56">
        <v>352.3</v>
      </c>
      <c r="BX85" s="56">
        <v>359.3</v>
      </c>
      <c r="BY85" s="56">
        <v>381.4</v>
      </c>
      <c r="BZ85" s="56">
        <v>363.2</v>
      </c>
      <c r="CA85" s="56">
        <v>356.4</v>
      </c>
      <c r="CB85" s="56">
        <v>355</v>
      </c>
      <c r="CC85" s="56">
        <v>331.8</v>
      </c>
      <c r="CD85" s="56">
        <v>344.4</v>
      </c>
      <c r="CE85" s="56">
        <v>361.4</v>
      </c>
      <c r="CF85" s="56">
        <v>337.8</v>
      </c>
      <c r="CG85" s="56">
        <v>329.4</v>
      </c>
      <c r="CH85" s="56">
        <v>367</v>
      </c>
      <c r="CI85" s="56">
        <v>373.1</v>
      </c>
      <c r="CJ85" s="56">
        <v>376.3</v>
      </c>
      <c r="CK85" s="56">
        <v>372.6</v>
      </c>
      <c r="CL85" s="56">
        <v>400.9</v>
      </c>
      <c r="CM85" s="56">
        <v>407.8</v>
      </c>
      <c r="CN85" s="56">
        <v>399.3</v>
      </c>
      <c r="CO85" s="56">
        <v>424.7</v>
      </c>
      <c r="CP85" s="56">
        <v>406.5</v>
      </c>
      <c r="CQ85" s="56">
        <v>444.7</v>
      </c>
      <c r="CR85" s="56">
        <v>452.4</v>
      </c>
      <c r="CS85" s="56">
        <v>511.6</v>
      </c>
      <c r="CT85" s="56">
        <v>517.5</v>
      </c>
      <c r="CU85" s="56">
        <v>539.20000000000005</v>
      </c>
      <c r="CV85" s="56">
        <v>571.9</v>
      </c>
      <c r="CW85" s="56">
        <v>595.79999999999995</v>
      </c>
      <c r="CX85" s="56">
        <v>588.9</v>
      </c>
      <c r="CY85" s="56">
        <v>605.79999999999995</v>
      </c>
      <c r="CZ85" s="56">
        <v>649.9</v>
      </c>
      <c r="DA85" s="56">
        <v>650.29999999999995</v>
      </c>
      <c r="DB85" s="56">
        <v>683.8</v>
      </c>
      <c r="DC85" s="56">
        <v>700.2</v>
      </c>
      <c r="DD85" s="56">
        <v>706</v>
      </c>
      <c r="DE85" s="56">
        <v>716.3</v>
      </c>
      <c r="DF85" s="56">
        <v>753.3</v>
      </c>
      <c r="DG85" s="56">
        <v>767.9</v>
      </c>
      <c r="DH85" s="56">
        <v>808.1</v>
      </c>
      <c r="DI85" s="56">
        <v>799.9</v>
      </c>
      <c r="DJ85" s="56">
        <v>728.6</v>
      </c>
      <c r="DK85" s="56">
        <v>729.6</v>
      </c>
      <c r="DL85" s="56">
        <v>749.1</v>
      </c>
      <c r="DM85" s="56">
        <v>722.4</v>
      </c>
      <c r="DN85" s="56">
        <v>761.9</v>
      </c>
      <c r="DO85" s="56">
        <v>754.1</v>
      </c>
      <c r="DP85" s="56">
        <v>737.7</v>
      </c>
      <c r="DQ85" s="56">
        <v>726.5</v>
      </c>
      <c r="DR85" s="56">
        <v>714.8</v>
      </c>
      <c r="DS85" s="56">
        <v>699.1</v>
      </c>
      <c r="DT85" s="56">
        <v>677.6</v>
      </c>
      <c r="DU85" s="56">
        <v>631.5</v>
      </c>
      <c r="DV85" s="56">
        <v>622.6</v>
      </c>
      <c r="DW85" s="56">
        <v>638</v>
      </c>
      <c r="DX85" s="56">
        <v>627.70000000000005</v>
      </c>
      <c r="DY85" s="56">
        <v>585.20000000000005</v>
      </c>
      <c r="DZ85" s="56">
        <v>711.7</v>
      </c>
      <c r="EA85" s="56">
        <v>756</v>
      </c>
      <c r="EB85" s="56">
        <v>778.5</v>
      </c>
      <c r="EC85" s="56">
        <v>848.2</v>
      </c>
      <c r="ED85" s="56">
        <v>862.8</v>
      </c>
      <c r="EE85" s="56">
        <v>891.4</v>
      </c>
      <c r="EF85" s="56">
        <v>941.8</v>
      </c>
      <c r="EG85" s="56">
        <v>976.6</v>
      </c>
      <c r="EH85" s="56">
        <v>1064.5999999999999</v>
      </c>
      <c r="EI85" s="56">
        <v>1113.5</v>
      </c>
      <c r="EJ85" s="56">
        <v>1158.9000000000001</v>
      </c>
      <c r="EK85" s="56">
        <v>1164.7</v>
      </c>
      <c r="EL85" s="56">
        <v>1257.9000000000001</v>
      </c>
      <c r="EM85" s="56">
        <v>1276.9000000000001</v>
      </c>
      <c r="EN85" s="56">
        <v>1287.2</v>
      </c>
      <c r="EO85" s="56">
        <v>1395.3</v>
      </c>
      <c r="EP85" s="56">
        <v>1445.4</v>
      </c>
      <c r="EQ85" s="56">
        <v>1453.1</v>
      </c>
      <c r="ER85" s="56">
        <v>1505.8</v>
      </c>
      <c r="ES85" s="56">
        <v>1421.3</v>
      </c>
      <c r="ET85" s="56">
        <v>1316.3</v>
      </c>
      <c r="EU85" s="56">
        <v>1347.7</v>
      </c>
      <c r="EV85" s="56">
        <v>1229.2</v>
      </c>
      <c r="EW85" s="56">
        <v>1138.9000000000001</v>
      </c>
      <c r="EX85" s="56">
        <v>1053.8</v>
      </c>
      <c r="EY85" s="56">
        <v>1027</v>
      </c>
      <c r="EZ85" s="56">
        <v>1008.2</v>
      </c>
      <c r="FA85" s="56">
        <v>732.8</v>
      </c>
      <c r="FB85" s="56">
        <v>953.5</v>
      </c>
      <c r="FC85" s="56">
        <v>1003.3</v>
      </c>
      <c r="FD85" s="56">
        <v>1123.2</v>
      </c>
      <c r="FE85" s="56">
        <v>1227.5</v>
      </c>
      <c r="FF85" s="56">
        <v>1295.5</v>
      </c>
      <c r="FG85" s="56">
        <v>1300</v>
      </c>
      <c r="FH85" s="56">
        <v>1475.5</v>
      </c>
      <c r="FI85" s="56">
        <v>1483.8</v>
      </c>
      <c r="FJ85" s="56">
        <v>1323.4</v>
      </c>
      <c r="FK85" s="56">
        <v>1443.9</v>
      </c>
      <c r="FL85" s="56">
        <v>1447.1</v>
      </c>
      <c r="FM85" s="56">
        <v>1585</v>
      </c>
      <c r="FN85" s="56">
        <v>1660</v>
      </c>
      <c r="FO85" s="56">
        <v>1662.6</v>
      </c>
      <c r="FP85" s="56">
        <v>1644.6</v>
      </c>
      <c r="FQ85" s="56">
        <v>1642.3</v>
      </c>
      <c r="FR85" s="56">
        <v>1672.8</v>
      </c>
      <c r="FS85" s="56">
        <v>1665.6</v>
      </c>
      <c r="FT85" s="56">
        <v>1676.1</v>
      </c>
      <c r="FU85" s="56">
        <v>1714.8</v>
      </c>
      <c r="FV85" s="56">
        <v>1650.3</v>
      </c>
      <c r="FW85" s="56">
        <v>1832.1</v>
      </c>
      <c r="FX85" s="56">
        <v>1864.9</v>
      </c>
      <c r="FY85" s="56">
        <v>1884.5</v>
      </c>
      <c r="FZ85" s="56">
        <v>1847.9</v>
      </c>
      <c r="GA85" s="56">
        <v>1831.7</v>
      </c>
      <c r="GB85" s="56">
        <v>1779</v>
      </c>
      <c r="GC85" s="56">
        <v>1653</v>
      </c>
      <c r="GD85" s="56">
        <v>1757.8</v>
      </c>
      <c r="GE85" s="56">
        <v>1708.7</v>
      </c>
      <c r="GF85" s="56">
        <v>1731</v>
      </c>
      <c r="GG85" s="56">
        <v>1700.1</v>
      </c>
      <c r="GH85" s="56">
        <v>1721.1</v>
      </c>
      <c r="GI85" s="56">
        <v>1723.6</v>
      </c>
      <c r="GJ85" s="56">
        <v>1718</v>
      </c>
      <c r="GK85" s="56">
        <v>1742.7</v>
      </c>
      <c r="GL85" s="56">
        <v>1772.4</v>
      </c>
      <c r="GM85" s="56">
        <v>1846</v>
      </c>
      <c r="GN85" s="56">
        <v>1868.8</v>
      </c>
      <c r="GO85" s="56">
        <v>1891.1</v>
      </c>
      <c r="GP85" s="56">
        <v>1875.4</v>
      </c>
      <c r="GQ85" s="56">
        <v>1906.5</v>
      </c>
      <c r="GR85" s="56">
        <v>1968.1</v>
      </c>
      <c r="GS85" s="56">
        <v>2003.2</v>
      </c>
      <c r="GT85" s="56">
        <v>1752.6</v>
      </c>
      <c r="GU85" s="56">
        <v>1686.1</v>
      </c>
      <c r="GV85" s="56">
        <v>2323.9</v>
      </c>
      <c r="GW85" s="56">
        <v>2101.5</v>
      </c>
      <c r="GX85" s="56">
        <v>2438.6999999999998</v>
      </c>
      <c r="GY85" s="56">
        <v>2763.8</v>
      </c>
      <c r="GZ85" s="56">
        <v>2747.4</v>
      </c>
      <c r="HA85" s="56">
        <v>2751.8</v>
      </c>
      <c r="HB85">
        <v>2738.7</v>
      </c>
      <c r="HC85">
        <v>2876.9</v>
      </c>
      <c r="HD85">
        <v>2950.7</v>
      </c>
      <c r="HE85">
        <v>2921.1</v>
      </c>
      <c r="HF85">
        <v>2941.2</v>
      </c>
      <c r="HG85">
        <v>2953.4</v>
      </c>
      <c r="HH85">
        <v>3079.7</v>
      </c>
      <c r="HI85">
        <v>3253.6</v>
      </c>
      <c r="HJ85">
        <v>3186.2</v>
      </c>
      <c r="HK85">
        <v>3337.4</v>
      </c>
      <c r="HL85">
        <v>3365.3</v>
      </c>
      <c r="HM85">
        <v>3487.8</v>
      </c>
    </row>
    <row r="86" spans="1:222" x14ac:dyDescent="0.25">
      <c r="A86" s="56" t="s">
        <v>2291</v>
      </c>
      <c r="B86" s="56"/>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c r="CM86" s="56"/>
      <c r="CN86" s="56"/>
      <c r="CO86" s="56"/>
      <c r="CP86" s="56"/>
      <c r="CQ86" s="56"/>
      <c r="CR86" s="56"/>
      <c r="CS86" s="56"/>
      <c r="CT86" s="56"/>
      <c r="CU86" s="56"/>
      <c r="CV86" s="56"/>
      <c r="CW86" s="56"/>
      <c r="CX86" s="56"/>
      <c r="CY86" s="56"/>
      <c r="CZ86" s="56"/>
      <c r="DA86" s="56"/>
      <c r="DB86" s="56"/>
      <c r="DC86" s="56"/>
      <c r="DD86" s="56"/>
      <c r="DE86" s="56"/>
      <c r="DF86" s="56"/>
      <c r="DG86" s="56"/>
      <c r="DH86" s="56"/>
      <c r="DI86" s="56"/>
      <c r="DJ86" s="56"/>
      <c r="DK86" s="56"/>
      <c r="DL86" s="56"/>
      <c r="DM86" s="56"/>
      <c r="DN86" s="56"/>
      <c r="DO86" s="56"/>
      <c r="DP86" s="56"/>
      <c r="DQ86" s="56"/>
      <c r="DR86" s="56"/>
      <c r="DS86" s="56"/>
      <c r="DT86" s="56"/>
      <c r="DU86" s="56"/>
      <c r="DV86" s="56"/>
      <c r="DW86" s="56"/>
      <c r="DX86" s="56"/>
      <c r="DY86" s="56"/>
      <c r="DZ86" s="56"/>
      <c r="EA86" s="56"/>
      <c r="EB86" s="56"/>
      <c r="EC86" s="56"/>
      <c r="ED86" s="56"/>
      <c r="EE86" s="56"/>
      <c r="EF86" s="56"/>
      <c r="EG86" s="56"/>
      <c r="EH86" s="56"/>
      <c r="EI86" s="56"/>
      <c r="EJ86" s="56"/>
      <c r="EK86" s="56"/>
      <c r="EL86" s="56"/>
      <c r="EM86" s="56"/>
      <c r="EN86" s="56"/>
      <c r="EO86" s="56"/>
      <c r="EP86" s="56"/>
      <c r="EQ86" s="56"/>
      <c r="ER86" s="56"/>
      <c r="ES86" s="56"/>
      <c r="ET86" s="56"/>
      <c r="EU86" s="56"/>
      <c r="EV86" s="56"/>
      <c r="EW86" s="56"/>
      <c r="EX86" s="56"/>
      <c r="EY86" s="56"/>
      <c r="EZ86" s="56"/>
      <c r="FA86" s="56"/>
      <c r="FB86" s="56"/>
      <c r="FC86" s="56"/>
      <c r="FD86" s="56"/>
      <c r="FE86" s="56"/>
      <c r="FF86" s="56"/>
      <c r="FG86" s="56"/>
      <c r="FH86" s="56"/>
      <c r="FI86" s="56"/>
      <c r="FJ86" s="56"/>
      <c r="FK86" s="56"/>
      <c r="FL86" s="56"/>
      <c r="FM86" s="56"/>
      <c r="FN86" s="56"/>
      <c r="FO86" s="56"/>
      <c r="FP86" s="56"/>
      <c r="FQ86" s="56"/>
      <c r="FR86" s="56"/>
      <c r="FS86" s="56"/>
      <c r="FT86" s="56"/>
      <c r="FU86" s="56"/>
      <c r="FV86" s="56"/>
      <c r="FW86" s="56"/>
      <c r="FX86" s="56"/>
      <c r="FY86" s="56"/>
      <c r="FZ86" s="56"/>
      <c r="GA86" s="56"/>
      <c r="GB86" s="56"/>
      <c r="GC86" s="56"/>
      <c r="GD86" s="56"/>
      <c r="GE86" s="56"/>
      <c r="GF86" s="56"/>
      <c r="GG86" s="56"/>
      <c r="GH86" s="56"/>
      <c r="GI86" s="56"/>
      <c r="GJ86" s="56"/>
      <c r="GK86" s="56"/>
      <c r="GL86" s="56"/>
      <c r="GM86" s="56"/>
      <c r="GN86" s="56"/>
      <c r="GO86" s="56"/>
      <c r="GP86" s="56"/>
      <c r="GQ86" s="56"/>
      <c r="GR86" s="56"/>
      <c r="GS86" s="56"/>
      <c r="GT86" s="56"/>
      <c r="GU86" s="56"/>
      <c r="GV86" s="56"/>
      <c r="GW86" s="56"/>
      <c r="GX86" s="56">
        <v>0</v>
      </c>
      <c r="GY86" s="56">
        <v>21.4</v>
      </c>
      <c r="GZ86" s="56">
        <v>57</v>
      </c>
      <c r="HA86" s="56">
        <v>35.5</v>
      </c>
      <c r="HB86" s="56">
        <v>0</v>
      </c>
      <c r="HC86">
        <v>0</v>
      </c>
      <c r="HD86">
        <v>0</v>
      </c>
      <c r="HE86">
        <v>0</v>
      </c>
    </row>
    <row r="87" spans="1:222" x14ac:dyDescent="0.25">
      <c r="A87" s="56" t="s">
        <v>2292</v>
      </c>
      <c r="B87" s="56"/>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c r="CM87" s="56"/>
      <c r="CN87" s="56"/>
      <c r="CO87" s="56"/>
      <c r="CP87" s="56"/>
      <c r="CQ87" s="56"/>
      <c r="CR87" s="56"/>
      <c r="CS87" s="56"/>
      <c r="CT87" s="56"/>
      <c r="CU87" s="56"/>
      <c r="CV87" s="56"/>
      <c r="CW87" s="56"/>
      <c r="CX87" s="56"/>
      <c r="CY87" s="56"/>
      <c r="CZ87" s="56"/>
      <c r="DA87" s="56"/>
      <c r="DB87" s="56"/>
      <c r="DC87" s="56"/>
      <c r="DD87" s="56"/>
      <c r="DE87" s="56"/>
      <c r="DF87" s="56"/>
      <c r="DG87" s="56"/>
      <c r="DH87" s="56"/>
      <c r="DI87" s="56"/>
      <c r="DJ87" s="56"/>
      <c r="DK87" s="56"/>
      <c r="DL87" s="56"/>
      <c r="DM87" s="56"/>
      <c r="DN87" s="56"/>
      <c r="DO87" s="56"/>
      <c r="DP87" s="56"/>
      <c r="DQ87" s="56"/>
      <c r="DR87" s="56"/>
      <c r="DS87" s="56"/>
      <c r="DT87" s="56"/>
      <c r="DU87" s="56"/>
      <c r="DV87" s="56"/>
      <c r="DW87" s="56"/>
      <c r="DX87" s="56"/>
      <c r="DY87" s="56"/>
      <c r="DZ87" s="56"/>
      <c r="EA87" s="56"/>
      <c r="EB87" s="56"/>
      <c r="EC87" s="56"/>
      <c r="ED87" s="56"/>
      <c r="EE87" s="56"/>
      <c r="EF87" s="56"/>
      <c r="EG87" s="56"/>
      <c r="EH87" s="56"/>
      <c r="EI87" s="56"/>
      <c r="EJ87" s="56"/>
      <c r="EK87" s="56"/>
      <c r="EL87" s="56"/>
      <c r="EM87" s="56"/>
      <c r="EN87" s="56"/>
      <c r="EO87" s="56"/>
      <c r="EP87" s="56"/>
      <c r="EQ87" s="56"/>
      <c r="ER87" s="56"/>
      <c r="ES87" s="56"/>
      <c r="ET87" s="56"/>
      <c r="EU87" s="56"/>
      <c r="EV87" s="56"/>
      <c r="EW87" s="56"/>
      <c r="EX87" s="56"/>
      <c r="EY87" s="56"/>
      <c r="EZ87" s="56"/>
      <c r="FA87" s="56"/>
      <c r="FB87" s="56"/>
      <c r="FC87" s="56"/>
      <c r="FD87" s="56"/>
      <c r="FE87" s="56"/>
      <c r="FF87" s="56"/>
      <c r="FG87" s="56"/>
      <c r="FH87" s="56"/>
      <c r="FI87" s="56"/>
      <c r="FJ87" s="56"/>
      <c r="FK87" s="56"/>
      <c r="FL87" s="56"/>
      <c r="FM87" s="56"/>
      <c r="FN87" s="56"/>
      <c r="FO87" s="56"/>
      <c r="FP87" s="56"/>
      <c r="FQ87" s="56"/>
      <c r="FR87" s="56"/>
      <c r="FS87" s="56"/>
      <c r="FT87" s="56"/>
      <c r="FU87" s="56"/>
      <c r="FV87" s="56"/>
      <c r="FW87" s="56"/>
      <c r="FX87" s="56"/>
      <c r="FY87" s="56"/>
      <c r="FZ87" s="56"/>
      <c r="GA87" s="56"/>
      <c r="GB87" s="56"/>
      <c r="GC87" s="56"/>
      <c r="GD87" s="56"/>
      <c r="GE87" s="56"/>
      <c r="GF87" s="56"/>
      <c r="GG87" s="56"/>
      <c r="GH87" s="56"/>
      <c r="GI87" s="56"/>
      <c r="GJ87" s="56"/>
      <c r="GK87" s="56"/>
      <c r="GL87" s="56"/>
      <c r="GM87" s="56"/>
      <c r="GN87" s="56"/>
      <c r="GO87" s="56"/>
      <c r="GP87" s="56"/>
      <c r="GQ87" s="56"/>
      <c r="GR87" s="56"/>
      <c r="GS87" s="56"/>
      <c r="GT87" s="56"/>
      <c r="GU87" s="56">
        <v>60.3</v>
      </c>
      <c r="GV87" s="56">
        <v>18.5</v>
      </c>
      <c r="GW87" s="56">
        <v>0</v>
      </c>
      <c r="GX87" s="56">
        <v>0.3</v>
      </c>
      <c r="GY87" s="56">
        <v>11.3</v>
      </c>
      <c r="GZ87" s="56">
        <v>10.4</v>
      </c>
      <c r="HA87" s="56">
        <v>5.3</v>
      </c>
      <c r="HB87" s="56">
        <v>2.4</v>
      </c>
      <c r="HC87">
        <v>0.3</v>
      </c>
      <c r="HD87">
        <v>0</v>
      </c>
      <c r="HE87">
        <v>0</v>
      </c>
    </row>
    <row r="88" spans="1:222" ht="19.350000000000001" customHeight="1" x14ac:dyDescent="0.25">
      <c r="A88" s="56" t="s">
        <v>2293</v>
      </c>
      <c r="B88" s="56">
        <v>27088</v>
      </c>
      <c r="C88" s="56">
        <v>34148</v>
      </c>
      <c r="D88" s="56">
        <v>31952</v>
      </c>
      <c r="E88" s="56">
        <v>32332</v>
      </c>
      <c r="F88" s="56">
        <v>32820</v>
      </c>
      <c r="G88" s="56">
        <v>38700</v>
      </c>
      <c r="H88" s="56">
        <v>37216</v>
      </c>
      <c r="I88" s="56">
        <v>37732</v>
      </c>
      <c r="J88" s="56">
        <v>38284</v>
      </c>
      <c r="K88" s="56">
        <v>38748</v>
      </c>
      <c r="L88" s="56">
        <v>39284</v>
      </c>
      <c r="M88" s="56">
        <v>47476</v>
      </c>
      <c r="N88" s="56">
        <v>49096</v>
      </c>
      <c r="O88" s="56">
        <v>50332</v>
      </c>
      <c r="P88" s="56">
        <v>51216</v>
      </c>
      <c r="Q88" s="56">
        <v>52016</v>
      </c>
      <c r="R88" s="56">
        <v>52464</v>
      </c>
      <c r="S88" s="56">
        <v>56916</v>
      </c>
      <c r="T88" s="56">
        <v>59804</v>
      </c>
      <c r="U88" s="56">
        <v>61244</v>
      </c>
      <c r="V88" s="56">
        <v>62000</v>
      </c>
      <c r="W88" s="56">
        <v>62888</v>
      </c>
      <c r="X88" s="56">
        <v>69012</v>
      </c>
      <c r="Y88" s="56">
        <v>69680</v>
      </c>
      <c r="Z88" s="56">
        <v>70960</v>
      </c>
      <c r="AA88" s="56">
        <v>71416</v>
      </c>
      <c r="AB88" s="56">
        <v>76996</v>
      </c>
      <c r="AC88" s="56">
        <v>78632</v>
      </c>
      <c r="AD88" s="56">
        <v>79228</v>
      </c>
      <c r="AE88" s="56">
        <v>80364</v>
      </c>
      <c r="AF88" s="56">
        <v>86256</v>
      </c>
      <c r="AG88" s="56">
        <v>87108</v>
      </c>
      <c r="AH88" s="56">
        <v>87776</v>
      </c>
      <c r="AI88" s="56">
        <v>87912</v>
      </c>
      <c r="AJ88" s="56">
        <v>94276</v>
      </c>
      <c r="AK88" s="56">
        <v>95556</v>
      </c>
      <c r="AL88" s="56">
        <v>96528</v>
      </c>
      <c r="AM88" s="56">
        <v>97848</v>
      </c>
      <c r="AN88" s="56">
        <v>107624</v>
      </c>
      <c r="AO88" s="56">
        <v>108324</v>
      </c>
      <c r="AP88" s="56">
        <v>109348</v>
      </c>
      <c r="AQ88" s="56">
        <v>109988</v>
      </c>
      <c r="AR88" s="56">
        <v>126932</v>
      </c>
      <c r="AS88" s="56">
        <v>128076</v>
      </c>
      <c r="AT88" s="56">
        <v>130716</v>
      </c>
      <c r="AU88" s="56">
        <v>131096</v>
      </c>
      <c r="AV88" s="56">
        <v>146284</v>
      </c>
      <c r="AW88" s="56">
        <v>146480</v>
      </c>
      <c r="AX88" s="56">
        <v>146772</v>
      </c>
      <c r="AY88" s="56">
        <v>147528</v>
      </c>
      <c r="AZ88" s="56">
        <v>157636</v>
      </c>
      <c r="BA88" s="56">
        <v>162896</v>
      </c>
      <c r="BB88" s="56">
        <v>162144</v>
      </c>
      <c r="BC88" s="56">
        <v>164008</v>
      </c>
      <c r="BD88" s="56">
        <v>163980</v>
      </c>
      <c r="BE88" s="56">
        <v>167572</v>
      </c>
      <c r="BF88" s="56">
        <v>170936</v>
      </c>
      <c r="BG88" s="56">
        <v>172680</v>
      </c>
      <c r="BH88" s="56">
        <v>172444</v>
      </c>
      <c r="BI88" s="56">
        <v>176048</v>
      </c>
      <c r="BJ88" s="56">
        <v>181540</v>
      </c>
      <c r="BK88" s="56">
        <v>181976</v>
      </c>
      <c r="BL88" s="56">
        <v>185252</v>
      </c>
      <c r="BM88" s="56">
        <v>184332</v>
      </c>
      <c r="BN88" s="56">
        <v>191100</v>
      </c>
      <c r="BO88" s="56">
        <v>192104</v>
      </c>
      <c r="BP88" s="56">
        <v>195880</v>
      </c>
      <c r="BQ88" s="56">
        <v>195440</v>
      </c>
      <c r="BR88" s="56">
        <v>198912</v>
      </c>
      <c r="BS88" s="56">
        <v>201652</v>
      </c>
      <c r="BT88" s="56">
        <v>201436</v>
      </c>
      <c r="BU88" s="56">
        <v>201980</v>
      </c>
      <c r="BV88" s="56">
        <v>213484</v>
      </c>
      <c r="BW88" s="56">
        <v>213536</v>
      </c>
      <c r="BX88" s="56">
        <v>214156</v>
      </c>
      <c r="BY88" s="56">
        <v>214488</v>
      </c>
      <c r="BZ88" s="56">
        <v>225904</v>
      </c>
      <c r="CA88" s="56">
        <v>226768</v>
      </c>
      <c r="CB88" s="56">
        <v>227804</v>
      </c>
      <c r="CC88" s="56">
        <v>229044</v>
      </c>
      <c r="CD88" s="56">
        <v>241024</v>
      </c>
      <c r="CE88" s="56">
        <v>243792</v>
      </c>
      <c r="CF88" s="56">
        <v>244712</v>
      </c>
      <c r="CG88" s="56">
        <v>247012</v>
      </c>
      <c r="CH88" s="56">
        <v>261292</v>
      </c>
      <c r="CI88" s="56">
        <v>263620</v>
      </c>
      <c r="CJ88" s="56">
        <v>265076</v>
      </c>
      <c r="CK88" s="56">
        <v>266828</v>
      </c>
      <c r="CL88" s="56">
        <v>278568</v>
      </c>
      <c r="CM88" s="56">
        <v>281744</v>
      </c>
      <c r="CN88" s="56">
        <v>282848</v>
      </c>
      <c r="CO88" s="56">
        <v>283944</v>
      </c>
      <c r="CP88" s="56">
        <v>295568</v>
      </c>
      <c r="CQ88" s="56">
        <v>297064</v>
      </c>
      <c r="CR88" s="56">
        <v>298552</v>
      </c>
      <c r="CS88" s="56">
        <v>300556</v>
      </c>
      <c r="CT88" s="56">
        <v>308800</v>
      </c>
      <c r="CU88" s="56">
        <v>311776</v>
      </c>
      <c r="CV88" s="56">
        <v>312956</v>
      </c>
      <c r="CW88" s="56">
        <v>315112</v>
      </c>
      <c r="CX88" s="56">
        <v>324784</v>
      </c>
      <c r="CY88" s="56">
        <v>327504</v>
      </c>
      <c r="CZ88" s="56">
        <v>328632</v>
      </c>
      <c r="DA88" s="56">
        <v>329780</v>
      </c>
      <c r="DB88" s="56">
        <v>339100</v>
      </c>
      <c r="DC88" s="56">
        <v>341412</v>
      </c>
      <c r="DD88" s="56">
        <v>342632</v>
      </c>
      <c r="DE88" s="56">
        <v>344876</v>
      </c>
      <c r="DF88" s="56">
        <v>353920</v>
      </c>
      <c r="DG88" s="56">
        <v>355872</v>
      </c>
      <c r="DH88" s="56">
        <v>357524</v>
      </c>
      <c r="DI88" s="56">
        <v>359052</v>
      </c>
      <c r="DJ88" s="56">
        <v>366632</v>
      </c>
      <c r="DK88" s="56">
        <v>368208</v>
      </c>
      <c r="DL88" s="56">
        <v>370704</v>
      </c>
      <c r="DM88" s="56">
        <v>371184</v>
      </c>
      <c r="DN88" s="56">
        <v>376964</v>
      </c>
      <c r="DO88" s="56">
        <v>378944</v>
      </c>
      <c r="DP88" s="56">
        <v>380800</v>
      </c>
      <c r="DQ88" s="56">
        <v>382748</v>
      </c>
      <c r="DR88" s="56">
        <v>392512</v>
      </c>
      <c r="DS88" s="56">
        <v>404664</v>
      </c>
      <c r="DT88" s="56">
        <v>403872</v>
      </c>
      <c r="DU88" s="56">
        <v>404524</v>
      </c>
      <c r="DV88" s="56">
        <v>420812</v>
      </c>
      <c r="DW88" s="56">
        <v>422668</v>
      </c>
      <c r="DX88" s="56">
        <v>428384</v>
      </c>
      <c r="DY88" s="56">
        <v>428472</v>
      </c>
      <c r="DZ88" s="56">
        <v>442872</v>
      </c>
      <c r="EA88" s="56">
        <v>445487</v>
      </c>
      <c r="EB88" s="56">
        <v>448080</v>
      </c>
      <c r="EC88" s="56">
        <v>451196</v>
      </c>
      <c r="ED88" s="56">
        <v>458142</v>
      </c>
      <c r="EE88" s="56">
        <v>463083</v>
      </c>
      <c r="EF88" s="56">
        <v>464765</v>
      </c>
      <c r="EG88" s="56">
        <v>468133</v>
      </c>
      <c r="EH88" s="56">
        <v>479685</v>
      </c>
      <c r="EI88" s="56">
        <v>484798</v>
      </c>
      <c r="EJ88" s="56">
        <v>486184</v>
      </c>
      <c r="EK88" s="56">
        <v>491380</v>
      </c>
      <c r="EL88" s="56">
        <v>506486</v>
      </c>
      <c r="EM88" s="56">
        <v>512872</v>
      </c>
      <c r="EN88" s="56">
        <v>514043</v>
      </c>
      <c r="EO88" s="56">
        <v>517512</v>
      </c>
      <c r="EP88" s="56">
        <v>538042</v>
      </c>
      <c r="EQ88" s="56">
        <v>543660</v>
      </c>
      <c r="ER88" s="56">
        <v>546105</v>
      </c>
      <c r="ES88" s="56">
        <v>548576</v>
      </c>
      <c r="ET88" s="56">
        <v>568277</v>
      </c>
      <c r="EU88" s="56">
        <v>575021</v>
      </c>
      <c r="EV88" s="56">
        <v>578227</v>
      </c>
      <c r="EW88" s="56">
        <v>581089</v>
      </c>
      <c r="EX88" s="56">
        <v>597326</v>
      </c>
      <c r="EY88" s="56">
        <v>602859</v>
      </c>
      <c r="EZ88" s="56">
        <v>608868</v>
      </c>
      <c r="FA88" s="56">
        <v>613115</v>
      </c>
      <c r="FB88" s="56">
        <v>651871</v>
      </c>
      <c r="FC88" s="56">
        <v>662422</v>
      </c>
      <c r="FD88" s="56">
        <v>667932</v>
      </c>
      <c r="FE88" s="56">
        <v>675654</v>
      </c>
      <c r="FF88" s="56">
        <v>678854</v>
      </c>
      <c r="FG88" s="56">
        <v>689251</v>
      </c>
      <c r="FH88" s="56">
        <v>693594</v>
      </c>
      <c r="FI88" s="56">
        <v>698996</v>
      </c>
      <c r="FJ88" s="56">
        <v>703143</v>
      </c>
      <c r="FK88" s="56">
        <v>712039</v>
      </c>
      <c r="FL88" s="56">
        <v>716021</v>
      </c>
      <c r="FM88" s="56">
        <v>721840</v>
      </c>
      <c r="FN88" s="56">
        <v>753212</v>
      </c>
      <c r="FO88" s="56">
        <v>759410</v>
      </c>
      <c r="FP88" s="56">
        <v>765124</v>
      </c>
      <c r="FQ88" s="56">
        <v>770811</v>
      </c>
      <c r="FR88" s="56">
        <v>789992</v>
      </c>
      <c r="FS88" s="56">
        <v>795240</v>
      </c>
      <c r="FT88" s="56">
        <v>802336</v>
      </c>
      <c r="FU88" s="56">
        <v>808608</v>
      </c>
      <c r="FV88" s="56">
        <v>824825</v>
      </c>
      <c r="FW88" s="56">
        <v>831664</v>
      </c>
      <c r="FX88" s="56">
        <v>836478</v>
      </c>
      <c r="FY88" s="56">
        <v>845592</v>
      </c>
      <c r="FZ88" s="56">
        <v>861827</v>
      </c>
      <c r="GA88" s="56">
        <v>868501</v>
      </c>
      <c r="GB88" s="56">
        <v>873921</v>
      </c>
      <c r="GC88" s="56">
        <v>882925</v>
      </c>
      <c r="GD88" s="56">
        <v>886054</v>
      </c>
      <c r="GE88" s="56">
        <v>893200</v>
      </c>
      <c r="GF88" s="56">
        <v>899396</v>
      </c>
      <c r="GG88" s="56">
        <v>907237</v>
      </c>
      <c r="GH88" s="56">
        <v>916306</v>
      </c>
      <c r="GI88" s="56">
        <v>922033</v>
      </c>
      <c r="GJ88" s="56">
        <v>929279</v>
      </c>
      <c r="GK88" s="56">
        <v>936668</v>
      </c>
      <c r="GL88" s="56">
        <v>960613</v>
      </c>
      <c r="GM88" s="56">
        <v>968342</v>
      </c>
      <c r="GN88" s="56">
        <v>976833</v>
      </c>
      <c r="GO88" s="56">
        <v>983861</v>
      </c>
      <c r="GP88" s="56">
        <v>1019190</v>
      </c>
      <c r="GQ88" s="56">
        <v>1026704</v>
      </c>
      <c r="GR88" s="56">
        <v>1034417</v>
      </c>
      <c r="GS88" s="56">
        <v>1042661</v>
      </c>
      <c r="GT88" s="56">
        <v>1068201</v>
      </c>
      <c r="GU88" s="56">
        <v>1075075</v>
      </c>
      <c r="GV88" s="56">
        <v>1080441</v>
      </c>
      <c r="GW88" s="56">
        <v>1087995</v>
      </c>
      <c r="GX88" s="56">
        <v>1105638</v>
      </c>
      <c r="GY88" s="56">
        <v>1109640</v>
      </c>
      <c r="GZ88" s="56">
        <v>1116948</v>
      </c>
      <c r="HA88" s="56">
        <v>1126174</v>
      </c>
      <c r="HB88" s="56">
        <v>1198452</v>
      </c>
      <c r="HC88">
        <v>1207163</v>
      </c>
      <c r="HD88">
        <v>1214781</v>
      </c>
      <c r="HE88">
        <v>1225619</v>
      </c>
      <c r="HF88">
        <v>1339904</v>
      </c>
      <c r="HG88">
        <v>1353283</v>
      </c>
      <c r="HH88">
        <v>1360723</v>
      </c>
      <c r="HI88">
        <v>1373982</v>
      </c>
      <c r="HJ88">
        <v>1426547</v>
      </c>
      <c r="HK88">
        <v>1439730</v>
      </c>
      <c r="HL88">
        <v>1453137</v>
      </c>
      <c r="HM88">
        <v>1467916</v>
      </c>
      <c r="HN88">
        <v>1511915</v>
      </c>
    </row>
    <row r="89" spans="1:222" x14ac:dyDescent="0.25">
      <c r="A89" s="56" t="s">
        <v>2294</v>
      </c>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c r="CM89" s="56"/>
      <c r="CN89" s="56"/>
      <c r="CO89" s="56"/>
      <c r="CP89" s="56"/>
      <c r="CQ89" s="56"/>
      <c r="CR89" s="56"/>
      <c r="CS89" s="56"/>
      <c r="CT89" s="56"/>
      <c r="CU89" s="56"/>
      <c r="CV89" s="56"/>
      <c r="CW89" s="56"/>
      <c r="CX89" s="56"/>
      <c r="CY89" s="56"/>
      <c r="CZ89" s="56"/>
      <c r="DA89" s="56"/>
      <c r="DB89" s="56"/>
      <c r="DC89" s="56"/>
      <c r="DD89" s="56"/>
      <c r="DE89" s="56"/>
      <c r="DF89" s="56"/>
      <c r="DG89" s="56"/>
      <c r="DH89" s="56"/>
      <c r="DI89" s="56"/>
      <c r="DJ89" s="56"/>
      <c r="DK89" s="56"/>
      <c r="DL89" s="56"/>
      <c r="DM89" s="56"/>
      <c r="DN89" s="56"/>
      <c r="DO89" s="56"/>
      <c r="DP89" s="56"/>
      <c r="DQ89" s="56"/>
      <c r="DR89" s="56"/>
      <c r="DS89" s="56"/>
      <c r="DT89" s="56"/>
      <c r="DU89" s="56"/>
      <c r="DV89" s="56"/>
      <c r="DW89" s="56"/>
      <c r="DX89" s="56"/>
      <c r="DY89" s="56"/>
      <c r="DZ89" s="56"/>
      <c r="EA89" s="56"/>
      <c r="EB89" s="56"/>
      <c r="EC89" s="56"/>
      <c r="ED89" s="56"/>
      <c r="EE89" s="56"/>
      <c r="EF89" s="56"/>
      <c r="EG89" s="56"/>
      <c r="EH89" s="56"/>
      <c r="EI89" s="56"/>
      <c r="EJ89" s="56"/>
      <c r="EK89" s="56"/>
      <c r="EL89" s="56"/>
      <c r="EM89" s="56"/>
      <c r="EN89" s="56"/>
      <c r="EO89" s="56"/>
      <c r="EP89" s="56"/>
      <c r="EQ89" s="56"/>
      <c r="ER89" s="56"/>
      <c r="ES89" s="56"/>
      <c r="ET89" s="56"/>
      <c r="EU89" s="56"/>
      <c r="EV89" s="56"/>
      <c r="EW89" s="56"/>
      <c r="EX89" s="56"/>
      <c r="EY89" s="56"/>
      <c r="EZ89" s="56"/>
      <c r="FA89" s="56"/>
      <c r="FB89" s="56"/>
      <c r="FC89" s="56"/>
      <c r="FD89" s="56"/>
      <c r="FE89" s="56"/>
      <c r="FF89" s="56"/>
      <c r="FG89" s="56"/>
      <c r="FH89" s="56"/>
      <c r="FI89" s="56"/>
      <c r="FJ89" s="56"/>
      <c r="FK89" s="56"/>
      <c r="FL89" s="56"/>
      <c r="FM89" s="56"/>
      <c r="FN89" s="56"/>
      <c r="FO89" s="56"/>
      <c r="FP89" s="56"/>
      <c r="FQ89" s="56"/>
      <c r="FR89" s="56"/>
      <c r="FS89" s="56"/>
      <c r="FT89" s="56"/>
      <c r="FU89" s="56"/>
      <c r="FV89" s="56"/>
      <c r="FW89" s="56"/>
      <c r="FX89" s="56"/>
      <c r="FY89" s="56"/>
      <c r="FZ89" s="56"/>
      <c r="GA89" s="56"/>
      <c r="GB89" s="56"/>
      <c r="GC89" s="56"/>
      <c r="GD89" s="56"/>
      <c r="GE89" s="56"/>
      <c r="GF89" s="56"/>
      <c r="GG89" s="56"/>
      <c r="GH89" s="56"/>
      <c r="GI89" s="56"/>
      <c r="GJ89" s="56"/>
      <c r="GK89" s="56"/>
      <c r="GL89" s="56"/>
      <c r="GM89" s="56"/>
      <c r="GN89" s="56"/>
      <c r="GO89" s="56"/>
      <c r="GP89" s="56"/>
      <c r="GQ89" s="56"/>
      <c r="GR89" s="56"/>
      <c r="GS89" s="56"/>
      <c r="GT89" s="56"/>
      <c r="GU89" s="56"/>
      <c r="GV89" s="56"/>
      <c r="GW89" s="56"/>
      <c r="GX89" s="56">
        <v>34.4</v>
      </c>
      <c r="GY89" s="56">
        <v>34.4</v>
      </c>
      <c r="GZ89" s="56">
        <v>218.933333333333</v>
      </c>
      <c r="HA89" s="56">
        <v>223.13333333333301</v>
      </c>
      <c r="HB89" s="56">
        <v>94.3</v>
      </c>
      <c r="HC89">
        <v>94.3</v>
      </c>
      <c r="HD89">
        <v>94.3</v>
      </c>
      <c r="HE89">
        <v>94.3</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1"/>
  <sheetViews>
    <sheetView topLeftCell="B1" workbookViewId="0">
      <selection activeCell="V2" sqref="V2"/>
    </sheetView>
  </sheetViews>
  <sheetFormatPr defaultColWidth="10.85546875" defaultRowHeight="15" x14ac:dyDescent="0.25"/>
  <cols>
    <col min="1" max="1" width="33" customWidth="1"/>
    <col min="2" max="3" width="27.140625" customWidth="1"/>
  </cols>
  <sheetData>
    <row r="1" spans="1:22" x14ac:dyDescent="0.25">
      <c r="A1" s="69" t="s">
        <v>178</v>
      </c>
      <c r="B1" s="69" t="s">
        <v>179</v>
      </c>
      <c r="C1" s="69" t="s">
        <v>1127</v>
      </c>
      <c r="D1" s="70" t="s">
        <v>247</v>
      </c>
      <c r="E1" s="70" t="s">
        <v>248</v>
      </c>
      <c r="F1" s="70" t="s">
        <v>1923</v>
      </c>
      <c r="G1" s="70" t="s">
        <v>250</v>
      </c>
      <c r="H1" s="70" t="s">
        <v>180</v>
      </c>
      <c r="I1" s="70" t="s">
        <v>181</v>
      </c>
      <c r="J1" s="70" t="s">
        <v>1924</v>
      </c>
      <c r="K1" s="70" t="s">
        <v>183</v>
      </c>
      <c r="L1" s="70" t="s">
        <v>184</v>
      </c>
      <c r="M1" s="70" t="s">
        <v>185</v>
      </c>
      <c r="N1" s="70" t="s">
        <v>1925</v>
      </c>
      <c r="O1" s="70" t="s">
        <v>187</v>
      </c>
      <c r="P1" s="70" t="s">
        <v>188</v>
      </c>
      <c r="Q1" s="70" t="s">
        <v>189</v>
      </c>
      <c r="R1" s="70" t="s">
        <v>1897</v>
      </c>
      <c r="S1" s="70" t="s">
        <v>191</v>
      </c>
      <c r="T1" s="70" t="s">
        <v>175</v>
      </c>
      <c r="U1" s="70" t="s">
        <v>176</v>
      </c>
      <c r="V1" s="70" t="s">
        <v>177</v>
      </c>
    </row>
    <row r="2" spans="1:22" ht="29.1" customHeight="1" x14ac:dyDescent="0.25">
      <c r="A2" s="14" t="s">
        <v>251</v>
      </c>
      <c r="B2" t="s">
        <v>252</v>
      </c>
      <c r="C2">
        <v>321.19400000000007</v>
      </c>
      <c r="D2">
        <f>Grants!K73</f>
        <v>295.41999999999996</v>
      </c>
      <c r="E2">
        <f>Grants!L73</f>
        <v>293.01599999999996</v>
      </c>
      <c r="F2">
        <f>Grants!M73</f>
        <v>318.27100000000007</v>
      </c>
      <c r="G2">
        <f>Grants!N73</f>
        <v>354.85400000000004</v>
      </c>
      <c r="H2">
        <f>Grants!O73</f>
        <v>373.11799999999988</v>
      </c>
      <c r="I2" s="56">
        <f>Grants!P73</f>
        <v>399.43985199999997</v>
      </c>
      <c r="J2" s="56">
        <f>Grants!Q73</f>
        <v>430.7982748</v>
      </c>
      <c r="K2" s="56">
        <f>Grants!R73</f>
        <v>500.33303199999995</v>
      </c>
      <c r="L2" s="56">
        <f>Grants!S73</f>
        <v>483.13586799999996</v>
      </c>
      <c r="M2" s="56">
        <f>Grants!T73</f>
        <v>450.110928</v>
      </c>
      <c r="N2" s="56">
        <f>Grants!U73</f>
        <v>441.01454320000011</v>
      </c>
      <c r="O2" s="56">
        <f>Grants!V73</f>
        <v>433.78172000000006</v>
      </c>
      <c r="P2" s="71">
        <f>Grants!W73</f>
        <v>417.68194400000004</v>
      </c>
      <c r="Q2" s="71">
        <f>Grants!X73</f>
        <v>432.29994399999998</v>
      </c>
      <c r="R2" s="71">
        <f>Grants!Y73</f>
        <v>434.70694400000002</v>
      </c>
      <c r="S2" s="71">
        <f>Grants!Z73</f>
        <v>440.59710899999999</v>
      </c>
      <c r="T2" s="71">
        <f>Grants!AA73</f>
        <v>461.9273300000001</v>
      </c>
      <c r="U2" s="71">
        <f>Grants!AB73</f>
        <v>463.54132570000002</v>
      </c>
      <c r="V2" s="71">
        <f>Grants!AC73</f>
        <v>424.254997</v>
      </c>
    </row>
    <row r="3" spans="1:22" ht="29.1" customHeight="1" x14ac:dyDescent="0.25">
      <c r="A3" s="14" t="s">
        <v>790</v>
      </c>
      <c r="B3" t="s">
        <v>787</v>
      </c>
      <c r="C3">
        <v>1649.3000000000004</v>
      </c>
      <c r="D3">
        <f>'Social Benefits'!K33</f>
        <v>1804.1</v>
      </c>
      <c r="E3">
        <f>'Social Benefits'!L33</f>
        <v>1687.3999999999999</v>
      </c>
      <c r="F3">
        <f>'Social Benefits'!M33</f>
        <v>1744.3000000000004</v>
      </c>
      <c r="G3">
        <f>'Social Benefits'!N33</f>
        <v>1748.4781600000001</v>
      </c>
      <c r="H3">
        <f>'Social Benefits'!O33</f>
        <v>1919.3298399999999</v>
      </c>
      <c r="I3" s="56">
        <f>'Social Benefits'!P33</f>
        <v>1899.5239999999999</v>
      </c>
      <c r="J3" s="56">
        <f>'Social Benefits'!Q33</f>
        <v>1929.424</v>
      </c>
      <c r="K3" s="56">
        <f>'Social Benefits'!R33</f>
        <v>1935.4239999999995</v>
      </c>
      <c r="L3" s="56">
        <f>'Social Benefits'!S33</f>
        <v>1929.3240000000001</v>
      </c>
      <c r="M3" s="56">
        <f>'Social Benefits'!T33</f>
        <v>2003.6840000000002</v>
      </c>
      <c r="N3" s="56">
        <f>'Social Benefits'!U33</f>
        <v>2013.7840000000001</v>
      </c>
      <c r="O3" s="56">
        <f>'Social Benefits'!V33</f>
        <v>2002.924</v>
      </c>
      <c r="P3" s="71">
        <f>'Social Benefits'!W33</f>
        <v>2013.7240000000002</v>
      </c>
      <c r="Q3" s="71">
        <f>'Social Benefits'!X33</f>
        <v>2019.2990000000002</v>
      </c>
      <c r="R3" s="71">
        <f>'Social Benefits'!Y33</f>
        <v>2111.2989999999995</v>
      </c>
      <c r="S3" s="71">
        <f>'Social Benefits'!Z33</f>
        <v>2135.3989999999999</v>
      </c>
      <c r="T3" s="71">
        <f>'Social Benefits'!AA33</f>
        <v>2152.1989999999996</v>
      </c>
      <c r="U3" s="71">
        <f>'Social Benefits'!AB33</f>
        <v>2169.998</v>
      </c>
      <c r="V3" s="71">
        <f>'Social Benefits'!AC33</f>
        <v>2245.5980000000004</v>
      </c>
    </row>
    <row r="4" spans="1:22" ht="29.1" customHeight="1" x14ac:dyDescent="0.25">
      <c r="A4" s="14" t="s">
        <v>792</v>
      </c>
      <c r="B4" t="s">
        <v>788</v>
      </c>
      <c r="C4">
        <v>0</v>
      </c>
      <c r="D4">
        <f>'Social Benefits'!K24</f>
        <v>0</v>
      </c>
      <c r="E4">
        <f>'Social Benefits'!L24</f>
        <v>0</v>
      </c>
      <c r="F4">
        <f>'Social Benefits'!M24</f>
        <v>0</v>
      </c>
      <c r="G4">
        <f>'Social Benefits'!N24</f>
        <v>33.921840000000024</v>
      </c>
      <c r="H4">
        <f>'Social Benefits'!O24</f>
        <v>44.966160000000031</v>
      </c>
      <c r="I4" s="56">
        <f>'Social Benefits'!P24</f>
        <v>52.756999999999998</v>
      </c>
      <c r="J4" s="56">
        <f>'Social Benefits'!Q24</f>
        <v>52.756999999999998</v>
      </c>
      <c r="K4" s="56">
        <f>'Social Benefits'!R24</f>
        <v>52.756999999999998</v>
      </c>
      <c r="L4" s="56">
        <f>'Social Benefits'!S24</f>
        <v>52.756999999999998</v>
      </c>
      <c r="M4" s="56">
        <f>'Social Benefits'!T24</f>
        <v>30</v>
      </c>
      <c r="N4" s="56">
        <f>'Social Benefits'!U24</f>
        <v>12</v>
      </c>
      <c r="O4" s="56">
        <f>'Social Benefits'!V24</f>
        <v>12</v>
      </c>
      <c r="P4" s="71">
        <f>'Social Benefits'!W24</f>
        <v>12</v>
      </c>
      <c r="Q4" s="71">
        <f>'Social Benefits'!X24</f>
        <v>4.2219999999999995</v>
      </c>
      <c r="R4" s="71">
        <f>'Social Benefits'!Y24</f>
        <v>4.2219999999999995</v>
      </c>
      <c r="S4" s="71">
        <f>'Social Benefits'!Z24</f>
        <v>4.2219999999999995</v>
      </c>
      <c r="T4" s="71">
        <f>'Social Benefits'!AA24</f>
        <v>4.2219999999999995</v>
      </c>
      <c r="U4" s="71">
        <f>'Social Benefits'!AB24</f>
        <v>2.3719999999999999</v>
      </c>
      <c r="V4" s="71">
        <f>'Social Benefits'!AC24</f>
        <v>2.3719999999999999</v>
      </c>
    </row>
    <row r="5" spans="1:22" x14ac:dyDescent="0.25">
      <c r="A5" s="14" t="s">
        <v>791</v>
      </c>
      <c r="B5" t="s">
        <v>789</v>
      </c>
      <c r="C5">
        <v>160.9</v>
      </c>
      <c r="D5">
        <f>'Social Benefits'!K30</f>
        <v>58.4</v>
      </c>
      <c r="E5">
        <f>'Social Benefits'!L30</f>
        <v>34.5</v>
      </c>
      <c r="F5">
        <f>'Social Benefits'!M30</f>
        <v>21.4</v>
      </c>
      <c r="G5">
        <f>'Social Benefits'!N30</f>
        <v>13.3</v>
      </c>
      <c r="H5">
        <f>'Social Benefits'!O30</f>
        <v>21.804000000000041</v>
      </c>
      <c r="I5" s="56">
        <f>'Social Benefits'!P30</f>
        <v>51.919000000000011</v>
      </c>
      <c r="J5" s="56">
        <f>'Social Benefits'!Q30</f>
        <v>46.619</v>
      </c>
      <c r="K5" s="56">
        <f>'Social Benefits'!R30</f>
        <v>39.719000000000008</v>
      </c>
      <c r="L5" s="56">
        <f>'Social Benefits'!S30</f>
        <v>27.819000000000003</v>
      </c>
      <c r="M5" s="56">
        <f>'Social Benefits'!T30</f>
        <v>6.3160000000000007</v>
      </c>
      <c r="N5" s="56">
        <f>'Social Benefits'!U30</f>
        <v>1.4159999999999999</v>
      </c>
      <c r="O5" s="56">
        <f>'Social Benefits'!V30</f>
        <v>1.4159999999999999</v>
      </c>
      <c r="P5" s="71">
        <f>'Social Benefits'!W30</f>
        <v>1.4159999999999999</v>
      </c>
      <c r="Q5" s="71">
        <f>'Social Benefits'!X30</f>
        <v>1.4790000000000001</v>
      </c>
      <c r="R5" s="71">
        <f>'Social Benefits'!Y30</f>
        <v>1.4790000000000001</v>
      </c>
      <c r="S5" s="71">
        <f>'Social Benefits'!Z30</f>
        <v>1.4790000000000001</v>
      </c>
      <c r="T5" s="71">
        <f>'Social Benefits'!AA30</f>
        <v>1.4790000000000001</v>
      </c>
      <c r="U5" s="71">
        <f>'Social Benefits'!AB30</f>
        <v>1.63</v>
      </c>
      <c r="V5" s="71">
        <f>'Social Benefits'!AC30</f>
        <v>1.63</v>
      </c>
    </row>
    <row r="6" spans="1:22" x14ac:dyDescent="0.25">
      <c r="A6" s="56" t="s">
        <v>201</v>
      </c>
      <c r="B6" s="56" t="s">
        <v>826</v>
      </c>
      <c r="C6" s="56">
        <v>0</v>
      </c>
      <c r="D6" s="74">
        <f>Subsidies!K45</f>
        <v>0</v>
      </c>
      <c r="E6" s="74">
        <f>Subsidies!L45</f>
        <v>0</v>
      </c>
      <c r="F6" s="74">
        <f>Subsidies!M45</f>
        <v>0</v>
      </c>
      <c r="G6" s="74">
        <f>Subsidies!N45</f>
        <v>58.782959999999989</v>
      </c>
      <c r="H6" s="74">
        <f>Subsidies!O45</f>
        <v>267.78904</v>
      </c>
      <c r="I6" s="74">
        <f>Subsidies!P45</f>
        <v>110.24799999999999</v>
      </c>
      <c r="J6" s="74">
        <f>Subsidies!Q45</f>
        <v>110.24799999999999</v>
      </c>
      <c r="K6" s="74">
        <f>Subsidies!R45</f>
        <v>110.24799999999999</v>
      </c>
      <c r="L6" s="74">
        <f>Subsidies!S45</f>
        <v>110.24799999999999</v>
      </c>
      <c r="M6" s="74">
        <f>Subsidies!T45</f>
        <v>12.726000000000001</v>
      </c>
      <c r="N6" s="74">
        <f>Subsidies!U45</f>
        <v>12.726000000000001</v>
      </c>
      <c r="O6" s="74">
        <f>Subsidies!V45</f>
        <v>12.726000000000001</v>
      </c>
      <c r="P6" s="72">
        <f>Subsidies!W45</f>
        <v>12.726000000000001</v>
      </c>
      <c r="Q6" s="72">
        <f>Subsidies!X45</f>
        <v>1.365</v>
      </c>
      <c r="R6" s="72">
        <f>Subsidies!Y45</f>
        <v>1.365</v>
      </c>
      <c r="S6" s="72">
        <f>Subsidies!Z45</f>
        <v>1.365</v>
      </c>
      <c r="T6" s="72">
        <f>Subsidies!AA45</f>
        <v>1.365</v>
      </c>
      <c r="U6" s="72">
        <f>Subsidies!AB45</f>
        <v>-0.90100000000000025</v>
      </c>
      <c r="V6" s="72">
        <f>Subsidies!AC45</f>
        <v>-0.90100000000000025</v>
      </c>
    </row>
    <row r="7" spans="1:22" ht="29.1" customHeight="1" x14ac:dyDescent="0.25">
      <c r="A7" s="14" t="s">
        <v>864</v>
      </c>
      <c r="B7" t="s">
        <v>862</v>
      </c>
      <c r="C7" t="e">
        <v>#REF!</v>
      </c>
      <c r="D7" s="56" t="e">
        <f>Taxes!#REF!</f>
        <v>#REF!</v>
      </c>
      <c r="E7" s="56" t="e">
        <f>Taxes!#REF!</f>
        <v>#REF!</v>
      </c>
      <c r="F7" s="56" t="e">
        <f>Taxes!#REF!</f>
        <v>#REF!</v>
      </c>
      <c r="G7" s="56" t="e">
        <f>Taxes!#REF!</f>
        <v>#REF!</v>
      </c>
      <c r="H7" s="56" t="e">
        <f>Taxes!#REF!</f>
        <v>#REF!</v>
      </c>
      <c r="I7" s="56" t="e">
        <f>Taxes!#REF!</f>
        <v>#REF!</v>
      </c>
      <c r="J7" s="56" t="e">
        <f>Taxes!#REF!</f>
        <v>#REF!</v>
      </c>
      <c r="K7" s="56" t="e">
        <f>Taxes!#REF!</f>
        <v>#REF!</v>
      </c>
      <c r="L7" s="56" t="e">
        <f>Taxes!#REF!</f>
        <v>#REF!</v>
      </c>
      <c r="M7" s="56" t="e">
        <f>Taxes!#REF!</f>
        <v>#REF!</v>
      </c>
      <c r="N7" s="56" t="e">
        <f>Taxes!#REF!</f>
        <v>#REF!</v>
      </c>
      <c r="O7" s="56" t="e">
        <f>Taxes!#REF!</f>
        <v>#REF!</v>
      </c>
      <c r="P7" s="71" t="e">
        <f>Taxes!#REF!</f>
        <v>#REF!</v>
      </c>
      <c r="Q7" s="71" t="e">
        <f>Taxes!#REF!</f>
        <v>#REF!</v>
      </c>
      <c r="R7" s="71" t="e">
        <f>Taxes!#REF!</f>
        <v>#REF!</v>
      </c>
      <c r="S7" s="71" t="e">
        <f>Taxes!#REF!</f>
        <v>#REF!</v>
      </c>
      <c r="T7" s="71" t="e">
        <f>Taxes!#REF!</f>
        <v>#REF!</v>
      </c>
      <c r="U7" s="71" t="e">
        <f>Taxes!#REF!</f>
        <v>#REF!</v>
      </c>
      <c r="V7" s="71" t="e">
        <f>Taxes!#REF!</f>
        <v>#REF!</v>
      </c>
    </row>
    <row r="8" spans="1:22" x14ac:dyDescent="0.25">
      <c r="A8" t="s">
        <v>865</v>
      </c>
      <c r="B8" t="s">
        <v>863</v>
      </c>
      <c r="D8" s="56"/>
      <c r="E8" s="56"/>
      <c r="F8" s="56"/>
      <c r="G8" s="56"/>
      <c r="H8" s="56"/>
      <c r="J8" s="75"/>
      <c r="K8" s="75"/>
      <c r="L8" s="75"/>
      <c r="M8" s="75"/>
      <c r="N8" s="75" t="e">
        <f>forecast!#REF!</f>
        <v>#REF!</v>
      </c>
      <c r="O8" s="75" t="e">
        <f>forecast!#REF!</f>
        <v>#REF!</v>
      </c>
      <c r="P8" s="73" t="e">
        <f>forecast!#REF!</f>
        <v>#REF!</v>
      </c>
      <c r="Q8" s="73" t="e">
        <f>forecast!#REF!</f>
        <v>#REF!</v>
      </c>
      <c r="R8" s="73" t="e">
        <f>forecast!#REF!</f>
        <v>#REF!</v>
      </c>
      <c r="S8" s="73" t="e">
        <f>forecast!#REF!</f>
        <v>#REF!</v>
      </c>
      <c r="T8" s="73" t="e">
        <f>forecast!#REF!</f>
        <v>#REF!</v>
      </c>
      <c r="U8" s="73" t="e">
        <f>forecast!#REF!</f>
        <v>#REF!</v>
      </c>
      <c r="V8" s="73" t="e">
        <f>forecast!#REF!</f>
        <v>#REF!</v>
      </c>
    </row>
    <row r="9" spans="1:22" x14ac:dyDescent="0.25">
      <c r="A9" s="14" t="s">
        <v>917</v>
      </c>
      <c r="B9" t="s">
        <v>918</v>
      </c>
      <c r="C9">
        <v>75.483999999999995</v>
      </c>
      <c r="D9">
        <f>Grants!K94</f>
        <v>79.444000000000003</v>
      </c>
      <c r="E9">
        <f>Grants!L94</f>
        <v>75.742999999999995</v>
      </c>
      <c r="F9">
        <f>Grants!M94</f>
        <v>73.183000000000007</v>
      </c>
      <c r="G9">
        <f>Grants!N94</f>
        <v>74.421000000000006</v>
      </c>
      <c r="H9">
        <f>Grants!O94</f>
        <v>70.334000000000003</v>
      </c>
      <c r="I9">
        <f>Grants!P94</f>
        <v>72.707999999999998</v>
      </c>
      <c r="J9">
        <f>Grants!Q94</f>
        <v>75.024000000000001</v>
      </c>
      <c r="K9">
        <f>Grants!R94</f>
        <v>75.203000000000003</v>
      </c>
      <c r="L9">
        <f>Grants!S94</f>
        <v>75.203000000000003</v>
      </c>
      <c r="M9" s="56">
        <f>Grants!T94</f>
        <v>76.022000000000006</v>
      </c>
      <c r="N9" s="56">
        <f>Grants!U94</f>
        <v>76.022000000000006</v>
      </c>
      <c r="O9" s="56">
        <f>Grants!V94</f>
        <v>76.022000000000006</v>
      </c>
      <c r="P9" s="71">
        <f>Grants!W94</f>
        <v>76.022000000000006</v>
      </c>
      <c r="Q9" s="71">
        <f>Grants!X94</f>
        <v>77.680999999999997</v>
      </c>
      <c r="R9" s="71">
        <f>Grants!Y94</f>
        <v>77.680999999999997</v>
      </c>
      <c r="S9" s="71">
        <f>Grants!Z94</f>
        <v>77.680999999999997</v>
      </c>
      <c r="T9" s="71">
        <f>Grants!AA94</f>
        <v>77.680999999999997</v>
      </c>
      <c r="U9" s="71">
        <f>Grants!AB94</f>
        <v>79.275000000000006</v>
      </c>
      <c r="V9" s="71">
        <f>Grants!AC94</f>
        <v>79.275000000000006</v>
      </c>
    </row>
    <row r="10" spans="1:22" x14ac:dyDescent="0.25">
      <c r="A10" t="s">
        <v>1875</v>
      </c>
      <c r="B10" t="s">
        <v>1876</v>
      </c>
      <c r="C10">
        <v>0</v>
      </c>
      <c r="D10">
        <v>0</v>
      </c>
      <c r="E10">
        <v>0</v>
      </c>
      <c r="F10">
        <v>0</v>
      </c>
      <c r="G10">
        <v>0</v>
      </c>
      <c r="H10">
        <v>0</v>
      </c>
      <c r="I10">
        <v>0</v>
      </c>
      <c r="J10">
        <v>0</v>
      </c>
      <c r="K10">
        <f>'Supply Side IRA'!R14</f>
        <v>0</v>
      </c>
      <c r="L10">
        <f>'Supply Side IRA'!S14</f>
        <v>4.7396187820222604</v>
      </c>
      <c r="M10">
        <f>'Supply Side IRA'!T14</f>
        <v>7.9776986848321831</v>
      </c>
      <c r="N10">
        <f>'Supply Side IRA'!U14</f>
        <v>30.340947133778037</v>
      </c>
      <c r="O10">
        <f>'Supply Side IRA'!V14</f>
        <v>46.245323437552436</v>
      </c>
      <c r="P10" s="71">
        <f>'Supply Side IRA'!W14</f>
        <v>62.071265434561823</v>
      </c>
      <c r="Q10" s="71">
        <f>'Supply Side IRA'!X14</f>
        <v>68.312190099849346</v>
      </c>
      <c r="R10" s="71">
        <f>'Supply Side IRA'!Y14</f>
        <v>78.014538004655279</v>
      </c>
      <c r="S10" s="71">
        <f>'Supply Side IRA'!Z14</f>
        <v>85.438721583871441</v>
      </c>
      <c r="T10" s="71">
        <f>'Supply Side IRA'!AA14</f>
        <v>79.629002831748679</v>
      </c>
      <c r="U10" s="71">
        <f>'Supply Side IRA'!AB14</f>
        <v>71.179167218325318</v>
      </c>
      <c r="V10" s="71">
        <f>'Supply Side IRA'!AC14</f>
        <v>73.980636292422588</v>
      </c>
    </row>
    <row r="11" spans="1:22" x14ac:dyDescent="0.25">
      <c r="A11" s="14" t="s">
        <v>1879</v>
      </c>
      <c r="B11" t="s">
        <v>1880</v>
      </c>
      <c r="C11">
        <v>45</v>
      </c>
      <c r="D11">
        <f>'Student loans'!K11</f>
        <v>45</v>
      </c>
      <c r="E11">
        <f>'Student loans'!L11</f>
        <v>45</v>
      </c>
      <c r="F11">
        <f>'Student loans'!M11</f>
        <v>45</v>
      </c>
      <c r="G11">
        <f>'Student loans'!N11</f>
        <v>45</v>
      </c>
      <c r="H11">
        <f>'Student loans'!O11</f>
        <v>45</v>
      </c>
      <c r="I11">
        <f>'Student loans'!P11</f>
        <v>45</v>
      </c>
      <c r="J11">
        <f>'Student loans'!Q11</f>
        <v>45</v>
      </c>
      <c r="K11">
        <f>'Student loans'!R11</f>
        <v>45</v>
      </c>
      <c r="L11">
        <f>'Student loans'!S11</f>
        <v>45</v>
      </c>
      <c r="M11">
        <f>'Student loans'!T11</f>
        <v>45</v>
      </c>
      <c r="N11">
        <f>'Student loans'!U11</f>
        <v>45</v>
      </c>
      <c r="O11">
        <f>'Student loans'!V11</f>
        <v>45</v>
      </c>
      <c r="P11" s="71">
        <f>'Student loans'!W11</f>
        <v>2.0815079999999999</v>
      </c>
      <c r="Q11" s="71">
        <f>'Student loans'!X11</f>
        <v>2.1006180000000003</v>
      </c>
      <c r="R11" s="71">
        <f>'Student loans'!Y11</f>
        <v>2.5815300000000003</v>
      </c>
      <c r="S11" s="71">
        <f>'Student loans'!Z11</f>
        <v>2.6040450000000002</v>
      </c>
      <c r="T11" s="71">
        <f>'Student loans'!AA11</f>
        <v>2.626465</v>
      </c>
      <c r="U11" s="71">
        <f>'Student loans'!AB11</f>
        <v>2.6498349999999999</v>
      </c>
      <c r="V11" s="71">
        <f>'Student loans'!AC11</f>
        <v>2.6454420000000001</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zoomScale="124" zoomScaleNormal="124" workbookViewId="0">
      <selection activeCell="J4" sqref="J4"/>
    </sheetView>
  </sheetViews>
  <sheetFormatPr defaultColWidth="10.85546875" defaultRowHeight="15" x14ac:dyDescent="0.25"/>
  <cols>
    <col min="1" max="1" width="32.85546875" customWidth="1"/>
    <col min="2" max="2" width="28.5703125" customWidth="1"/>
  </cols>
  <sheetData>
    <row r="1" spans="1:10" x14ac:dyDescent="0.25">
      <c r="A1" s="69" t="s">
        <v>178</v>
      </c>
      <c r="B1" s="69" t="s">
        <v>179</v>
      </c>
      <c r="C1" s="78" t="s">
        <v>763</v>
      </c>
      <c r="D1" s="78" t="s">
        <v>764</v>
      </c>
      <c r="E1" s="78" t="s">
        <v>765</v>
      </c>
      <c r="F1" s="78" t="s">
        <v>1898</v>
      </c>
      <c r="G1" s="78" t="s">
        <v>1152</v>
      </c>
      <c r="H1" s="78" t="s">
        <v>1153</v>
      </c>
      <c r="I1" s="78" t="s">
        <v>1154</v>
      </c>
      <c r="J1" s="78" t="s">
        <v>1155</v>
      </c>
    </row>
    <row r="2" spans="1:10" x14ac:dyDescent="0.25">
      <c r="A2" s="77" t="s">
        <v>1700</v>
      </c>
      <c r="B2" t="s">
        <v>1718</v>
      </c>
      <c r="C2" s="76">
        <f>Deflators!AD23</f>
        <v>6.8012091173692557E-3</v>
      </c>
      <c r="D2" s="76">
        <f>Deflators!AE23</f>
        <v>5.9160265843611892E-3</v>
      </c>
      <c r="E2" s="76">
        <f>Deflators!AF23</f>
        <v>5.4580007617439641E-3</v>
      </c>
      <c r="F2" s="76">
        <f>Deflators!AG23</f>
        <v>5.3246047022768028E-3</v>
      </c>
      <c r="G2" s="76">
        <f>Deflators!AH23</f>
        <v>5.0560151008076648E-3</v>
      </c>
      <c r="H2" s="76">
        <f>Deflators!AI23</f>
        <v>5.0400673136283825E-3</v>
      </c>
      <c r="I2" s="76">
        <f>Deflators!AJ23</f>
        <v>5.0641944009628403E-3</v>
      </c>
      <c r="J2" s="76">
        <f>Deflators!AK23</f>
        <v>5.0315604958042215E-3</v>
      </c>
    </row>
    <row r="3" spans="1:10" x14ac:dyDescent="0.25">
      <c r="A3" s="67" t="s">
        <v>1714</v>
      </c>
      <c r="B3" t="s">
        <v>1719</v>
      </c>
      <c r="C3" s="76">
        <f>Deflators!AD24</f>
        <v>3.8032220794554927E-3</v>
      </c>
      <c r="D3" s="76">
        <f>Deflators!AE24</f>
        <v>3.6622499009297815E-3</v>
      </c>
      <c r="E3" s="76">
        <f>Deflators!AF24</f>
        <v>3.7586565053258081E-3</v>
      </c>
      <c r="F3" s="76">
        <f>Deflators!AG24</f>
        <v>5.3360385557714718E-3</v>
      </c>
      <c r="G3" s="76">
        <f>Deflators!AH24</f>
        <v>5.6496540320822852E-3</v>
      </c>
      <c r="H3" s="76">
        <f>Deflators!AI24</f>
        <v>5.7657657657657069E-3</v>
      </c>
      <c r="I3" s="76">
        <f>Deflators!AJ24</f>
        <v>5.9196503336531592E-3</v>
      </c>
      <c r="J3" s="76">
        <f>Deflators!AK24</f>
        <v>5.5566525119521426E-3</v>
      </c>
    </row>
    <row r="4" spans="1:10" x14ac:dyDescent="0.25">
      <c r="A4" s="67" t="s">
        <v>1715</v>
      </c>
      <c r="B4" t="s">
        <v>1720</v>
      </c>
      <c r="C4" s="76">
        <f>Deflators!AD25</f>
        <v>7.076115293487284E-3</v>
      </c>
      <c r="D4" s="76">
        <f>Deflators!AE25</f>
        <v>7.7455120761196206E-3</v>
      </c>
      <c r="E4" s="76">
        <f>Deflators!AF25</f>
        <v>8.0020266414988495E-3</v>
      </c>
      <c r="F4" s="76">
        <f>Deflators!AG25</f>
        <v>8.189994905591913E-3</v>
      </c>
      <c r="G4" s="76">
        <f>Deflators!AH25</f>
        <v>7.7655046872424638E-3</v>
      </c>
      <c r="H4" s="76">
        <f>Deflators!AI25</f>
        <v>7.6646909789201967E-3</v>
      </c>
      <c r="I4" s="76">
        <f>Deflators!AJ25</f>
        <v>7.6652640346144274E-3</v>
      </c>
      <c r="J4" s="76">
        <f>Deflators!AK25</f>
        <v>7.549640626419496E-3</v>
      </c>
    </row>
    <row r="5" spans="1:10" x14ac:dyDescent="0.25">
      <c r="A5" s="67" t="s">
        <v>1716</v>
      </c>
      <c r="B5" t="s">
        <v>1721</v>
      </c>
      <c r="C5" s="76">
        <f>Deflators!AD26</f>
        <v>7.076115293487284E-3</v>
      </c>
      <c r="D5" s="76">
        <f>Deflators!AE26</f>
        <v>7.7455120761196206E-3</v>
      </c>
      <c r="E5" s="76">
        <f>Deflators!AF26</f>
        <v>8.0020266414988495E-3</v>
      </c>
      <c r="F5" s="76">
        <f>Deflators!AG26</f>
        <v>8.189994905591913E-3</v>
      </c>
      <c r="G5" s="76">
        <f>Deflators!AH26</f>
        <v>7.7655046872424638E-3</v>
      </c>
      <c r="H5" s="76">
        <f>Deflators!AI26</f>
        <v>7.6646909789201967E-3</v>
      </c>
      <c r="I5" s="76">
        <f>Deflators!AJ26</f>
        <v>7.6652640346144274E-3</v>
      </c>
      <c r="J5" s="76">
        <f>Deflators!AK26</f>
        <v>7.549640626419496E-3</v>
      </c>
    </row>
    <row r="6" spans="1:10" x14ac:dyDescent="0.25">
      <c r="A6" s="56" t="s">
        <v>1717</v>
      </c>
      <c r="B6" t="s">
        <v>1722</v>
      </c>
      <c r="C6" s="76">
        <f>Deflators!AD27</f>
        <v>7.076115293487284E-3</v>
      </c>
      <c r="D6" s="76">
        <f>Deflators!AE27</f>
        <v>7.7455120761196206E-3</v>
      </c>
      <c r="E6" s="76">
        <f>Deflators!AF27</f>
        <v>8.0020266414988495E-3</v>
      </c>
      <c r="F6" s="76">
        <f>Deflators!AG27</f>
        <v>8.189994905591913E-3</v>
      </c>
      <c r="G6" s="76">
        <f>Deflators!AH27</f>
        <v>7.7655046872424638E-3</v>
      </c>
      <c r="H6" s="76">
        <f>Deflators!AI27</f>
        <v>7.6646909789201967E-3</v>
      </c>
      <c r="I6" s="76">
        <f>Deflators!AJ27</f>
        <v>7.6652640346144274E-3</v>
      </c>
      <c r="J6" s="76">
        <f>Deflators!AK27</f>
        <v>7.549640626419496E-3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L128"/>
  <sheetViews>
    <sheetView topLeftCell="A64" zoomScaleNormal="100" workbookViewId="0">
      <selection activeCell="D94" sqref="D94"/>
    </sheetView>
  </sheetViews>
  <sheetFormatPr defaultColWidth="10.85546875" defaultRowHeight="15" x14ac:dyDescent="0.25"/>
  <cols>
    <col min="2" max="2" width="39.42578125" customWidth="1"/>
    <col min="3" max="3" width="20.140625" customWidth="1"/>
    <col min="5" max="5" width="12.42578125" customWidth="1"/>
  </cols>
  <sheetData>
    <row r="2" spans="2:12" x14ac:dyDescent="0.25">
      <c r="B2" s="1241" t="s">
        <v>1985</v>
      </c>
      <c r="C2" s="1241"/>
      <c r="D2" s="1241"/>
      <c r="E2" s="1241"/>
      <c r="F2" s="1241"/>
      <c r="G2" s="1241"/>
      <c r="H2" s="1241"/>
      <c r="I2" s="1241"/>
      <c r="J2" s="1241"/>
      <c r="K2" s="1241"/>
      <c r="L2" s="1241"/>
    </row>
    <row r="3" spans="2:12" x14ac:dyDescent="0.25">
      <c r="B3" t="str">
        <f>forecast!A1</f>
        <v>name</v>
      </c>
      <c r="C3" t="str">
        <f>forecast!B1</f>
        <v>variable</v>
      </c>
      <c r="D3" t="s">
        <v>177</v>
      </c>
      <c r="E3" t="s">
        <v>763</v>
      </c>
      <c r="F3" t="s">
        <v>764</v>
      </c>
      <c r="G3" t="s">
        <v>765</v>
      </c>
      <c r="H3" t="s">
        <v>1151</v>
      </c>
      <c r="I3" t="s">
        <v>1152</v>
      </c>
      <c r="J3" t="s">
        <v>1153</v>
      </c>
      <c r="K3" t="s">
        <v>1154</v>
      </c>
      <c r="L3" t="s">
        <v>1155</v>
      </c>
    </row>
    <row r="4" spans="2:12" x14ac:dyDescent="0.25">
      <c r="B4" t="str">
        <f>forecast!A2</f>
        <v>Consumption Grants</v>
      </c>
      <c r="C4" t="str">
        <f>forecast!B2</f>
        <v>consumption_grants</v>
      </c>
      <c r="D4" s="80">
        <f>forecast!C2</f>
        <v>424.254997</v>
      </c>
      <c r="E4" s="80">
        <f>forecast!D2</f>
        <v>419.73814268217643</v>
      </c>
      <c r="F4" s="80">
        <f>forecast!E2</f>
        <v>422.42439169649873</v>
      </c>
      <c r="G4" s="80">
        <f>forecast!F2</f>
        <v>421.25141049708719</v>
      </c>
      <c r="H4" s="80">
        <f>forecast!G2</f>
        <v>424.11699880000009</v>
      </c>
      <c r="I4" s="80">
        <f>forecast!H2</f>
        <v>424.20782290946357</v>
      </c>
      <c r="J4" s="80">
        <f>forecast!I2</f>
        <v>428.13016104435877</v>
      </c>
      <c r="K4" s="80">
        <f>forecast!J2</f>
        <v>430.08129416497064</v>
      </c>
      <c r="L4" s="80">
        <f>forecast!K2</f>
        <v>433.06150600000007</v>
      </c>
    </row>
    <row r="5" spans="2:12" x14ac:dyDescent="0.25">
      <c r="B5" t="str">
        <f>forecast!A3</f>
        <v>Investment Grants</v>
      </c>
      <c r="C5" t="str">
        <f>forecast!B3</f>
        <v>investment_grants</v>
      </c>
      <c r="D5" s="80">
        <f>forecast!C3</f>
        <v>79.275000000000006</v>
      </c>
      <c r="E5" s="80">
        <f>forecast!D3</f>
        <v>75.203000000000003</v>
      </c>
      <c r="F5" s="80">
        <f>forecast!E3</f>
        <v>75.203000000000003</v>
      </c>
      <c r="G5" s="80">
        <f>forecast!F3</f>
        <v>75.203000000000003</v>
      </c>
      <c r="H5" s="80">
        <f>forecast!G3</f>
        <v>75.203000000000003</v>
      </c>
      <c r="I5" s="80">
        <f>forecast!H3</f>
        <v>75.203000000000003</v>
      </c>
      <c r="J5" s="80">
        <f>forecast!I3</f>
        <v>75.203000000000003</v>
      </c>
      <c r="K5" s="80">
        <f>forecast!J3</f>
        <v>75.203000000000003</v>
      </c>
      <c r="L5" s="80">
        <f>forecast!K3</f>
        <v>75.203000000000003</v>
      </c>
    </row>
    <row r="6" spans="2:12" x14ac:dyDescent="0.25">
      <c r="B6" t="str">
        <f>forecast!A4</f>
        <v>Federal Purchases (NIPA Consistent)</v>
      </c>
      <c r="C6" t="str">
        <f>forecast!B4</f>
        <v>federal_purchases</v>
      </c>
      <c r="D6" s="80">
        <f>forecast!C4</f>
        <v>1925.3</v>
      </c>
      <c r="E6" s="80">
        <f>forecast!D4</f>
        <v>1925.0214659829066</v>
      </c>
      <c r="F6" s="80">
        <f>forecast!E4</f>
        <v>1930.5989912488317</v>
      </c>
      <c r="G6" s="80">
        <f>forecast!F4</f>
        <v>1936.4175225530107</v>
      </c>
      <c r="H6" s="80">
        <f>forecast!G4</f>
        <v>1946.5379849104011</v>
      </c>
      <c r="I6" s="80">
        <f>forecast!H4</f>
        <v>1957.037036177768</v>
      </c>
      <c r="J6" s="80">
        <f>forecast!I4</f>
        <v>1968.2904143916112</v>
      </c>
      <c r="K6" s="80">
        <f>forecast!J4</f>
        <v>1978.3400397419518</v>
      </c>
      <c r="L6" s="80">
        <f>forecast!K4</f>
        <v>1988.0073277127929</v>
      </c>
    </row>
    <row r="7" spans="2:12" x14ac:dyDescent="0.25">
      <c r="B7" t="str">
        <f>forecast!A5</f>
        <v>State Purchases (NIPA Consistent)</v>
      </c>
      <c r="C7" t="str">
        <f>forecast!B5</f>
        <v>state_purchases</v>
      </c>
      <c r="D7" s="80">
        <f>forecast!C5</f>
        <v>3215.2</v>
      </c>
      <c r="E7" s="80">
        <f>forecast!D5</f>
        <v>3241.5445213321673</v>
      </c>
      <c r="F7" s="80">
        <f>forecast!E5</f>
        <v>3271.1688483773178</v>
      </c>
      <c r="G7" s="80">
        <f>forecast!F5</f>
        <v>3301.899157033688</v>
      </c>
      <c r="H7" s="80">
        <f>forecast!G5</f>
        <v>3333.5039285268008</v>
      </c>
      <c r="I7" s="80">
        <f>forecast!H5</f>
        <v>3362.9707697495755</v>
      </c>
      <c r="J7" s="80">
        <f>forecast!I5</f>
        <v>3392.9928284806133</v>
      </c>
      <c r="K7" s="80">
        <f>forecast!J5</f>
        <v>3422.2913543530881</v>
      </c>
      <c r="L7" s="80">
        <f>forecast!K5</f>
        <v>3450.950375612596</v>
      </c>
    </row>
    <row r="8" spans="2:12" x14ac:dyDescent="0.25">
      <c r="B8" t="str">
        <f>forecast!A6</f>
        <v>Non-ARP Subsidies + ARP Provider Relief and PPP</v>
      </c>
      <c r="C8" t="str">
        <f>forecast!B6</f>
        <v>federal_subsidies</v>
      </c>
      <c r="D8" s="80">
        <f>forecast!C6</f>
        <v>105.70099999999999</v>
      </c>
      <c r="E8" s="80">
        <f>forecast!D6</f>
        <v>97.678999999999988</v>
      </c>
      <c r="F8" s="80">
        <f>forecast!E6</f>
        <v>97.678999999999988</v>
      </c>
      <c r="G8" s="80">
        <f>forecast!F6</f>
        <v>102.018</v>
      </c>
      <c r="H8" s="80">
        <f>forecast!G6</f>
        <v>99.867999999999995</v>
      </c>
      <c r="I8" s="80">
        <f>forecast!H6</f>
        <v>99.867999999999995</v>
      </c>
      <c r="J8" s="80">
        <f>forecast!I6</f>
        <v>99.867999999999995</v>
      </c>
      <c r="K8" s="80">
        <f>forecast!J6</f>
        <v>99.867999999999995</v>
      </c>
      <c r="L8" s="80">
        <f>forecast!K6</f>
        <v>99.867999999999995</v>
      </c>
    </row>
    <row r="9" spans="2:12" x14ac:dyDescent="0.25">
      <c r="B9" t="str">
        <f>forecast!A7</f>
        <v>ARP Subsidies less Provider Relief and PPP</v>
      </c>
      <c r="C9" t="str">
        <f>forecast!B7</f>
        <v>federal_aid_to_small_businesses_arp</v>
      </c>
      <c r="D9" s="80">
        <f>forecast!C7</f>
        <v>-0.90100000000000025</v>
      </c>
      <c r="E9" s="80">
        <f>forecast!D7</f>
        <v>-0.90100000000000025</v>
      </c>
      <c r="F9" s="80">
        <f>forecast!E7</f>
        <v>-0.90100000000000025</v>
      </c>
      <c r="G9" s="80">
        <f>forecast!F7</f>
        <v>-2.1500000000000004</v>
      </c>
      <c r="H9" s="80">
        <f>forecast!G7</f>
        <v>0</v>
      </c>
      <c r="I9" s="80">
        <f>forecast!H7</f>
        <v>0</v>
      </c>
      <c r="J9" s="80">
        <f>forecast!I7</f>
        <v>0</v>
      </c>
      <c r="K9" s="80">
        <f>forecast!J7</f>
        <v>0</v>
      </c>
      <c r="L9" s="80">
        <f>forecast!K7</f>
        <v>0</v>
      </c>
    </row>
    <row r="10" spans="2:12" x14ac:dyDescent="0.25">
      <c r="B10" t="str">
        <f>forecast!A8</f>
        <v>Federal UI</v>
      </c>
      <c r="C10" t="str">
        <f>forecast!B8</f>
        <v>federal_ui</v>
      </c>
      <c r="D10" s="80">
        <f>forecast!C8</f>
        <v>9.9999999999994316E-2</v>
      </c>
      <c r="E10" s="80">
        <f>forecast!D8</f>
        <v>0</v>
      </c>
      <c r="F10" s="80">
        <f>forecast!E8</f>
        <v>0</v>
      </c>
      <c r="G10" s="80">
        <f>forecast!F8</f>
        <v>0</v>
      </c>
      <c r="H10" s="80">
        <f>forecast!G8</f>
        <v>0</v>
      </c>
      <c r="I10" s="80">
        <f>forecast!H8</f>
        <v>0</v>
      </c>
      <c r="J10" s="80">
        <f>forecast!I8</f>
        <v>0</v>
      </c>
      <c r="K10" s="80">
        <f>forecast!J8</f>
        <v>0</v>
      </c>
      <c r="L10" s="80">
        <f>forecast!K8</f>
        <v>0</v>
      </c>
    </row>
    <row r="11" spans="2:12" x14ac:dyDescent="0.25">
      <c r="B11" t="str">
        <f>forecast!A9</f>
        <v>State UI</v>
      </c>
      <c r="C11" t="str">
        <f>forecast!B9</f>
        <v>state_ui</v>
      </c>
      <c r="D11" s="80">
        <f>forecast!C9</f>
        <v>35.700000000000003</v>
      </c>
      <c r="E11" s="80">
        <f>forecast!D9</f>
        <v>35.700000000000003</v>
      </c>
      <c r="F11" s="80">
        <f>forecast!E9</f>
        <v>35.700000000000003</v>
      </c>
      <c r="G11" s="80">
        <f>forecast!F9</f>
        <v>35.700000000000003</v>
      </c>
      <c r="H11" s="80">
        <f>forecast!G9</f>
        <v>35.700000000000003</v>
      </c>
      <c r="I11" s="80">
        <f>forecast!H9</f>
        <v>35.700000000000003</v>
      </c>
      <c r="J11" s="80">
        <f>forecast!I9</f>
        <v>35.700000000000003</v>
      </c>
      <c r="K11" s="80">
        <f>forecast!J9</f>
        <v>35.700000000000003</v>
      </c>
      <c r="L11" s="80">
        <f>forecast!K9</f>
        <v>36.700000000000003</v>
      </c>
    </row>
    <row r="12" spans="2:12" x14ac:dyDescent="0.25">
      <c r="B12" t="str">
        <f>forecast!A10</f>
        <v>Federal Medicaid</v>
      </c>
      <c r="C12" t="str">
        <f>forecast!B10</f>
        <v>medicaid_grants</v>
      </c>
      <c r="D12" s="80">
        <f>forecast!C10</f>
        <v>647.03</v>
      </c>
      <c r="E12" s="80">
        <f>forecast!D10</f>
        <v>662.99467607709084</v>
      </c>
      <c r="F12" s="80">
        <f>forecast!E10</f>
        <v>676.71634748635768</v>
      </c>
      <c r="G12" s="80">
        <f>forecast!F10</f>
        <v>686.50756304311074</v>
      </c>
      <c r="H12" s="80">
        <f>forecast!G10</f>
        <v>694.68904776121451</v>
      </c>
      <c r="I12" s="80">
        <f>forecast!H10</f>
        <v>708.47318122785282</v>
      </c>
      <c r="J12" s="80">
        <f>forecast!I10</f>
        <v>719.72313447129341</v>
      </c>
      <c r="K12" s="80">
        <f>forecast!J10</f>
        <v>729.96383786820741</v>
      </c>
      <c r="L12" s="80">
        <f>forecast!K10</f>
        <v>740.54278676547904</v>
      </c>
    </row>
    <row r="13" spans="2:12" x14ac:dyDescent="0.25">
      <c r="B13" t="str">
        <f>forecast!A11</f>
        <v>Total Medicaid</v>
      </c>
      <c r="C13" t="str">
        <f>forecast!B11</f>
        <v>medicaid</v>
      </c>
      <c r="D13" s="80">
        <f>forecast!C11</f>
        <v>966.6</v>
      </c>
      <c r="E13" s="80">
        <f>forecast!D11</f>
        <v>971.46435495301887</v>
      </c>
      <c r="F13" s="80">
        <f>forecast!E11</f>
        <v>990.42364361020816</v>
      </c>
      <c r="G13" s="80">
        <f>forecast!F11</f>
        <v>1006.3990306414189</v>
      </c>
      <c r="H13" s="80">
        <f>forecast!G11</f>
        <v>1022.6320983049969</v>
      </c>
      <c r="I13" s="80">
        <f>forecast!H11</f>
        <v>1039.1270029514687</v>
      </c>
      <c r="J13" s="80">
        <f>forecast!I11</f>
        <v>1055.8879679726806</v>
      </c>
      <c r="K13" s="80">
        <f>forecast!J11</f>
        <v>1071.552919993354</v>
      </c>
      <c r="L13" s="80">
        <f>forecast!K11</f>
        <v>1087.4502742472691</v>
      </c>
    </row>
    <row r="14" spans="2:12" x14ac:dyDescent="0.25">
      <c r="B14" t="str">
        <f>forecast!A12</f>
        <v>Medicare</v>
      </c>
      <c r="C14" t="str">
        <f>forecast!B12</f>
        <v>medicare</v>
      </c>
      <c r="D14" s="80">
        <f>forecast!C12</f>
        <v>1150.3</v>
      </c>
      <c r="E14" s="80">
        <f>forecast!D12</f>
        <v>1164.9491604763948</v>
      </c>
      <c r="F14" s="80">
        <f>forecast!E12</f>
        <v>1179.7848791573131</v>
      </c>
      <c r="G14" s="80">
        <f>forecast!F12</f>
        <v>1197.440355942422</v>
      </c>
      <c r="H14" s="80">
        <f>forecast!G12</f>
        <v>1215.3600468787854</v>
      </c>
      <c r="I14" s="80">
        <f>forecast!H12</f>
        <v>1233.5479059302966</v>
      </c>
      <c r="J14" s="80">
        <f>forecast!I12</f>
        <v>1252.0079462319047</v>
      </c>
      <c r="K14" s="80">
        <f>forecast!J12</f>
        <v>1270.9058610295497</v>
      </c>
      <c r="L14" s="80">
        <f>forecast!K12</f>
        <v>1290.0890225660623</v>
      </c>
    </row>
    <row r="15" spans="2:12" x14ac:dyDescent="0.25">
      <c r="B15" t="str">
        <f>forecast!A13</f>
        <v>Non-ARP Rebate Checks</v>
      </c>
      <c r="C15" t="str">
        <f>forecast!B13</f>
        <v>rebate_checks</v>
      </c>
      <c r="D15" s="80">
        <f>forecast!C13</f>
        <v>0</v>
      </c>
      <c r="E15" s="80">
        <f>forecast!D13</f>
        <v>0</v>
      </c>
      <c r="F15" s="80">
        <f>forecast!E13</f>
        <v>0</v>
      </c>
      <c r="G15" s="80">
        <f>forecast!F13</f>
        <v>0</v>
      </c>
      <c r="H15" s="80">
        <f>forecast!G13</f>
        <v>0</v>
      </c>
      <c r="I15" s="80">
        <f>forecast!H13</f>
        <v>0</v>
      </c>
      <c r="J15" s="80">
        <f>forecast!I13</f>
        <v>0</v>
      </c>
      <c r="K15" s="80">
        <f>forecast!J13</f>
        <v>0</v>
      </c>
      <c r="L15" s="80">
        <f>forecast!K13</f>
        <v>0</v>
      </c>
    </row>
    <row r="16" spans="2:12" x14ac:dyDescent="0.25">
      <c r="B16" t="str">
        <f>forecast!A14</f>
        <v>ARP Rebate Checks</v>
      </c>
      <c r="C16" t="str">
        <f>forecast!B14</f>
        <v>rebate_checks_arp</v>
      </c>
      <c r="D16" s="80">
        <f>forecast!C14</f>
        <v>0</v>
      </c>
      <c r="E16" s="80">
        <f>forecast!D14</f>
        <v>0</v>
      </c>
      <c r="F16" s="80">
        <f>forecast!E14</f>
        <v>0</v>
      </c>
      <c r="G16" s="80">
        <f>forecast!F14</f>
        <v>0</v>
      </c>
      <c r="H16" s="80">
        <f>forecast!G14</f>
        <v>0</v>
      </c>
      <c r="I16" s="80">
        <f>forecast!H14</f>
        <v>0</v>
      </c>
      <c r="J16" s="80">
        <f>forecast!I14</f>
        <v>0</v>
      </c>
      <c r="K16" s="80">
        <f>forecast!J14</f>
        <v>0</v>
      </c>
      <c r="L16" s="80">
        <f>forecast!K14</f>
        <v>0</v>
      </c>
    </row>
    <row r="17" spans="2:12" x14ac:dyDescent="0.25">
      <c r="B17" t="str">
        <f>forecast!A15</f>
        <v>ARP Other Vulnerable</v>
      </c>
      <c r="C17" t="str">
        <f>forecast!B15</f>
        <v>federal_other_vulnerable_arp</v>
      </c>
      <c r="D17" s="80">
        <f>forecast!C15</f>
        <v>2.3719999999999999</v>
      </c>
      <c r="E17" s="80">
        <f>forecast!D15</f>
        <v>2.3719999999999999</v>
      </c>
      <c r="F17" s="80">
        <f>forecast!E15</f>
        <v>2.3719999999999999</v>
      </c>
      <c r="G17" s="80">
        <f>forecast!F15</f>
        <v>0.49</v>
      </c>
      <c r="H17" s="80">
        <f>forecast!G15</f>
        <v>0</v>
      </c>
      <c r="I17" s="80">
        <f>forecast!H15</f>
        <v>0</v>
      </c>
      <c r="J17" s="80">
        <f>forecast!I15</f>
        <v>0</v>
      </c>
      <c r="K17" s="80">
        <f>forecast!J15</f>
        <v>0</v>
      </c>
      <c r="L17" s="80">
        <f>forecast!K15</f>
        <v>0</v>
      </c>
    </row>
    <row r="18" spans="2:12" x14ac:dyDescent="0.25">
      <c r="B18" t="str">
        <f>forecast!A16</f>
        <v xml:space="preserve">ARP Other Direct Aid plus Provider Relief </v>
      </c>
      <c r="C18" t="str">
        <f>forecast!B16</f>
        <v>federal_other_direct_aid_arp</v>
      </c>
      <c r="D18" s="80">
        <f>forecast!C16</f>
        <v>1.63</v>
      </c>
      <c r="E18" s="80">
        <f>forecast!D16</f>
        <v>1.63</v>
      </c>
      <c r="F18" s="80">
        <f>forecast!E16</f>
        <v>1.63</v>
      </c>
      <c r="G18" s="80">
        <f>forecast!F16</f>
        <v>1.671</v>
      </c>
      <c r="H18" s="80">
        <f>forecast!G16</f>
        <v>0</v>
      </c>
      <c r="I18" s="80">
        <f>forecast!H16</f>
        <v>0</v>
      </c>
      <c r="J18" s="80">
        <f>forecast!I16</f>
        <v>0</v>
      </c>
      <c r="K18" s="80">
        <f>forecast!J16</f>
        <v>0</v>
      </c>
      <c r="L18" s="80">
        <f>forecast!K16</f>
        <v>0</v>
      </c>
    </row>
    <row r="19" spans="2:12" x14ac:dyDescent="0.25">
      <c r="B19" t="str">
        <f>forecast!A17</f>
        <v>Other Federal Social Benefits (including all SNAP)</v>
      </c>
      <c r="C19" t="str">
        <f>forecast!B17</f>
        <v>federal_social_benefits</v>
      </c>
      <c r="D19" s="80">
        <f>forecast!C17</f>
        <v>2245.5980000000004</v>
      </c>
      <c r="E19" s="80">
        <f>forecast!D17</f>
        <v>2252.2980000000002</v>
      </c>
      <c r="F19" s="80">
        <f>forecast!E17</f>
        <v>2258.998</v>
      </c>
      <c r="G19" s="80">
        <f>forecast!F17</f>
        <v>2249.4590000000003</v>
      </c>
      <c r="H19" s="80">
        <f>forecast!G17</f>
        <v>2293.1596530350002</v>
      </c>
      <c r="I19" s="80">
        <f>forecast!H17</f>
        <v>2299.1316530350005</v>
      </c>
      <c r="J19" s="80">
        <f>forecast!I17</f>
        <v>2306.8316530350003</v>
      </c>
      <c r="K19" s="80">
        <f>forecast!J17</f>
        <v>2314.5316530350001</v>
      </c>
      <c r="L19" s="80">
        <f>forecast!K17</f>
        <v>2361.5111840898053</v>
      </c>
    </row>
    <row r="20" spans="2:12" x14ac:dyDescent="0.25">
      <c r="B20" t="str">
        <f>forecast!A18</f>
        <v>State Social Benefits ex Medicaid</v>
      </c>
      <c r="C20" t="str">
        <f>forecast!B18</f>
        <v>state_social_benefits</v>
      </c>
      <c r="D20" s="80">
        <f>forecast!C18</f>
        <v>228.02904740969223</v>
      </c>
      <c r="E20" s="80">
        <f>forecast!D18</f>
        <v>231.36246347492295</v>
      </c>
      <c r="F20" s="80">
        <f>forecast!E18</f>
        <v>234.7446086945757</v>
      </c>
      <c r="G20" s="80">
        <f>forecast!F18</f>
        <v>238.17619541011769</v>
      </c>
      <c r="H20" s="80">
        <f>forecast!G18</f>
        <v>241.65794637629688</v>
      </c>
      <c r="I20" s="80">
        <f>forecast!H18</f>
        <v>245.19059491336728</v>
      </c>
      <c r="J20" s="80">
        <f>forecast!I18</f>
        <v>248.77488506153966</v>
      </c>
      <c r="K20" s="80">
        <f>forecast!J18</f>
        <v>252.41157173768991</v>
      </c>
      <c r="L20" s="80">
        <f>forecast!K18</f>
        <v>256.10142089435828</v>
      </c>
    </row>
    <row r="21" spans="2:12" x14ac:dyDescent="0.25">
      <c r="B21" t="str">
        <f>forecast!A19</f>
        <v>Federal Non-Corporate Taxes</v>
      </c>
      <c r="C21" t="str">
        <f>forecast!B19</f>
        <v>federal_non_corporate_taxes</v>
      </c>
      <c r="D21" s="80">
        <f>forecast!C19</f>
        <v>4610.4000000000005</v>
      </c>
      <c r="E21" s="80">
        <f>forecast!D19</f>
        <v>4663.3480681024839</v>
      </c>
      <c r="F21" s="80">
        <f>forecast!E19</f>
        <v>4686.6621707686754</v>
      </c>
      <c r="G21" s="80">
        <f>forecast!F19</f>
        <v>4710.1942189707024</v>
      </c>
      <c r="H21" s="80">
        <f>forecast!G19</f>
        <v>4798.7621704165776</v>
      </c>
      <c r="I21" s="80">
        <f>forecast!H19</f>
        <v>4831.4605855356285</v>
      </c>
      <c r="J21" s="80">
        <f>forecast!I19</f>
        <v>4864.535151296147</v>
      </c>
      <c r="K21" s="80">
        <f>forecast!J19</f>
        <v>4897.9882467823263</v>
      </c>
      <c r="L21" s="80">
        <f>forecast!K19</f>
        <v>5064.6188779027389</v>
      </c>
    </row>
    <row r="22" spans="2:12" x14ac:dyDescent="0.25">
      <c r="B22" t="str">
        <f>forecast!A20</f>
        <v>State Non-Corporate Taxes</v>
      </c>
      <c r="C22" t="str">
        <f>forecast!B20</f>
        <v>state_non_corporate_taxes</v>
      </c>
      <c r="D22" s="80">
        <f>forecast!C20</f>
        <v>2542.3000000000002</v>
      </c>
      <c r="E22" s="80">
        <f>forecast!D20</f>
        <v>2562.7511787268172</v>
      </c>
      <c r="F22" s="80">
        <f>forecast!E20</f>
        <v>2589.7593229745835</v>
      </c>
      <c r="G22" s="80">
        <f>forecast!F20</f>
        <v>2616.3584221483529</v>
      </c>
      <c r="H22" s="80">
        <f>forecast!G20</f>
        <v>2640.8190011756606</v>
      </c>
      <c r="I22" s="80">
        <f>forecast!H20</f>
        <v>2666.2743895213348</v>
      </c>
      <c r="J22" s="80">
        <f>forecast!I20</f>
        <v>2689.5030919242104</v>
      </c>
      <c r="K22" s="80">
        <f>forecast!J20</f>
        <v>2714.6720416715066</v>
      </c>
      <c r="L22" s="80">
        <f>forecast!K20</f>
        <v>2741.2709284302364</v>
      </c>
    </row>
    <row r="23" spans="2:12" x14ac:dyDescent="0.25">
      <c r="B23" t="str">
        <f>forecast!A21</f>
        <v>Federal Corporate Taxes</v>
      </c>
      <c r="C23" t="str">
        <f>forecast!B21</f>
        <v>federal_corporate_taxes</v>
      </c>
      <c r="D23" s="80">
        <f>forecast!C21</f>
        <v>528.95823142687641</v>
      </c>
      <c r="E23" s="80">
        <f>forecast!D21</f>
        <v>546.37143252147803</v>
      </c>
      <c r="F23" s="80">
        <f>forecast!E21</f>
        <v>564.35787277627401</v>
      </c>
      <c r="G23" s="80">
        <f>forecast!F21</f>
        <v>560.87077630489205</v>
      </c>
      <c r="H23" s="80">
        <f>forecast!G21</f>
        <v>557.40522616499095</v>
      </c>
      <c r="I23" s="80">
        <f>forecast!H21</f>
        <v>553.96108922449264</v>
      </c>
      <c r="J23" s="80">
        <f>forecast!I21</f>
        <v>550.53823317392516</v>
      </c>
      <c r="K23" s="80">
        <f>forecast!J21</f>
        <v>547.13652652134033</v>
      </c>
      <c r="L23" s="80">
        <f>forecast!K21</f>
        <v>543.75583858726213</v>
      </c>
    </row>
    <row r="24" spans="2:12" x14ac:dyDescent="0.25">
      <c r="B24" t="str">
        <f>forecast!A22</f>
        <v>State Corporate Taxes</v>
      </c>
      <c r="C24" s="56" t="str">
        <f>forecast!B22</f>
        <v>state_corporate_taxes</v>
      </c>
      <c r="D24" s="80">
        <f>forecast!C22</f>
        <v>159.5627788290613</v>
      </c>
      <c r="E24" s="80">
        <f>forecast!D22</f>
        <v>159.49686908653018</v>
      </c>
      <c r="F24" s="80">
        <f>forecast!E22</f>
        <v>159.63339641034463</v>
      </c>
      <c r="G24" s="80">
        <f>forecast!F22</f>
        <v>159.55336315155685</v>
      </c>
      <c r="H24" s="80">
        <f>forecast!G22</f>
        <v>159.74638454039797</v>
      </c>
      <c r="I24" s="80">
        <f>forecast!H22</f>
        <v>160.06180973679682</v>
      </c>
      <c r="J24" s="80">
        <f>forecast!I22</f>
        <v>159.90174321922129</v>
      </c>
      <c r="K24" s="80">
        <f>forecast!J22</f>
        <v>160.09476460806238</v>
      </c>
      <c r="L24" s="80">
        <f>forecast!K22</f>
        <v>159.78875508916795</v>
      </c>
    </row>
    <row r="25" spans="2:12" x14ac:dyDescent="0.25">
      <c r="B25" s="56" t="str">
        <f>forecast!A23</f>
        <v>Federal Student Loans</v>
      </c>
      <c r="C25" s="56" t="str">
        <f>forecast!B23</f>
        <v>federal_student_loans</v>
      </c>
      <c r="D25" s="80">
        <f>forecast!C23</f>
        <v>2.6454420000000001</v>
      </c>
      <c r="E25" s="80">
        <f>forecast!D23</f>
        <v>2.6696</v>
      </c>
      <c r="F25" s="80">
        <f>forecast!E23</f>
        <v>2.693006</v>
      </c>
      <c r="G25" s="80">
        <f>forecast!F23</f>
        <v>2.7175400000000001</v>
      </c>
      <c r="H25" s="80">
        <f>forecast!G23</f>
        <v>2.7175400000000001</v>
      </c>
      <c r="I25" s="80">
        <f>forecast!H23</f>
        <v>2.7175400000000001</v>
      </c>
      <c r="J25" s="80">
        <f>forecast!I23</f>
        <v>0</v>
      </c>
      <c r="K25" s="80">
        <f>forecast!J23</f>
        <v>0</v>
      </c>
      <c r="L25" s="80">
        <f>forecast!K23</f>
        <v>0</v>
      </c>
    </row>
    <row r="26" spans="2:12" x14ac:dyDescent="0.25">
      <c r="B26" s="56"/>
      <c r="C26" s="56"/>
      <c r="D26" s="80"/>
      <c r="E26" s="80"/>
    </row>
    <row r="27" spans="2:12" x14ac:dyDescent="0.25">
      <c r="B27" s="69" t="s">
        <v>1888</v>
      </c>
      <c r="C27" s="56"/>
      <c r="D27" s="80"/>
      <c r="E27" s="80"/>
    </row>
    <row r="28" spans="2:12" x14ac:dyDescent="0.25">
      <c r="B28" s="56" t="s">
        <v>1702</v>
      </c>
      <c r="C28" s="56"/>
      <c r="D28" s="83">
        <f>Deflators!AC45</f>
        <v>3.6016899213072717E-2</v>
      </c>
      <c r="E28" s="83">
        <f>Deflators!AD45</f>
        <v>2.7483635680919154E-2</v>
      </c>
      <c r="F28" s="83">
        <f>Deflators!AE45</f>
        <v>2.3874932014508632E-2</v>
      </c>
      <c r="G28" s="83">
        <f>Deflators!AF45</f>
        <v>2.2011392938697361E-2</v>
      </c>
      <c r="H28" s="83">
        <f>Deflators!AG45</f>
        <v>2.1469131944638509E-2</v>
      </c>
      <c r="I28" s="83">
        <f>Deflators!AH45</f>
        <v>2.037795778240481E-2</v>
      </c>
      <c r="J28" s="83">
        <f>Deflators!AI45</f>
        <v>2.031319568771961E-2</v>
      </c>
      <c r="K28" s="83">
        <f>Deflators!AJ45</f>
        <v>2.0411174157790368E-2</v>
      </c>
      <c r="L28" s="83">
        <f>Deflators!AK45</f>
        <v>2.0278651758323107E-2</v>
      </c>
    </row>
    <row r="29" spans="2:12" x14ac:dyDescent="0.25">
      <c r="B29" s="56" t="s">
        <v>1703</v>
      </c>
      <c r="C29" s="56"/>
      <c r="D29" s="83">
        <f>Deflators!AC48</f>
        <v>5.4576365396832749E-2</v>
      </c>
      <c r="E29" s="83">
        <f>Deflators!AD48</f>
        <v>1.5299895562953081E-2</v>
      </c>
      <c r="F29" s="83">
        <f>Deflators!AE48</f>
        <v>1.4729668703095777E-2</v>
      </c>
      <c r="G29" s="83">
        <f>Deflators!AF48</f>
        <v>1.5119603614899724E-2</v>
      </c>
      <c r="H29" s="83">
        <f>Deflators!AG48</f>
        <v>2.1515602617293128E-2</v>
      </c>
      <c r="I29" s="83">
        <f>Deflators!AH48</f>
        <v>2.2790850007197161E-2</v>
      </c>
      <c r="J29" s="83">
        <f>Deflators!AI48</f>
        <v>2.3263295207157642E-2</v>
      </c>
      <c r="K29" s="83">
        <f>Deflators!AJ48</f>
        <v>2.3889685874715294E-2</v>
      </c>
      <c r="L29" s="83">
        <f>Deflators!AK48</f>
        <v>2.2412555601408091E-2</v>
      </c>
    </row>
    <row r="30" spans="2:12" x14ac:dyDescent="0.25">
      <c r="B30" s="56" t="s">
        <v>1704</v>
      </c>
      <c r="C30" s="56"/>
      <c r="D30" s="83">
        <f>Deflators!AC49</f>
        <v>4.3275185098242019E-2</v>
      </c>
      <c r="E30" s="83">
        <f>Deflators!AD49</f>
        <v>2.8606309371189242E-2</v>
      </c>
      <c r="F30" s="83">
        <f>Deflators!AE49</f>
        <v>3.1343868352262882E-2</v>
      </c>
      <c r="G30" s="83">
        <f>Deflators!AF49</f>
        <v>3.2394354805230341E-2</v>
      </c>
      <c r="H30" s="83">
        <f>Deflators!AG49</f>
        <v>3.3164637629816696E-2</v>
      </c>
      <c r="I30" s="83">
        <f>Deflators!AH49</f>
        <v>3.1425713898589613E-2</v>
      </c>
      <c r="J30" s="83">
        <f>Deflators!AI49</f>
        <v>3.1013053419121528E-2</v>
      </c>
      <c r="K30" s="83">
        <f>Deflators!AJ49</f>
        <v>3.1015398756455648E-2</v>
      </c>
      <c r="L30" s="83">
        <f>Deflators!AK49</f>
        <v>3.0542269425562596E-2</v>
      </c>
    </row>
    <row r="31" spans="2:12" x14ac:dyDescent="0.25">
      <c r="B31" s="56" t="s">
        <v>1705</v>
      </c>
      <c r="C31" s="56"/>
      <c r="D31" s="83">
        <f>Deflators!AC51</f>
        <v>4.779852512065097E-2</v>
      </c>
      <c r="E31" s="83">
        <f>Deflators!AD51</f>
        <v>2.8606309371189242E-2</v>
      </c>
      <c r="F31" s="83">
        <f>Deflators!AE51</f>
        <v>3.1343868352262882E-2</v>
      </c>
      <c r="G31" s="83">
        <f>Deflators!AF51</f>
        <v>3.2394354805230341E-2</v>
      </c>
      <c r="H31" s="83">
        <f>Deflators!AG51</f>
        <v>3.3164637629816696E-2</v>
      </c>
      <c r="I31" s="83">
        <f>Deflators!AH51</f>
        <v>3.1425713898589613E-2</v>
      </c>
      <c r="J31" s="83">
        <f>Deflators!AI51</f>
        <v>3.1013053419121528E-2</v>
      </c>
      <c r="K31" s="83">
        <f>Deflators!AJ51</f>
        <v>3.1015398756455648E-2</v>
      </c>
      <c r="L31" s="83">
        <f>Deflators!AK51</f>
        <v>3.0542269425562596E-2</v>
      </c>
    </row>
    <row r="32" spans="2:12" x14ac:dyDescent="0.25">
      <c r="B32" s="56" t="s">
        <v>1706</v>
      </c>
      <c r="C32" s="56"/>
      <c r="D32" s="83">
        <f>Deflators!AC52</f>
        <v>2.4705923786078277E-2</v>
      </c>
      <c r="E32" s="83">
        <f>Deflators!AD52</f>
        <v>2.8606309371189242E-2</v>
      </c>
      <c r="F32" s="83">
        <f>Deflators!AE52</f>
        <v>3.1343868352262882E-2</v>
      </c>
      <c r="G32" s="83">
        <f>Deflators!AF52</f>
        <v>3.2394354805230341E-2</v>
      </c>
      <c r="H32" s="83">
        <f>Deflators!AG52</f>
        <v>3.3164637629816696E-2</v>
      </c>
      <c r="I32" s="83">
        <f>Deflators!AH52</f>
        <v>3.1425713898589613E-2</v>
      </c>
      <c r="J32" s="83">
        <f>Deflators!AI52</f>
        <v>3.1013053419121528E-2</v>
      </c>
      <c r="K32" s="83">
        <f>Deflators!AJ52</f>
        <v>3.1015398756455648E-2</v>
      </c>
      <c r="L32" s="83">
        <f>Deflators!AK52</f>
        <v>3.0542269425562596E-2</v>
      </c>
    </row>
    <row r="34" spans="2:12" x14ac:dyDescent="0.25">
      <c r="B34" s="1241" t="s">
        <v>1982</v>
      </c>
      <c r="C34" s="1241"/>
      <c r="D34" s="1241"/>
      <c r="E34" s="1241"/>
      <c r="F34" s="1241"/>
      <c r="G34" s="1241"/>
      <c r="H34" s="1241"/>
      <c r="I34" s="1241"/>
      <c r="J34" s="1241"/>
      <c r="K34" s="1241"/>
      <c r="L34" s="1241"/>
    </row>
    <row r="35" spans="2:12" x14ac:dyDescent="0.25">
      <c r="B35" t="s">
        <v>178</v>
      </c>
      <c r="C35" t="s">
        <v>179</v>
      </c>
      <c r="D35" t="s">
        <v>177</v>
      </c>
      <c r="E35" t="s">
        <v>763</v>
      </c>
      <c r="F35" t="s">
        <v>764</v>
      </c>
      <c r="G35" t="s">
        <v>765</v>
      </c>
      <c r="H35" t="s">
        <v>1151</v>
      </c>
      <c r="I35" t="s">
        <v>1152</v>
      </c>
      <c r="J35" t="s">
        <v>1153</v>
      </c>
      <c r="K35" t="s">
        <v>1154</v>
      </c>
    </row>
    <row r="36" spans="2:12" x14ac:dyDescent="0.25">
      <c r="B36" t="s">
        <v>192</v>
      </c>
      <c r="C36" t="s">
        <v>193</v>
      </c>
      <c r="D36" s="80">
        <v>447.08815956920625</v>
      </c>
      <c r="E36" s="80">
        <v>442.7962896849757</v>
      </c>
      <c r="F36">
        <v>445.70973999598249</v>
      </c>
      <c r="G36">
        <v>444.7661988000001</v>
      </c>
      <c r="H36">
        <v>447.86348787197454</v>
      </c>
      <c r="I36">
        <v>448.18829579237479</v>
      </c>
      <c r="J36">
        <v>452.34692327582184</v>
      </c>
      <c r="K36">
        <v>454.53667400000006</v>
      </c>
    </row>
    <row r="37" spans="2:12" x14ac:dyDescent="0.25">
      <c r="B37" t="s">
        <v>134</v>
      </c>
      <c r="C37" t="s">
        <v>194</v>
      </c>
      <c r="D37" s="80">
        <v>79.275000000000006</v>
      </c>
      <c r="E37" s="80">
        <v>75.203000000000003</v>
      </c>
      <c r="F37">
        <v>75.203000000000003</v>
      </c>
      <c r="G37">
        <v>75.203000000000003</v>
      </c>
      <c r="H37">
        <v>75.203000000000003</v>
      </c>
      <c r="I37">
        <v>75.203000000000003</v>
      </c>
      <c r="J37">
        <v>75.203000000000003</v>
      </c>
      <c r="K37">
        <v>75.203000000000003</v>
      </c>
    </row>
    <row r="38" spans="2:12" x14ac:dyDescent="0.25">
      <c r="B38" t="s">
        <v>195</v>
      </c>
      <c r="C38" t="s">
        <v>196</v>
      </c>
      <c r="D38" s="80">
        <v>1918.510289582943</v>
      </c>
      <c r="E38" s="80">
        <v>1918.2115784001171</v>
      </c>
      <c r="F38">
        <v>1923.7693728107126</v>
      </c>
      <c r="G38">
        <v>1929.5673206851593</v>
      </c>
      <c r="H38">
        <v>1939.6519812542801</v>
      </c>
      <c r="I38">
        <v>1950.1138914506928</v>
      </c>
      <c r="J38">
        <v>1961.327460113361</v>
      </c>
      <c r="K38">
        <v>1971.3415342659127</v>
      </c>
    </row>
    <row r="39" spans="2:12" x14ac:dyDescent="0.25">
      <c r="B39" t="s">
        <v>197</v>
      </c>
      <c r="C39" t="s">
        <v>198</v>
      </c>
      <c r="D39" s="80">
        <v>3205.1046802031615</v>
      </c>
      <c r="E39" s="80">
        <v>3231.3664830830576</v>
      </c>
      <c r="F39">
        <v>3260.8977935024036</v>
      </c>
      <c r="G39">
        <v>3291.5316128911259</v>
      </c>
      <c r="H39">
        <v>3323.0371494143055</v>
      </c>
      <c r="I39">
        <v>3352.4114684967635</v>
      </c>
      <c r="J39">
        <v>3382.3392617749992</v>
      </c>
      <c r="K39">
        <v>3411.5457939959874</v>
      </c>
    </row>
    <row r="40" spans="2:12" x14ac:dyDescent="0.25">
      <c r="B40" t="s">
        <v>199</v>
      </c>
      <c r="C40" t="s">
        <v>200</v>
      </c>
      <c r="D40" s="80">
        <v>94.400999999999996</v>
      </c>
      <c r="E40" s="80">
        <v>86.379000000000005</v>
      </c>
      <c r="F40">
        <v>86.379000000000005</v>
      </c>
      <c r="G40">
        <v>90.718000000000004</v>
      </c>
      <c r="H40">
        <v>88.567999999999998</v>
      </c>
      <c r="I40">
        <v>88.567999999999998</v>
      </c>
      <c r="J40">
        <v>88.567999999999998</v>
      </c>
      <c r="K40">
        <v>88.567999999999998</v>
      </c>
    </row>
    <row r="41" spans="2:12" x14ac:dyDescent="0.25">
      <c r="B41" t="s">
        <v>201</v>
      </c>
      <c r="C41" t="s">
        <v>202</v>
      </c>
      <c r="D41" s="80">
        <v>-0.90100000000000025</v>
      </c>
      <c r="E41" s="80">
        <v>-0.90100000000000025</v>
      </c>
      <c r="F41">
        <v>-0.90100000000000025</v>
      </c>
      <c r="G41">
        <v>-2.1500000000000004</v>
      </c>
      <c r="H41">
        <v>0</v>
      </c>
      <c r="I41">
        <v>0</v>
      </c>
      <c r="J41">
        <v>0</v>
      </c>
      <c r="K41">
        <v>0</v>
      </c>
    </row>
    <row r="42" spans="2:12" x14ac:dyDescent="0.25">
      <c r="B42" t="s">
        <v>203</v>
      </c>
      <c r="C42" t="s">
        <v>204</v>
      </c>
      <c r="D42" s="80">
        <v>0</v>
      </c>
      <c r="E42" s="80">
        <v>0</v>
      </c>
      <c r="F42">
        <v>0</v>
      </c>
      <c r="G42">
        <v>0</v>
      </c>
      <c r="H42">
        <v>0</v>
      </c>
      <c r="I42">
        <v>0</v>
      </c>
      <c r="J42">
        <v>0</v>
      </c>
      <c r="K42">
        <v>0</v>
      </c>
    </row>
    <row r="43" spans="2:12" x14ac:dyDescent="0.25">
      <c r="B43" t="s">
        <v>205</v>
      </c>
      <c r="C43" t="s">
        <v>206</v>
      </c>
      <c r="D43" s="80">
        <v>35.700000000000003</v>
      </c>
      <c r="E43" s="80">
        <v>35.700000000000003</v>
      </c>
      <c r="F43">
        <v>35.700000000000003</v>
      </c>
      <c r="G43">
        <v>35.700000000000003</v>
      </c>
      <c r="H43">
        <v>35.700000000000003</v>
      </c>
      <c r="I43">
        <v>35.700000000000003</v>
      </c>
      <c r="J43">
        <v>35.700000000000003</v>
      </c>
      <c r="K43">
        <v>35.700000000000003</v>
      </c>
    </row>
    <row r="44" spans="2:12" x14ac:dyDescent="0.25">
      <c r="B44" t="s">
        <v>207</v>
      </c>
      <c r="C44" t="s">
        <v>208</v>
      </c>
      <c r="D44" s="80">
        <v>678.69636831651349</v>
      </c>
      <c r="E44" s="80">
        <v>692.50974296127674</v>
      </c>
      <c r="F44">
        <v>707.90999109975269</v>
      </c>
      <c r="G44">
        <v>717.81474632678612</v>
      </c>
      <c r="H44">
        <v>726.39481319133984</v>
      </c>
      <c r="I44">
        <v>736.72917290213491</v>
      </c>
      <c r="J44">
        <v>747.15158009949039</v>
      </c>
      <c r="K44">
        <v>758.30067229695317</v>
      </c>
    </row>
    <row r="45" spans="2:12" x14ac:dyDescent="0.25">
      <c r="B45" t="s">
        <v>209</v>
      </c>
      <c r="C45" t="s">
        <v>210</v>
      </c>
      <c r="D45" s="80">
        <v>989.2389018824872</v>
      </c>
      <c r="E45" s="80">
        <v>1008.5450820795137</v>
      </c>
      <c r="F45">
        <v>1028.2280454712677</v>
      </c>
      <c r="G45">
        <v>1042.3313202225677</v>
      </c>
      <c r="H45">
        <v>1056.6280368465987</v>
      </c>
      <c r="I45">
        <v>1071.1208486106896</v>
      </c>
      <c r="J45">
        <v>1085.8124451746389</v>
      </c>
      <c r="K45">
        <v>1102.1640207856922</v>
      </c>
    </row>
    <row r="46" spans="2:12" x14ac:dyDescent="0.25">
      <c r="B46" t="s">
        <v>55</v>
      </c>
      <c r="C46" t="s">
        <v>211</v>
      </c>
      <c r="D46" s="80">
        <v>1148.7441849890008</v>
      </c>
      <c r="E46" s="80">
        <v>1163.3735320395349</v>
      </c>
      <c r="F46">
        <v>1178.1891849690642</v>
      </c>
      <c r="G46">
        <v>1195.8207821959634</v>
      </c>
      <c r="H46">
        <v>1213.7162362166082</v>
      </c>
      <c r="I46">
        <v>1231.8794956470376</v>
      </c>
      <c r="J46">
        <v>1250.3145681943167</v>
      </c>
      <c r="K46">
        <v>1269.1869229993349</v>
      </c>
    </row>
    <row r="47" spans="2:12" x14ac:dyDescent="0.25">
      <c r="B47" t="s">
        <v>212</v>
      </c>
      <c r="C47" t="s">
        <v>213</v>
      </c>
      <c r="D47" s="80">
        <v>0</v>
      </c>
      <c r="E47" s="80">
        <v>0</v>
      </c>
      <c r="F47">
        <v>0</v>
      </c>
      <c r="G47">
        <v>0</v>
      </c>
      <c r="H47">
        <v>0</v>
      </c>
      <c r="I47">
        <v>0</v>
      </c>
      <c r="J47">
        <v>0</v>
      </c>
      <c r="K47">
        <v>0</v>
      </c>
    </row>
    <row r="48" spans="2:12" x14ac:dyDescent="0.25">
      <c r="B48" t="s">
        <v>214</v>
      </c>
      <c r="C48" t="s">
        <v>215</v>
      </c>
      <c r="D48" s="80">
        <v>0</v>
      </c>
      <c r="E48" s="80">
        <v>0</v>
      </c>
      <c r="F48">
        <v>0</v>
      </c>
      <c r="G48">
        <v>0</v>
      </c>
      <c r="H48">
        <v>0</v>
      </c>
      <c r="I48">
        <v>0</v>
      </c>
      <c r="J48">
        <v>0</v>
      </c>
      <c r="K48">
        <v>0</v>
      </c>
    </row>
    <row r="49" spans="2:11" x14ac:dyDescent="0.25">
      <c r="B49" t="s">
        <v>216</v>
      </c>
      <c r="C49" t="s">
        <v>217</v>
      </c>
      <c r="D49" s="80">
        <v>2.3719999999999999</v>
      </c>
      <c r="E49" s="80">
        <v>2.3719999999999999</v>
      </c>
      <c r="F49">
        <v>2.3719999999999999</v>
      </c>
      <c r="G49">
        <v>0.49</v>
      </c>
      <c r="H49">
        <v>0</v>
      </c>
      <c r="I49">
        <v>0</v>
      </c>
      <c r="J49">
        <v>0</v>
      </c>
      <c r="K49">
        <v>0</v>
      </c>
    </row>
    <row r="50" spans="2:11" x14ac:dyDescent="0.25">
      <c r="B50" t="s">
        <v>795</v>
      </c>
      <c r="C50" t="s">
        <v>219</v>
      </c>
      <c r="D50" s="80">
        <v>1.63</v>
      </c>
      <c r="E50" s="80">
        <v>1.63</v>
      </c>
      <c r="F50">
        <v>1.63</v>
      </c>
      <c r="G50">
        <v>1.671</v>
      </c>
      <c r="H50">
        <v>0</v>
      </c>
      <c r="I50">
        <v>0</v>
      </c>
      <c r="J50">
        <v>0</v>
      </c>
      <c r="K50">
        <v>0</v>
      </c>
    </row>
    <row r="51" spans="2:11" x14ac:dyDescent="0.25">
      <c r="B51" t="s">
        <v>220</v>
      </c>
      <c r="C51" t="s">
        <v>221</v>
      </c>
      <c r="D51" s="80">
        <v>2214.4883474999997</v>
      </c>
      <c r="E51" s="80">
        <v>2221.1883475</v>
      </c>
      <c r="F51">
        <v>2227.8883474999998</v>
      </c>
      <c r="G51">
        <v>2218.3493475</v>
      </c>
      <c r="H51">
        <v>2262.0429159531</v>
      </c>
      <c r="I51">
        <v>2268.0149159530997</v>
      </c>
      <c r="J51">
        <v>2275.7149159531</v>
      </c>
      <c r="K51">
        <v>2283.4149159530998</v>
      </c>
    </row>
    <row r="52" spans="2:11" x14ac:dyDescent="0.25">
      <c r="B52" t="s">
        <v>222</v>
      </c>
      <c r="C52" t="s">
        <v>223</v>
      </c>
      <c r="D52" s="80">
        <v>228.02904740969223</v>
      </c>
      <c r="E52" s="80">
        <v>231.36246347492295</v>
      </c>
      <c r="F52">
        <v>234.7446086945757</v>
      </c>
      <c r="G52">
        <v>238.17619541011769</v>
      </c>
      <c r="H52">
        <v>241.65794637629688</v>
      </c>
      <c r="I52">
        <v>245.19059491336728</v>
      </c>
      <c r="J52">
        <v>248.77488506153966</v>
      </c>
      <c r="K52">
        <v>252.41157173768991</v>
      </c>
    </row>
    <row r="53" spans="2:11" x14ac:dyDescent="0.25">
      <c r="B53" t="s">
        <v>224</v>
      </c>
      <c r="C53" t="s">
        <v>225</v>
      </c>
      <c r="D53" s="80">
        <v>4561.5381953155584</v>
      </c>
      <c r="E53" s="80">
        <v>4584.4843512897751</v>
      </c>
      <c r="F53">
        <v>4607.6429675938807</v>
      </c>
      <c r="G53">
        <v>4631.0141570728501</v>
      </c>
      <c r="H53">
        <v>4748.8900202696441</v>
      </c>
      <c r="I53">
        <v>4781.5184672615896</v>
      </c>
      <c r="J53">
        <v>4814.5177272472383</v>
      </c>
      <c r="K53">
        <v>4847.8902160558846</v>
      </c>
    </row>
    <row r="54" spans="2:11" x14ac:dyDescent="0.25">
      <c r="B54" t="s">
        <v>226</v>
      </c>
      <c r="C54" t="s">
        <v>227</v>
      </c>
      <c r="D54" s="80">
        <v>2537.4615940204321</v>
      </c>
      <c r="E54" s="80">
        <v>2569.0264779427548</v>
      </c>
      <c r="F54">
        <v>2596.134980007756</v>
      </c>
      <c r="G54">
        <v>2622.8441926544283</v>
      </c>
      <c r="H54">
        <v>2647.4104569129322</v>
      </c>
      <c r="I54">
        <v>2672.9552941849702</v>
      </c>
      <c r="J54">
        <v>2696.287008824449</v>
      </c>
      <c r="K54">
        <v>2721.5435179467249</v>
      </c>
    </row>
    <row r="55" spans="2:11" x14ac:dyDescent="0.25">
      <c r="B55" t="s">
        <v>228</v>
      </c>
      <c r="C55" t="s">
        <v>229</v>
      </c>
      <c r="D55" s="80">
        <v>528.95823142687641</v>
      </c>
      <c r="E55" s="80">
        <v>546.37143252147803</v>
      </c>
      <c r="F55">
        <v>564.35787277627401</v>
      </c>
      <c r="G55">
        <v>560.87077630489205</v>
      </c>
      <c r="H55">
        <v>557.40522616499095</v>
      </c>
      <c r="I55">
        <v>553.96108922449264</v>
      </c>
      <c r="J55">
        <v>550.53823317392516</v>
      </c>
      <c r="K55">
        <v>547.13652652134033</v>
      </c>
    </row>
    <row r="56" spans="2:11" x14ac:dyDescent="0.25">
      <c r="B56" t="s">
        <v>230</v>
      </c>
      <c r="C56" s="56" t="s">
        <v>231</v>
      </c>
      <c r="D56" s="80">
        <v>159.5627788290613</v>
      </c>
      <c r="E56" s="80">
        <v>159.49686908653018</v>
      </c>
      <c r="F56">
        <v>159.63339641034463</v>
      </c>
      <c r="G56">
        <v>159.55336315155685</v>
      </c>
      <c r="H56">
        <v>159.74638454039797</v>
      </c>
      <c r="I56">
        <v>160.06180973679682</v>
      </c>
      <c r="J56">
        <v>159.90174321922129</v>
      </c>
      <c r="K56">
        <v>160.09476460806238</v>
      </c>
    </row>
    <row r="57" spans="2:11" x14ac:dyDescent="0.25">
      <c r="B57" s="56" t="s">
        <v>1379</v>
      </c>
      <c r="C57" s="56" t="s">
        <v>1378</v>
      </c>
      <c r="D57" s="80">
        <v>2.6454420000000001</v>
      </c>
      <c r="E57" s="80">
        <v>2.6696</v>
      </c>
      <c r="F57">
        <v>2.693006</v>
      </c>
      <c r="G57">
        <v>2.7175400000000001</v>
      </c>
      <c r="H57">
        <v>2.7175400000000001</v>
      </c>
      <c r="I57">
        <v>2.7175400000000001</v>
      </c>
      <c r="J57">
        <v>0</v>
      </c>
      <c r="K57">
        <v>0</v>
      </c>
    </row>
    <row r="58" spans="2:11" x14ac:dyDescent="0.25">
      <c r="B58" s="56"/>
      <c r="C58" s="56"/>
      <c r="D58" s="80"/>
    </row>
    <row r="59" spans="2:11" x14ac:dyDescent="0.25">
      <c r="B59" s="69" t="s">
        <v>1888</v>
      </c>
      <c r="C59" s="56"/>
    </row>
    <row r="60" spans="2:11" x14ac:dyDescent="0.25">
      <c r="B60" s="56" t="s">
        <v>1702</v>
      </c>
      <c r="C60" s="56"/>
      <c r="D60" s="83">
        <v>3.505836830740082E-2</v>
      </c>
      <c r="E60" s="81">
        <v>2.5483635680919155E-2</v>
      </c>
      <c r="F60" s="81">
        <v>2.3874932014508632E-2</v>
      </c>
      <c r="G60" s="81">
        <v>2.2011392938697361E-2</v>
      </c>
      <c r="H60">
        <v>2.1469131944638509E-2</v>
      </c>
      <c r="I60">
        <v>2.037795778240481E-2</v>
      </c>
      <c r="J60">
        <v>2.031319568771961E-2</v>
      </c>
      <c r="K60">
        <v>2.0411174157790368E-2</v>
      </c>
    </row>
    <row r="61" spans="2:11" x14ac:dyDescent="0.25">
      <c r="B61" s="56" t="s">
        <v>1703</v>
      </c>
      <c r="C61" s="56"/>
      <c r="D61" s="83">
        <v>1.8718659374028279E-2</v>
      </c>
      <c r="E61" s="81">
        <v>1.5299895562953081E-2</v>
      </c>
      <c r="F61" s="81">
        <v>1.4729668703095777E-2</v>
      </c>
      <c r="G61" s="81">
        <v>1.5119603614899724E-2</v>
      </c>
      <c r="H61">
        <v>2.1515602617293128E-2</v>
      </c>
      <c r="I61">
        <v>2.2790850007197161E-2</v>
      </c>
      <c r="J61">
        <v>2.3263295207157642E-2</v>
      </c>
      <c r="K61">
        <v>2.3889685874715294E-2</v>
      </c>
    </row>
    <row r="62" spans="2:11" x14ac:dyDescent="0.25">
      <c r="B62" s="56" t="s">
        <v>1704</v>
      </c>
      <c r="C62" s="56"/>
      <c r="D62" s="83">
        <v>3.0746187880333675E-2</v>
      </c>
      <c r="E62" s="81">
        <v>2.8606309371189242E-2</v>
      </c>
      <c r="F62" s="81">
        <v>3.1343868352262882E-2</v>
      </c>
      <c r="G62" s="81">
        <v>3.2394354805230341E-2</v>
      </c>
      <c r="H62">
        <v>3.3164637629816696E-2</v>
      </c>
      <c r="I62">
        <v>3.1425713898589613E-2</v>
      </c>
      <c r="J62">
        <v>3.1013053419121528E-2</v>
      </c>
      <c r="K62">
        <v>3.1015398756455648E-2</v>
      </c>
    </row>
    <row r="63" spans="2:11" x14ac:dyDescent="0.25">
      <c r="B63" s="56" t="s">
        <v>1705</v>
      </c>
      <c r="C63" s="56"/>
      <c r="D63" s="83">
        <v>3.0746187880333675E-2</v>
      </c>
      <c r="E63" s="81">
        <v>2.8606309371189242E-2</v>
      </c>
      <c r="F63" s="81">
        <v>3.1343868352262882E-2</v>
      </c>
      <c r="G63" s="81">
        <v>3.2394354805230341E-2</v>
      </c>
      <c r="H63">
        <v>3.3164637629816696E-2</v>
      </c>
      <c r="I63">
        <v>3.1425713898589613E-2</v>
      </c>
      <c r="J63">
        <v>3.1013053419121528E-2</v>
      </c>
      <c r="K63">
        <v>3.1015398756455648E-2</v>
      </c>
    </row>
    <row r="64" spans="2:11" x14ac:dyDescent="0.25">
      <c r="B64" s="56" t="s">
        <v>1706</v>
      </c>
      <c r="C64" s="56"/>
      <c r="D64" s="83">
        <v>3.0746187880333675E-2</v>
      </c>
      <c r="E64" s="81">
        <v>2.8606309371189242E-2</v>
      </c>
      <c r="F64" s="81">
        <v>3.1343868352262882E-2</v>
      </c>
      <c r="G64" s="81">
        <v>3.2394354805230341E-2</v>
      </c>
      <c r="H64">
        <v>3.3164637629816696E-2</v>
      </c>
      <c r="I64">
        <v>3.1425713898589613E-2</v>
      </c>
      <c r="J64">
        <v>3.1013053419121528E-2</v>
      </c>
      <c r="K64">
        <v>3.1015398756455648E-2</v>
      </c>
    </row>
    <row r="65" spans="2:11" x14ac:dyDescent="0.25">
      <c r="D65" s="82"/>
    </row>
    <row r="66" spans="2:11" x14ac:dyDescent="0.25">
      <c r="B66" s="1241" t="s">
        <v>232</v>
      </c>
      <c r="C66" s="1241"/>
      <c r="D66" s="1241"/>
      <c r="E66" s="1241"/>
      <c r="F66" s="1241"/>
      <c r="G66" s="1241"/>
      <c r="H66" s="1241"/>
      <c r="I66" s="1241"/>
      <c r="J66" s="1241"/>
      <c r="K66" s="1241"/>
    </row>
    <row r="67" spans="2:11" x14ac:dyDescent="0.25">
      <c r="B67" t="s">
        <v>178</v>
      </c>
      <c r="C67" t="s">
        <v>179</v>
      </c>
      <c r="D67" t="s">
        <v>177</v>
      </c>
      <c r="E67" t="s">
        <v>763</v>
      </c>
      <c r="F67" t="s">
        <v>764</v>
      </c>
      <c r="G67" t="s">
        <v>765</v>
      </c>
      <c r="H67" t="s">
        <v>1151</v>
      </c>
      <c r="I67" t="s">
        <v>1152</v>
      </c>
      <c r="J67" t="s">
        <v>1153</v>
      </c>
      <c r="K67" t="s">
        <v>1154</v>
      </c>
    </row>
    <row r="68" spans="2:11" x14ac:dyDescent="0.25">
      <c r="B68" s="56" t="s">
        <v>192</v>
      </c>
      <c r="C68" s="56" t="s">
        <v>193</v>
      </c>
      <c r="D68" s="80">
        <f t="shared" ref="D68" si="0">D4-D36</f>
        <v>-22.833162569206252</v>
      </c>
      <c r="E68" s="80">
        <f t="shared" ref="E68:I68" si="1">E4-E36</f>
        <v>-23.058147002799274</v>
      </c>
      <c r="F68" s="80">
        <f t="shared" si="1"/>
        <v>-23.285348299483758</v>
      </c>
      <c r="G68" s="80">
        <f t="shared" si="1"/>
        <v>-23.514788302912905</v>
      </c>
      <c r="H68" s="80">
        <f t="shared" si="1"/>
        <v>-23.746489071974452</v>
      </c>
      <c r="I68" s="80">
        <f t="shared" si="1"/>
        <v>-23.980472882911215</v>
      </c>
      <c r="J68" s="80">
        <f>J4-J36</f>
        <v>-24.216762231463065</v>
      </c>
      <c r="K68" s="80">
        <f>K4-K36</f>
        <v>-24.455379835029419</v>
      </c>
    </row>
    <row r="69" spans="2:11" x14ac:dyDescent="0.25">
      <c r="B69" s="56" t="s">
        <v>134</v>
      </c>
      <c r="C69" s="56" t="s">
        <v>194</v>
      </c>
      <c r="D69" s="80">
        <f t="shared" ref="D69" si="2">D5-D37</f>
        <v>0</v>
      </c>
      <c r="E69" s="80">
        <f t="shared" ref="E69:I69" si="3">E5-E37</f>
        <v>0</v>
      </c>
      <c r="F69" s="80">
        <f t="shared" si="3"/>
        <v>0</v>
      </c>
      <c r="G69" s="80">
        <f t="shared" si="3"/>
        <v>0</v>
      </c>
      <c r="H69" s="80">
        <f t="shared" si="3"/>
        <v>0</v>
      </c>
      <c r="I69" s="80">
        <f t="shared" si="3"/>
        <v>0</v>
      </c>
      <c r="J69" s="80">
        <f t="shared" ref="J69:K69" si="4">J5-J37</f>
        <v>0</v>
      </c>
      <c r="K69" s="80">
        <f t="shared" si="4"/>
        <v>0</v>
      </c>
    </row>
    <row r="70" spans="2:11" x14ac:dyDescent="0.25">
      <c r="B70" s="56" t="s">
        <v>195</v>
      </c>
      <c r="C70" s="56" t="s">
        <v>196</v>
      </c>
      <c r="D70" s="80">
        <f t="shared" ref="D70" si="5">D6-D38</f>
        <v>6.7897104170569946</v>
      </c>
      <c r="E70" s="80">
        <f t="shared" ref="E70:I70" si="6">E6-E38</f>
        <v>6.8098875827895426</v>
      </c>
      <c r="F70" s="80">
        <f t="shared" si="6"/>
        <v>6.8296184381190415</v>
      </c>
      <c r="G70" s="80">
        <f t="shared" si="6"/>
        <v>6.8502018678514105</v>
      </c>
      <c r="H70" s="80">
        <f t="shared" si="6"/>
        <v>6.8860036561209199</v>
      </c>
      <c r="I70" s="80">
        <f t="shared" si="6"/>
        <v>6.9231447270751687</v>
      </c>
      <c r="J70" s="80">
        <f t="shared" ref="J70:K70" si="7">J6-J38</f>
        <v>6.9629542782502085</v>
      </c>
      <c r="K70" s="80">
        <f t="shared" si="7"/>
        <v>6.9985054760390994</v>
      </c>
    </row>
    <row r="71" spans="2:11" x14ac:dyDescent="0.25">
      <c r="B71" s="56" t="s">
        <v>197</v>
      </c>
      <c r="C71" s="56" t="s">
        <v>198</v>
      </c>
      <c r="D71" s="80">
        <f t="shared" ref="D71" si="8">D7-D39</f>
        <v>10.095319796838339</v>
      </c>
      <c r="E71" s="80">
        <f t="shared" ref="E71:I71" si="9">E7-E39</f>
        <v>10.178038249109704</v>
      </c>
      <c r="F71" s="80">
        <f t="shared" si="9"/>
        <v>10.271054874914171</v>
      </c>
      <c r="G71" s="80">
        <f t="shared" si="9"/>
        <v>10.36754414256211</v>
      </c>
      <c r="H71" s="80">
        <f t="shared" si="9"/>
        <v>10.46677911249526</v>
      </c>
      <c r="I71" s="80">
        <f t="shared" si="9"/>
        <v>10.55930125281202</v>
      </c>
      <c r="J71" s="80">
        <f t="shared" ref="J71:K71" si="10">J7-J39</f>
        <v>10.653566705614139</v>
      </c>
      <c r="K71" s="80">
        <f t="shared" si="10"/>
        <v>10.745560357100658</v>
      </c>
    </row>
    <row r="72" spans="2:11" x14ac:dyDescent="0.25">
      <c r="B72" s="56" t="s">
        <v>199</v>
      </c>
      <c r="C72" s="56" t="s">
        <v>200</v>
      </c>
      <c r="D72" s="80">
        <f t="shared" ref="D72" si="11">D8-D40</f>
        <v>11.299999999999997</v>
      </c>
      <c r="E72" s="80">
        <f t="shared" ref="E72:I72" si="12">E8-E40</f>
        <v>11.299999999999983</v>
      </c>
      <c r="F72" s="80">
        <f t="shared" si="12"/>
        <v>11.299999999999983</v>
      </c>
      <c r="G72" s="80">
        <f t="shared" si="12"/>
        <v>11.299999999999997</v>
      </c>
      <c r="H72" s="80">
        <f t="shared" si="12"/>
        <v>11.299999999999997</v>
      </c>
      <c r="I72" s="80">
        <f t="shared" si="12"/>
        <v>11.299999999999997</v>
      </c>
      <c r="J72" s="80">
        <f t="shared" ref="J72:K72" si="13">J8-J40</f>
        <v>11.299999999999997</v>
      </c>
      <c r="K72" s="80">
        <f t="shared" si="13"/>
        <v>11.299999999999997</v>
      </c>
    </row>
    <row r="73" spans="2:11" x14ac:dyDescent="0.25">
      <c r="B73" s="56" t="s">
        <v>201</v>
      </c>
      <c r="C73" s="56" t="s">
        <v>202</v>
      </c>
      <c r="D73" s="80">
        <f t="shared" ref="D73" si="14">D9-D41</f>
        <v>0</v>
      </c>
      <c r="E73" s="80">
        <f t="shared" ref="E73:I73" si="15">E9-E41</f>
        <v>0</v>
      </c>
      <c r="F73" s="80">
        <f t="shared" si="15"/>
        <v>0</v>
      </c>
      <c r="G73" s="80">
        <f t="shared" si="15"/>
        <v>0</v>
      </c>
      <c r="H73" s="80">
        <f t="shared" si="15"/>
        <v>0</v>
      </c>
      <c r="I73" s="80">
        <f t="shared" si="15"/>
        <v>0</v>
      </c>
      <c r="J73" s="80">
        <f t="shared" ref="J73:K73" si="16">J9-J41</f>
        <v>0</v>
      </c>
      <c r="K73" s="80">
        <f t="shared" si="16"/>
        <v>0</v>
      </c>
    </row>
    <row r="74" spans="2:11" x14ac:dyDescent="0.25">
      <c r="B74" s="56" t="s">
        <v>203</v>
      </c>
      <c r="C74" s="56" t="s">
        <v>204</v>
      </c>
      <c r="D74" s="80">
        <f t="shared" ref="D74" si="17">D10-D42</f>
        <v>9.9999999999994316E-2</v>
      </c>
      <c r="E74" s="80">
        <f t="shared" ref="E74:I74" si="18">E10-E42</f>
        <v>0</v>
      </c>
      <c r="F74" s="80">
        <f t="shared" si="18"/>
        <v>0</v>
      </c>
      <c r="G74" s="80">
        <f t="shared" si="18"/>
        <v>0</v>
      </c>
      <c r="H74" s="80">
        <f t="shared" si="18"/>
        <v>0</v>
      </c>
      <c r="I74" s="80">
        <f t="shared" si="18"/>
        <v>0</v>
      </c>
      <c r="J74" s="80">
        <f t="shared" ref="J74:K74" si="19">J10-J42</f>
        <v>0</v>
      </c>
      <c r="K74" s="80">
        <f t="shared" si="19"/>
        <v>0</v>
      </c>
    </row>
    <row r="75" spans="2:11" x14ac:dyDescent="0.25">
      <c r="B75" s="56" t="s">
        <v>205</v>
      </c>
      <c r="C75" s="56" t="s">
        <v>206</v>
      </c>
      <c r="D75" s="80">
        <f t="shared" ref="D75" si="20">D11-D43</f>
        <v>0</v>
      </c>
      <c r="E75" s="80">
        <f t="shared" ref="E75:I75" si="21">E11-E43</f>
        <v>0</v>
      </c>
      <c r="F75" s="80">
        <f t="shared" si="21"/>
        <v>0</v>
      </c>
      <c r="G75" s="80">
        <f t="shared" si="21"/>
        <v>0</v>
      </c>
      <c r="H75" s="80">
        <f t="shared" si="21"/>
        <v>0</v>
      </c>
      <c r="I75" s="80">
        <f t="shared" si="21"/>
        <v>0</v>
      </c>
      <c r="J75" s="80">
        <f t="shared" ref="J75:K75" si="22">J11-J43</f>
        <v>0</v>
      </c>
      <c r="K75" s="80">
        <f t="shared" si="22"/>
        <v>0</v>
      </c>
    </row>
    <row r="76" spans="2:11" x14ac:dyDescent="0.25">
      <c r="B76" s="56" t="s">
        <v>207</v>
      </c>
      <c r="C76" s="56" t="s">
        <v>208</v>
      </c>
      <c r="D76" s="80">
        <f t="shared" ref="D76" si="23">D12-D44</f>
        <v>-31.666368316513513</v>
      </c>
      <c r="E76" s="80">
        <f t="shared" ref="E76:I76" si="24">E12-E44</f>
        <v>-29.515066884185899</v>
      </c>
      <c r="F76" s="80">
        <f t="shared" si="24"/>
        <v>-31.193643613395011</v>
      </c>
      <c r="G76" s="80">
        <f t="shared" si="24"/>
        <v>-31.307183283675386</v>
      </c>
      <c r="H76" s="80">
        <f t="shared" si="24"/>
        <v>-31.705765430125325</v>
      </c>
      <c r="I76" s="80">
        <f t="shared" si="24"/>
        <v>-28.255991674282086</v>
      </c>
      <c r="J76" s="80">
        <f t="shared" ref="J76:K76" si="25">J12-J44</f>
        <v>-27.428445628196982</v>
      </c>
      <c r="K76" s="80">
        <f t="shared" si="25"/>
        <v>-28.33683442874576</v>
      </c>
    </row>
    <row r="77" spans="2:11" x14ac:dyDescent="0.25">
      <c r="B77" s="56" t="s">
        <v>209</v>
      </c>
      <c r="C77" s="56" t="s">
        <v>210</v>
      </c>
      <c r="D77" s="80">
        <f t="shared" ref="D77" si="26">D13-D45</f>
        <v>-22.638901882487175</v>
      </c>
      <c r="E77" s="80">
        <f t="shared" ref="E77:I77" si="27">E13-E45</f>
        <v>-37.080727126494821</v>
      </c>
      <c r="F77" s="80">
        <f t="shared" si="27"/>
        <v>-37.804401861059546</v>
      </c>
      <c r="G77" s="80">
        <f t="shared" si="27"/>
        <v>-35.93228958114878</v>
      </c>
      <c r="H77" s="80">
        <f t="shared" si="27"/>
        <v>-33.995938541601731</v>
      </c>
      <c r="I77" s="80">
        <f t="shared" si="27"/>
        <v>-31.993845659220824</v>
      </c>
      <c r="J77" s="80">
        <f t="shared" ref="J77:K77" si="28">J13-J45</f>
        <v>-29.924477201958325</v>
      </c>
      <c r="K77" s="80">
        <f t="shared" si="28"/>
        <v>-30.61110079233822</v>
      </c>
    </row>
    <row r="78" spans="2:11" x14ac:dyDescent="0.25">
      <c r="B78" s="56" t="s">
        <v>55</v>
      </c>
      <c r="C78" s="56" t="s">
        <v>211</v>
      </c>
      <c r="D78" s="80">
        <f t="shared" ref="D78" si="29">D14-D46</f>
        <v>1.5558150109991402</v>
      </c>
      <c r="E78" s="80">
        <f t="shared" ref="E78:I78" si="30">E14-E46</f>
        <v>1.5756284368599154</v>
      </c>
      <c r="F78" s="80">
        <f t="shared" si="30"/>
        <v>1.5956941882488991</v>
      </c>
      <c r="G78" s="80">
        <f t="shared" si="30"/>
        <v>1.6195737464586273</v>
      </c>
      <c r="H78" s="80">
        <f t="shared" si="30"/>
        <v>1.6438106621772022</v>
      </c>
      <c r="I78" s="80">
        <f t="shared" si="30"/>
        <v>1.668410283258936</v>
      </c>
      <c r="J78" s="80">
        <f t="shared" ref="J78:K78" si="31">J14-J46</f>
        <v>1.6933780375879905</v>
      </c>
      <c r="K78" s="80">
        <f t="shared" si="31"/>
        <v>1.7189380302147583</v>
      </c>
    </row>
    <row r="79" spans="2:11" x14ac:dyDescent="0.25">
      <c r="B79" s="56" t="s">
        <v>212</v>
      </c>
      <c r="C79" s="56" t="s">
        <v>213</v>
      </c>
      <c r="D79" s="80">
        <f t="shared" ref="D79" si="32">D15-D47</f>
        <v>0</v>
      </c>
      <c r="E79" s="80">
        <f t="shared" ref="E79:I79" si="33">E15-E47</f>
        <v>0</v>
      </c>
      <c r="F79" s="80">
        <f t="shared" si="33"/>
        <v>0</v>
      </c>
      <c r="G79" s="80">
        <f t="shared" si="33"/>
        <v>0</v>
      </c>
      <c r="H79" s="80">
        <f t="shared" si="33"/>
        <v>0</v>
      </c>
      <c r="I79" s="80">
        <f t="shared" si="33"/>
        <v>0</v>
      </c>
      <c r="J79" s="80">
        <f t="shared" ref="J79:K79" si="34">J15-J47</f>
        <v>0</v>
      </c>
      <c r="K79" s="80">
        <f t="shared" si="34"/>
        <v>0</v>
      </c>
    </row>
    <row r="80" spans="2:11" x14ac:dyDescent="0.25">
      <c r="B80" s="56" t="s">
        <v>214</v>
      </c>
      <c r="C80" s="56" t="s">
        <v>215</v>
      </c>
      <c r="D80" s="80">
        <f t="shared" ref="D80" si="35">D16-D48</f>
        <v>0</v>
      </c>
      <c r="E80" s="80">
        <f t="shared" ref="E80:I80" si="36">E16-E48</f>
        <v>0</v>
      </c>
      <c r="F80" s="80">
        <f t="shared" si="36"/>
        <v>0</v>
      </c>
      <c r="G80" s="80">
        <f t="shared" si="36"/>
        <v>0</v>
      </c>
      <c r="H80" s="80">
        <f t="shared" si="36"/>
        <v>0</v>
      </c>
      <c r="I80" s="80">
        <f t="shared" si="36"/>
        <v>0</v>
      </c>
      <c r="J80" s="80">
        <f t="shared" ref="J80:K80" si="37">J16-J48</f>
        <v>0</v>
      </c>
      <c r="K80" s="80">
        <f t="shared" si="37"/>
        <v>0</v>
      </c>
    </row>
    <row r="81" spans="2:12" x14ac:dyDescent="0.25">
      <c r="B81" s="56" t="s">
        <v>216</v>
      </c>
      <c r="C81" s="56" t="s">
        <v>217</v>
      </c>
      <c r="D81" s="80">
        <f t="shared" ref="D81" si="38">D17-D49</f>
        <v>0</v>
      </c>
      <c r="E81" s="80">
        <f t="shared" ref="E81:I81" si="39">E17-E49</f>
        <v>0</v>
      </c>
      <c r="F81" s="80">
        <f t="shared" si="39"/>
        <v>0</v>
      </c>
      <c r="G81" s="80">
        <f t="shared" si="39"/>
        <v>0</v>
      </c>
      <c r="H81" s="80">
        <f t="shared" si="39"/>
        <v>0</v>
      </c>
      <c r="I81" s="80">
        <f t="shared" si="39"/>
        <v>0</v>
      </c>
      <c r="J81" s="80">
        <f t="shared" ref="J81:K81" si="40">J17-J49</f>
        <v>0</v>
      </c>
      <c r="K81" s="80">
        <f t="shared" si="40"/>
        <v>0</v>
      </c>
    </row>
    <row r="82" spans="2:12" x14ac:dyDescent="0.25">
      <c r="B82" s="56" t="s">
        <v>820</v>
      </c>
      <c r="C82" s="56" t="s">
        <v>219</v>
      </c>
      <c r="D82" s="80">
        <f t="shared" ref="D82" si="41">D18-D50</f>
        <v>0</v>
      </c>
      <c r="E82" s="80">
        <f t="shared" ref="E82:I82" si="42">E18-E50</f>
        <v>0</v>
      </c>
      <c r="F82" s="80">
        <f t="shared" si="42"/>
        <v>0</v>
      </c>
      <c r="G82" s="80">
        <f t="shared" si="42"/>
        <v>0</v>
      </c>
      <c r="H82" s="80">
        <f t="shared" si="42"/>
        <v>0</v>
      </c>
      <c r="I82" s="80">
        <f t="shared" si="42"/>
        <v>0</v>
      </c>
      <c r="J82" s="80">
        <f t="shared" ref="J82:K82" si="43">J18-J50</f>
        <v>0</v>
      </c>
      <c r="K82" s="80">
        <f t="shared" si="43"/>
        <v>0</v>
      </c>
    </row>
    <row r="83" spans="2:12" x14ac:dyDescent="0.25">
      <c r="B83" s="56" t="s">
        <v>220</v>
      </c>
      <c r="C83" s="56" t="s">
        <v>221</v>
      </c>
      <c r="D83" s="80">
        <f t="shared" ref="D83" si="44">D19-D51</f>
        <v>31.10965250000072</v>
      </c>
      <c r="E83" s="80">
        <f t="shared" ref="E83:I83" si="45">E19-E51</f>
        <v>31.109652500000266</v>
      </c>
      <c r="F83" s="80">
        <f t="shared" si="45"/>
        <v>31.109652500000266</v>
      </c>
      <c r="G83" s="80">
        <f t="shared" si="45"/>
        <v>31.109652500000266</v>
      </c>
      <c r="H83" s="80">
        <f t="shared" si="45"/>
        <v>31.116737081900283</v>
      </c>
      <c r="I83" s="80">
        <f t="shared" si="45"/>
        <v>31.116737081900737</v>
      </c>
      <c r="J83" s="80">
        <f t="shared" ref="J83:K83" si="46">J19-J51</f>
        <v>31.116737081900283</v>
      </c>
      <c r="K83" s="80">
        <f t="shared" si="46"/>
        <v>31.116737081900283</v>
      </c>
    </row>
    <row r="84" spans="2:12" x14ac:dyDescent="0.25">
      <c r="B84" s="56" t="s">
        <v>222</v>
      </c>
      <c r="C84" s="56" t="s">
        <v>223</v>
      </c>
      <c r="D84" s="80">
        <f t="shared" ref="D84" si="47">D20-D52</f>
        <v>0</v>
      </c>
      <c r="E84" s="80">
        <f t="shared" ref="E84:I84" si="48">E20-E52</f>
        <v>0</v>
      </c>
      <c r="F84" s="80">
        <f t="shared" si="48"/>
        <v>0</v>
      </c>
      <c r="G84" s="80">
        <f t="shared" si="48"/>
        <v>0</v>
      </c>
      <c r="H84" s="80">
        <f t="shared" si="48"/>
        <v>0</v>
      </c>
      <c r="I84" s="80">
        <f t="shared" si="48"/>
        <v>0</v>
      </c>
      <c r="J84" s="80">
        <f t="shared" ref="J84:K84" si="49">J20-J52</f>
        <v>0</v>
      </c>
      <c r="K84" s="80">
        <f t="shared" si="49"/>
        <v>0</v>
      </c>
    </row>
    <row r="85" spans="2:12" x14ac:dyDescent="0.25">
      <c r="B85" s="56" t="s">
        <v>224</v>
      </c>
      <c r="C85" s="56" t="s">
        <v>225</v>
      </c>
      <c r="D85" s="80">
        <f t="shared" ref="D85" si="50">D21-D53</f>
        <v>48.861804684442177</v>
      </c>
      <c r="E85" s="80">
        <f t="shared" ref="E85:I85" si="51">E21-E53</f>
        <v>78.863716812708844</v>
      </c>
      <c r="F85" s="80">
        <f t="shared" si="51"/>
        <v>79.019203174794711</v>
      </c>
      <c r="G85" s="80">
        <f t="shared" si="51"/>
        <v>79.180061897852283</v>
      </c>
      <c r="H85" s="80">
        <f t="shared" si="51"/>
        <v>49.872150146933564</v>
      </c>
      <c r="I85" s="80">
        <f t="shared" si="51"/>
        <v>49.942118274038876</v>
      </c>
      <c r="J85" s="80">
        <f t="shared" ref="J85:K85" si="52">J21-J53</f>
        <v>50.017424048908651</v>
      </c>
      <c r="K85" s="80">
        <f t="shared" si="52"/>
        <v>50.098030726441721</v>
      </c>
      <c r="L85" s="75"/>
    </row>
    <row r="86" spans="2:12" x14ac:dyDescent="0.25">
      <c r="B86" s="56" t="s">
        <v>226</v>
      </c>
      <c r="C86" s="56" t="s">
        <v>227</v>
      </c>
      <c r="D86" s="80">
        <f t="shared" ref="D86" si="53">D22-D54</f>
        <v>4.8384059795680514</v>
      </c>
      <c r="E86" s="80">
        <f t="shared" ref="E86:I86" si="54">E22-E54</f>
        <v>-6.2752992159375935</v>
      </c>
      <c r="F86" s="80">
        <f t="shared" si="54"/>
        <v>-6.3756570331725015</v>
      </c>
      <c r="G86" s="80">
        <f t="shared" si="54"/>
        <v>-6.4857705060753688</v>
      </c>
      <c r="H86" s="80">
        <f t="shared" si="54"/>
        <v>-6.5914557372716445</v>
      </c>
      <c r="I86" s="80">
        <f t="shared" si="54"/>
        <v>-6.6809046636353742</v>
      </c>
      <c r="J86" s="80">
        <f t="shared" ref="J86:K86" si="55">J22-J54</f>
        <v>-6.783916900238637</v>
      </c>
      <c r="K86" s="80">
        <f t="shared" si="55"/>
        <v>-6.871476275218356</v>
      </c>
    </row>
    <row r="87" spans="2:12" x14ac:dyDescent="0.25">
      <c r="B87" s="56" t="s">
        <v>228</v>
      </c>
      <c r="C87" s="56" t="s">
        <v>229</v>
      </c>
      <c r="D87" s="80">
        <f t="shared" ref="D87" si="56">D23-D55</f>
        <v>0</v>
      </c>
      <c r="E87" s="80">
        <f t="shared" ref="E87:I87" si="57">E23-E55</f>
        <v>0</v>
      </c>
      <c r="F87" s="80">
        <f t="shared" si="57"/>
        <v>0</v>
      </c>
      <c r="G87" s="80">
        <f t="shared" si="57"/>
        <v>0</v>
      </c>
      <c r="H87" s="80">
        <f t="shared" si="57"/>
        <v>0</v>
      </c>
      <c r="I87" s="80">
        <f t="shared" si="57"/>
        <v>0</v>
      </c>
      <c r="J87" s="80">
        <f t="shared" ref="J87:K87" si="58">J23-J55</f>
        <v>0</v>
      </c>
      <c r="K87" s="80">
        <f t="shared" si="58"/>
        <v>0</v>
      </c>
    </row>
    <row r="88" spans="2:12" x14ac:dyDescent="0.25">
      <c r="B88" s="56" t="s">
        <v>230</v>
      </c>
      <c r="C88" s="56" t="s">
        <v>231</v>
      </c>
      <c r="D88" s="80">
        <f t="shared" ref="D88" si="59">D24-D56</f>
        <v>0</v>
      </c>
      <c r="E88" s="80">
        <f t="shared" ref="E88:I88" si="60">E24-E56</f>
        <v>0</v>
      </c>
      <c r="F88" s="80">
        <f t="shared" si="60"/>
        <v>0</v>
      </c>
      <c r="G88" s="80">
        <f t="shared" si="60"/>
        <v>0</v>
      </c>
      <c r="H88" s="80">
        <f t="shared" si="60"/>
        <v>0</v>
      </c>
      <c r="I88" s="80">
        <f t="shared" si="60"/>
        <v>0</v>
      </c>
      <c r="J88" s="80">
        <f t="shared" ref="J88:K88" si="61">J24-J56</f>
        <v>0</v>
      </c>
      <c r="K88" s="80">
        <f t="shared" si="61"/>
        <v>0</v>
      </c>
    </row>
    <row r="89" spans="2:12" x14ac:dyDescent="0.25">
      <c r="B89" s="56" t="s">
        <v>1379</v>
      </c>
      <c r="C89" s="56" t="s">
        <v>1378</v>
      </c>
      <c r="D89" s="80">
        <f t="shared" ref="D89" si="62">D25-D57</f>
        <v>0</v>
      </c>
      <c r="E89" s="80">
        <f t="shared" ref="E89:I89" si="63">E25-E57</f>
        <v>0</v>
      </c>
      <c r="F89" s="80">
        <f t="shared" si="63"/>
        <v>0</v>
      </c>
      <c r="G89" s="80">
        <f t="shared" si="63"/>
        <v>0</v>
      </c>
      <c r="H89" s="80">
        <f t="shared" si="63"/>
        <v>0</v>
      </c>
      <c r="I89" s="80">
        <f t="shared" si="63"/>
        <v>0</v>
      </c>
      <c r="J89" s="80">
        <f t="shared" ref="J89:K89" si="64">J25-J57</f>
        <v>0</v>
      </c>
      <c r="K89" s="80">
        <f t="shared" si="64"/>
        <v>0</v>
      </c>
    </row>
    <row r="90" spans="2:12" x14ac:dyDescent="0.25">
      <c r="B90" s="56"/>
      <c r="C90" s="56"/>
      <c r="D90" s="80"/>
      <c r="E90" s="80"/>
      <c r="F90" s="80"/>
      <c r="G90" s="80"/>
      <c r="H90" s="80"/>
      <c r="I90" s="80"/>
      <c r="J90" s="80"/>
      <c r="K90" s="80"/>
    </row>
    <row r="91" spans="2:12" x14ac:dyDescent="0.25">
      <c r="B91" s="69" t="s">
        <v>1888</v>
      </c>
      <c r="C91" s="56"/>
      <c r="D91" s="80"/>
      <c r="E91" s="80"/>
      <c r="F91" s="80"/>
      <c r="G91" s="80"/>
      <c r="H91" s="80"/>
      <c r="I91" s="80"/>
      <c r="J91" s="80"/>
      <c r="K91" s="80"/>
    </row>
    <row r="92" spans="2:12" x14ac:dyDescent="0.25">
      <c r="B92" s="56" t="s">
        <v>1702</v>
      </c>
      <c r="C92" s="56" t="s">
        <v>1889</v>
      </c>
      <c r="D92" s="79">
        <f t="shared" ref="D92" si="65">D28-D60</f>
        <v>9.5853090567189769E-4</v>
      </c>
      <c r="E92" s="79">
        <f>E28-E60</f>
        <v>1.9999999999999983E-3</v>
      </c>
      <c r="F92" s="79">
        <f t="shared" ref="F92:G92" si="66">F28-F60</f>
        <v>0</v>
      </c>
      <c r="G92" s="79">
        <f t="shared" si="66"/>
        <v>0</v>
      </c>
      <c r="H92" s="79">
        <f t="shared" ref="H92:I92" si="67">H28-H60</f>
        <v>0</v>
      </c>
      <c r="I92" s="79">
        <f t="shared" si="67"/>
        <v>0</v>
      </c>
      <c r="J92" s="79">
        <f t="shared" ref="J92:K92" si="68">J28-J60</f>
        <v>0</v>
      </c>
      <c r="K92" s="79">
        <f t="shared" si="68"/>
        <v>0</v>
      </c>
    </row>
    <row r="93" spans="2:12" x14ac:dyDescent="0.25">
      <c r="B93" s="56" t="s">
        <v>1703</v>
      </c>
      <c r="C93" s="56"/>
      <c r="D93" s="79">
        <f t="shared" ref="D93:E96" si="69">D29-D61</f>
        <v>3.585770602280447E-2</v>
      </c>
      <c r="E93" s="79">
        <f t="shared" si="69"/>
        <v>0</v>
      </c>
      <c r="F93" s="79">
        <f t="shared" ref="F93:G93" si="70">F29-F61</f>
        <v>0</v>
      </c>
      <c r="G93" s="79">
        <f t="shared" si="70"/>
        <v>0</v>
      </c>
      <c r="H93" s="79">
        <f t="shared" ref="H93:I93" si="71">H29-H61</f>
        <v>0</v>
      </c>
      <c r="I93" s="79">
        <f t="shared" si="71"/>
        <v>0</v>
      </c>
      <c r="J93" s="79">
        <f t="shared" ref="J93:K93" si="72">J29-J61</f>
        <v>0</v>
      </c>
      <c r="K93" s="79">
        <f t="shared" si="72"/>
        <v>0</v>
      </c>
    </row>
    <row r="94" spans="2:12" x14ac:dyDescent="0.25">
      <c r="B94" s="56" t="s">
        <v>1704</v>
      </c>
      <c r="C94" s="56"/>
      <c r="D94" s="79">
        <f t="shared" si="69"/>
        <v>1.2528997217908344E-2</v>
      </c>
      <c r="E94" s="79">
        <f t="shared" si="69"/>
        <v>0</v>
      </c>
      <c r="F94" s="79">
        <f t="shared" ref="F94:G94" si="73">F30-F62</f>
        <v>0</v>
      </c>
      <c r="G94" s="79">
        <f t="shared" si="73"/>
        <v>0</v>
      </c>
      <c r="H94" s="79">
        <f t="shared" ref="H94:I94" si="74">H30-H62</f>
        <v>0</v>
      </c>
      <c r="I94" s="79">
        <f t="shared" si="74"/>
        <v>0</v>
      </c>
      <c r="J94" s="79">
        <f t="shared" ref="J94:K94" si="75">J30-J62</f>
        <v>0</v>
      </c>
      <c r="K94" s="79">
        <f t="shared" si="75"/>
        <v>0</v>
      </c>
    </row>
    <row r="95" spans="2:12" x14ac:dyDescent="0.25">
      <c r="B95" s="56" t="s">
        <v>1705</v>
      </c>
      <c r="C95" s="56"/>
      <c r="D95" s="79">
        <f t="shared" si="69"/>
        <v>1.7052337240317295E-2</v>
      </c>
      <c r="E95" s="79">
        <f t="shared" si="69"/>
        <v>0</v>
      </c>
      <c r="F95" s="79">
        <f t="shared" ref="F95:G95" si="76">F31-F63</f>
        <v>0</v>
      </c>
      <c r="G95" s="79">
        <f t="shared" si="76"/>
        <v>0</v>
      </c>
      <c r="H95" s="79">
        <f t="shared" ref="H95:I95" si="77">H31-H63</f>
        <v>0</v>
      </c>
      <c r="I95" s="79">
        <f t="shared" si="77"/>
        <v>0</v>
      </c>
      <c r="J95" s="79">
        <f t="shared" ref="J95:K95" si="78">J31-J63</f>
        <v>0</v>
      </c>
      <c r="K95" s="79">
        <f t="shared" si="78"/>
        <v>0</v>
      </c>
    </row>
    <row r="96" spans="2:12" x14ac:dyDescent="0.25">
      <c r="B96" s="56" t="s">
        <v>1706</v>
      </c>
      <c r="C96" s="56"/>
      <c r="D96" s="79">
        <f t="shared" si="69"/>
        <v>-6.0402640942553987E-3</v>
      </c>
      <c r="E96" s="79">
        <f t="shared" si="69"/>
        <v>0</v>
      </c>
      <c r="F96" s="79">
        <f t="shared" ref="F96:G96" si="79">F32-F64</f>
        <v>0</v>
      </c>
      <c r="G96" s="79">
        <f t="shared" si="79"/>
        <v>0</v>
      </c>
      <c r="H96" s="79">
        <f t="shared" ref="H96:I96" si="80">H32-H64</f>
        <v>0</v>
      </c>
      <c r="I96" s="79">
        <f t="shared" si="80"/>
        <v>0</v>
      </c>
      <c r="J96" s="79">
        <f t="shared" ref="J96:K96" si="81">J32-J64</f>
        <v>0</v>
      </c>
      <c r="K96" s="79">
        <f t="shared" si="81"/>
        <v>0</v>
      </c>
    </row>
    <row r="98" spans="2:11" x14ac:dyDescent="0.25">
      <c r="B98" s="1241" t="s">
        <v>233</v>
      </c>
      <c r="C98" s="1241"/>
      <c r="D98" s="1241"/>
      <c r="E98" s="1241"/>
      <c r="F98" s="1241"/>
      <c r="G98" s="1241"/>
      <c r="H98" s="1241"/>
      <c r="I98" s="1241"/>
      <c r="J98" s="1241"/>
      <c r="K98" s="1241"/>
    </row>
    <row r="99" spans="2:11" x14ac:dyDescent="0.25">
      <c r="B99" t="s">
        <v>178</v>
      </c>
      <c r="C99" t="s">
        <v>179</v>
      </c>
      <c r="D99" t="s">
        <v>177</v>
      </c>
      <c r="E99" t="s">
        <v>763</v>
      </c>
      <c r="F99" t="s">
        <v>764</v>
      </c>
      <c r="G99" t="s">
        <v>765</v>
      </c>
      <c r="H99" t="s">
        <v>1151</v>
      </c>
      <c r="I99" t="s">
        <v>1152</v>
      </c>
      <c r="J99" t="s">
        <v>1153</v>
      </c>
      <c r="K99" t="s">
        <v>1154</v>
      </c>
    </row>
    <row r="100" spans="2:11" x14ac:dyDescent="0.25">
      <c r="B100" t="s">
        <v>192</v>
      </c>
      <c r="C100" t="s">
        <v>193</v>
      </c>
      <c r="D100" s="82">
        <f t="shared" ref="D100" si="82">(D4/D36-1)</f>
        <v>-5.1070828158829462E-2</v>
      </c>
      <c r="E100" s="82">
        <f t="shared" ref="E100:H100" si="83">(E4/E36-1)</f>
        <v>-5.2073939054918084E-2</v>
      </c>
      <c r="F100" s="82">
        <f t="shared" si="83"/>
        <v>-5.224330143580358E-2</v>
      </c>
      <c r="G100" s="82">
        <f t="shared" si="83"/>
        <v>-5.2869998588824685E-2</v>
      </c>
      <c r="H100" s="82">
        <f t="shared" si="83"/>
        <v>-5.3021712452618108E-2</v>
      </c>
      <c r="I100" s="82">
        <f t="shared" ref="I100:J121" si="84">(I4/I36-1)</f>
        <v>-5.3505352790426897E-2</v>
      </c>
      <c r="J100" s="82">
        <f t="shared" si="84"/>
        <v>-5.3535817279554476E-2</v>
      </c>
      <c r="K100" s="82">
        <f t="shared" ref="K100" si="85">(K4/K36-1)</f>
        <v>-5.3802874957960878E-2</v>
      </c>
    </row>
    <row r="101" spans="2:11" x14ac:dyDescent="0.25">
      <c r="B101" t="s">
        <v>134</v>
      </c>
      <c r="C101" t="s">
        <v>194</v>
      </c>
      <c r="D101" s="82">
        <f t="shared" ref="D101" si="86">(D5/D37-1)</f>
        <v>0</v>
      </c>
      <c r="E101" s="82">
        <f t="shared" ref="E101:H101" si="87">(E5/E37-1)</f>
        <v>0</v>
      </c>
      <c r="F101" s="82">
        <f t="shared" si="87"/>
        <v>0</v>
      </c>
      <c r="G101" s="82">
        <f t="shared" si="87"/>
        <v>0</v>
      </c>
      <c r="H101" s="82">
        <f t="shared" si="87"/>
        <v>0</v>
      </c>
      <c r="I101" s="82">
        <f t="shared" si="84"/>
        <v>0</v>
      </c>
      <c r="J101" s="82">
        <f t="shared" si="84"/>
        <v>0</v>
      </c>
      <c r="K101" s="82">
        <f t="shared" ref="K101" si="88">(K5/K37-1)</f>
        <v>0</v>
      </c>
    </row>
    <row r="102" spans="2:11" x14ac:dyDescent="0.25">
      <c r="B102" t="s">
        <v>195</v>
      </c>
      <c r="C102" t="s">
        <v>196</v>
      </c>
      <c r="D102" s="82">
        <f t="shared" ref="D102" si="89">(D6/D38-1)</f>
        <v>3.5390534280288488E-3</v>
      </c>
      <c r="E102" s="82">
        <f t="shared" ref="E102:H102" si="90">(E6/E38-1)</f>
        <v>3.55012328122295E-3</v>
      </c>
      <c r="F102" s="82">
        <f t="shared" si="90"/>
        <v>3.55012328122295E-3</v>
      </c>
      <c r="G102" s="82">
        <f t="shared" si="90"/>
        <v>3.55012328122295E-3</v>
      </c>
      <c r="H102" s="82">
        <f t="shared" si="90"/>
        <v>3.55012328122295E-3</v>
      </c>
      <c r="I102" s="82">
        <f t="shared" si="84"/>
        <v>3.5501232812227279E-3</v>
      </c>
      <c r="J102" s="82">
        <f t="shared" si="84"/>
        <v>3.55012328122295E-3</v>
      </c>
      <c r="K102" s="82">
        <f t="shared" ref="K102" si="91">(K6/K38-1)</f>
        <v>3.55012328122295E-3</v>
      </c>
    </row>
    <row r="103" spans="2:11" x14ac:dyDescent="0.25">
      <c r="B103" t="s">
        <v>197</v>
      </c>
      <c r="C103" t="s">
        <v>198</v>
      </c>
      <c r="D103" s="82">
        <f t="shared" ref="D103" si="92">(D7/D39-1)</f>
        <v>3.14976289516955E-3</v>
      </c>
      <c r="E103" s="82">
        <f t="shared" ref="E103:H103" si="93">(E7/E39-1)</f>
        <v>3.14976289516955E-3</v>
      </c>
      <c r="F103" s="82">
        <f t="shared" si="93"/>
        <v>3.14976289516955E-3</v>
      </c>
      <c r="G103" s="82">
        <f t="shared" si="93"/>
        <v>3.14976289516955E-3</v>
      </c>
      <c r="H103" s="82">
        <f t="shared" si="93"/>
        <v>3.14976289516955E-3</v>
      </c>
      <c r="I103" s="82">
        <f t="shared" si="84"/>
        <v>3.14976289516955E-3</v>
      </c>
      <c r="J103" s="82">
        <f t="shared" si="84"/>
        <v>3.14976289516955E-3</v>
      </c>
      <c r="K103" s="82">
        <f t="shared" ref="K103" si="94">(K7/K39-1)</f>
        <v>3.14976289516955E-3</v>
      </c>
    </row>
    <row r="104" spans="2:11" x14ac:dyDescent="0.25">
      <c r="B104" t="s">
        <v>199</v>
      </c>
      <c r="C104" t="s">
        <v>200</v>
      </c>
      <c r="D104" s="82">
        <f t="shared" ref="D104" si="95">(D8/D40-1)</f>
        <v>0.11970212179955708</v>
      </c>
      <c r="E104" s="82">
        <f t="shared" ref="E104:H104" si="96">(E8/E40-1)</f>
        <v>0.13081883328123722</v>
      </c>
      <c r="F104" s="82">
        <f t="shared" si="96"/>
        <v>0.13081883328123722</v>
      </c>
      <c r="G104" s="82">
        <f t="shared" si="96"/>
        <v>0.1245618289644832</v>
      </c>
      <c r="H104" s="82">
        <f t="shared" si="96"/>
        <v>0.12758558395808861</v>
      </c>
      <c r="I104" s="82">
        <f t="shared" si="84"/>
        <v>0.12758558395808861</v>
      </c>
      <c r="J104" s="82">
        <f t="shared" si="84"/>
        <v>0.12758558395808861</v>
      </c>
      <c r="K104" s="82">
        <f t="shared" ref="K104" si="97">(K8/K40-1)</f>
        <v>0.12758558395808861</v>
      </c>
    </row>
    <row r="105" spans="2:11" x14ac:dyDescent="0.25">
      <c r="B105" t="s">
        <v>201</v>
      </c>
      <c r="C105" t="s">
        <v>202</v>
      </c>
      <c r="D105" s="82">
        <f t="shared" ref="D105" si="98">(D9/D41-1)</f>
        <v>0</v>
      </c>
      <c r="E105" s="82">
        <f t="shared" ref="E105:H105" si="99">(E9/E41-1)</f>
        <v>0</v>
      </c>
      <c r="F105" s="82">
        <f t="shared" si="99"/>
        <v>0</v>
      </c>
      <c r="G105" s="82">
        <f t="shared" si="99"/>
        <v>0</v>
      </c>
      <c r="H105" s="82" t="e">
        <f t="shared" si="99"/>
        <v>#DIV/0!</v>
      </c>
      <c r="I105" s="82" t="e">
        <f t="shared" si="84"/>
        <v>#DIV/0!</v>
      </c>
      <c r="J105" s="82" t="e">
        <f t="shared" si="84"/>
        <v>#DIV/0!</v>
      </c>
      <c r="K105" s="82" t="e">
        <f t="shared" ref="K105" si="100">(K9/K41-1)</f>
        <v>#DIV/0!</v>
      </c>
    </row>
    <row r="106" spans="2:11" x14ac:dyDescent="0.25">
      <c r="B106" t="s">
        <v>203</v>
      </c>
      <c r="C106" t="s">
        <v>204</v>
      </c>
      <c r="D106" s="82" t="e">
        <f t="shared" ref="D106" si="101">(D10/D42-1)</f>
        <v>#DIV/0!</v>
      </c>
      <c r="E106" s="82" t="e">
        <f t="shared" ref="E106:H106" si="102">(E10/E42-1)</f>
        <v>#DIV/0!</v>
      </c>
      <c r="F106" s="82" t="e">
        <f t="shared" si="102"/>
        <v>#DIV/0!</v>
      </c>
      <c r="G106" s="82" t="e">
        <f t="shared" si="102"/>
        <v>#DIV/0!</v>
      </c>
      <c r="H106" s="82" t="e">
        <f t="shared" si="102"/>
        <v>#DIV/0!</v>
      </c>
      <c r="I106" s="82" t="e">
        <f t="shared" si="84"/>
        <v>#DIV/0!</v>
      </c>
      <c r="J106" s="82" t="e">
        <f t="shared" si="84"/>
        <v>#DIV/0!</v>
      </c>
      <c r="K106" s="82" t="e">
        <f t="shared" ref="K106" si="103">(K10/K42-1)</f>
        <v>#DIV/0!</v>
      </c>
    </row>
    <row r="107" spans="2:11" x14ac:dyDescent="0.25">
      <c r="B107" t="s">
        <v>205</v>
      </c>
      <c r="C107" t="s">
        <v>206</v>
      </c>
      <c r="D107" s="82">
        <f t="shared" ref="D107" si="104">(D11/D43-1)</f>
        <v>0</v>
      </c>
      <c r="E107" s="82">
        <f t="shared" ref="E107:H107" si="105">(E11/E43-1)</f>
        <v>0</v>
      </c>
      <c r="F107" s="82">
        <f t="shared" si="105"/>
        <v>0</v>
      </c>
      <c r="G107" s="82">
        <f t="shared" si="105"/>
        <v>0</v>
      </c>
      <c r="H107" s="82">
        <f t="shared" si="105"/>
        <v>0</v>
      </c>
      <c r="I107" s="82">
        <f t="shared" si="84"/>
        <v>0</v>
      </c>
      <c r="J107" s="82">
        <f t="shared" si="84"/>
        <v>0</v>
      </c>
      <c r="K107" s="82">
        <f t="shared" ref="K107" si="106">(K11/K43-1)</f>
        <v>0</v>
      </c>
    </row>
    <row r="108" spans="2:11" x14ac:dyDescent="0.25">
      <c r="B108" t="s">
        <v>207</v>
      </c>
      <c r="C108" t="s">
        <v>208</v>
      </c>
      <c r="D108" s="82">
        <f t="shared" ref="D108" si="107">(D12/D44-1)</f>
        <v>-4.6657636308060746E-2</v>
      </c>
      <c r="E108" s="82">
        <f t="shared" ref="E108:H108" si="108">(E12/E44-1)</f>
        <v>-4.262043557390971E-2</v>
      </c>
      <c r="F108" s="82">
        <f t="shared" si="108"/>
        <v>-4.4064420626321543E-2</v>
      </c>
      <c r="G108" s="82">
        <f t="shared" si="108"/>
        <v>-4.361457248389089E-2</v>
      </c>
      <c r="H108" s="82">
        <f t="shared" si="108"/>
        <v>-4.3648116498560041E-2</v>
      </c>
      <c r="I108" s="82">
        <f t="shared" si="84"/>
        <v>-3.8353295503387841E-2</v>
      </c>
      <c r="J108" s="82">
        <f t="shared" si="84"/>
        <v>-3.6710684095113133E-2</v>
      </c>
      <c r="K108" s="82">
        <f t="shared" ref="K108" si="109">(K12/K44-1)</f>
        <v>-3.7368863649970385E-2</v>
      </c>
    </row>
    <row r="109" spans="2:11" x14ac:dyDescent="0.25">
      <c r="B109" t="s">
        <v>209</v>
      </c>
      <c r="C109" t="s">
        <v>210</v>
      </c>
      <c r="D109" s="82">
        <f t="shared" ref="D109" si="110">(D13/D45-1)</f>
        <v>-2.2885171457982634E-2</v>
      </c>
      <c r="E109" s="82">
        <f t="shared" ref="E109:H109" si="111">(E13/E45-1)</f>
        <v>-3.6766553905590693E-2</v>
      </c>
      <c r="F109" s="82">
        <f t="shared" si="111"/>
        <v>-3.6766553905590693E-2</v>
      </c>
      <c r="G109" s="82">
        <f t="shared" si="111"/>
        <v>-3.447300189874003E-2</v>
      </c>
      <c r="H109" s="82">
        <f t="shared" si="111"/>
        <v>-3.2173988722710045E-2</v>
      </c>
      <c r="I109" s="82">
        <f t="shared" si="84"/>
        <v>-2.9869501373928853E-2</v>
      </c>
      <c r="J109" s="82">
        <f t="shared" si="84"/>
        <v>-2.7559526817861557E-2</v>
      </c>
      <c r="K109" s="82">
        <f t="shared" ref="K109" si="112">(K13/K45-1)</f>
        <v>-2.7773634608864062E-2</v>
      </c>
    </row>
    <row r="110" spans="2:11" x14ac:dyDescent="0.25">
      <c r="B110" t="s">
        <v>55</v>
      </c>
      <c r="C110" t="s">
        <v>211</v>
      </c>
      <c r="D110" s="82">
        <f t="shared" ref="D110" si="113">(D14/D46-1)</f>
        <v>1.3543615988045321E-3</v>
      </c>
      <c r="E110" s="82">
        <f t="shared" ref="E110:H110" si="114">(E14/E46-1)</f>
        <v>1.3543615988045321E-3</v>
      </c>
      <c r="F110" s="82">
        <f t="shared" si="114"/>
        <v>1.3543615988045321E-3</v>
      </c>
      <c r="G110" s="82">
        <f t="shared" si="114"/>
        <v>1.3543615988045321E-3</v>
      </c>
      <c r="H110" s="82">
        <f t="shared" si="114"/>
        <v>1.3543615988043101E-3</v>
      </c>
      <c r="I110" s="82">
        <f t="shared" si="84"/>
        <v>1.3543615988045321E-3</v>
      </c>
      <c r="J110" s="82">
        <f t="shared" si="84"/>
        <v>1.3543615988043101E-3</v>
      </c>
      <c r="K110" s="82">
        <f t="shared" ref="K110" si="115">(K14/K46-1)</f>
        <v>1.354361598804088E-3</v>
      </c>
    </row>
    <row r="111" spans="2:11" x14ac:dyDescent="0.25">
      <c r="B111" t="s">
        <v>212</v>
      </c>
      <c r="C111" t="s">
        <v>213</v>
      </c>
      <c r="D111" s="82" t="e">
        <f t="shared" ref="D111" si="116">(D15/D47-1)</f>
        <v>#DIV/0!</v>
      </c>
      <c r="E111" s="82" t="e">
        <f t="shared" ref="E111:H111" si="117">(E15/E47-1)</f>
        <v>#DIV/0!</v>
      </c>
      <c r="F111" s="82" t="e">
        <f t="shared" si="117"/>
        <v>#DIV/0!</v>
      </c>
      <c r="G111" s="82" t="e">
        <f t="shared" si="117"/>
        <v>#DIV/0!</v>
      </c>
      <c r="H111" s="82" t="e">
        <f t="shared" si="117"/>
        <v>#DIV/0!</v>
      </c>
      <c r="I111" s="82" t="e">
        <f t="shared" si="84"/>
        <v>#DIV/0!</v>
      </c>
      <c r="J111" s="82" t="e">
        <f t="shared" si="84"/>
        <v>#DIV/0!</v>
      </c>
      <c r="K111" s="82" t="e">
        <f t="shared" ref="K111" si="118">(K15/K47-1)</f>
        <v>#DIV/0!</v>
      </c>
    </row>
    <row r="112" spans="2:11" x14ac:dyDescent="0.25">
      <c r="B112" t="s">
        <v>214</v>
      </c>
      <c r="C112" t="s">
        <v>215</v>
      </c>
      <c r="D112" s="82" t="e">
        <f t="shared" ref="D112" si="119">(D16/D48-1)</f>
        <v>#DIV/0!</v>
      </c>
      <c r="E112" s="82" t="e">
        <f t="shared" ref="E112:H112" si="120">(E16/E48-1)</f>
        <v>#DIV/0!</v>
      </c>
      <c r="F112" s="82" t="e">
        <f t="shared" si="120"/>
        <v>#DIV/0!</v>
      </c>
      <c r="G112" s="82" t="e">
        <f t="shared" si="120"/>
        <v>#DIV/0!</v>
      </c>
      <c r="H112" s="82" t="e">
        <f t="shared" si="120"/>
        <v>#DIV/0!</v>
      </c>
      <c r="I112" s="82" t="e">
        <f t="shared" si="84"/>
        <v>#DIV/0!</v>
      </c>
      <c r="J112" s="82" t="e">
        <f t="shared" si="84"/>
        <v>#DIV/0!</v>
      </c>
      <c r="K112" s="82" t="e">
        <f t="shared" ref="K112" si="121">(K16/K48-1)</f>
        <v>#DIV/0!</v>
      </c>
    </row>
    <row r="113" spans="2:11" x14ac:dyDescent="0.25">
      <c r="B113" t="s">
        <v>216</v>
      </c>
      <c r="C113" t="s">
        <v>217</v>
      </c>
      <c r="D113" s="82">
        <f t="shared" ref="D113" si="122">(D17/D49-1)</f>
        <v>0</v>
      </c>
      <c r="E113" s="82">
        <f t="shared" ref="E113:H113" si="123">(E17/E49-1)</f>
        <v>0</v>
      </c>
      <c r="F113" s="82">
        <f t="shared" si="123"/>
        <v>0</v>
      </c>
      <c r="G113" s="82">
        <f t="shared" si="123"/>
        <v>0</v>
      </c>
      <c r="H113" s="82" t="e">
        <f t="shared" si="123"/>
        <v>#DIV/0!</v>
      </c>
      <c r="I113" s="82" t="e">
        <f t="shared" si="84"/>
        <v>#DIV/0!</v>
      </c>
      <c r="J113" s="82" t="e">
        <f t="shared" si="84"/>
        <v>#DIV/0!</v>
      </c>
      <c r="K113" s="82" t="e">
        <f t="shared" ref="K113" si="124">(K17/K49-1)</f>
        <v>#DIV/0!</v>
      </c>
    </row>
    <row r="114" spans="2:11" x14ac:dyDescent="0.25">
      <c r="B114" t="s">
        <v>218</v>
      </c>
      <c r="C114" t="s">
        <v>219</v>
      </c>
      <c r="D114" s="82">
        <f t="shared" ref="D114" si="125">(D18/D50-1)</f>
        <v>0</v>
      </c>
      <c r="E114" s="82">
        <f t="shared" ref="E114:H114" si="126">(E18/E50-1)</f>
        <v>0</v>
      </c>
      <c r="F114" s="82">
        <f t="shared" si="126"/>
        <v>0</v>
      </c>
      <c r="G114" s="82">
        <f t="shared" si="126"/>
        <v>0</v>
      </c>
      <c r="H114" s="82" t="e">
        <f t="shared" si="126"/>
        <v>#DIV/0!</v>
      </c>
      <c r="I114" s="82" t="e">
        <f t="shared" si="84"/>
        <v>#DIV/0!</v>
      </c>
      <c r="J114" s="82" t="e">
        <f t="shared" si="84"/>
        <v>#DIV/0!</v>
      </c>
      <c r="K114" s="82" t="e">
        <f t="shared" ref="K114" si="127">(K18/K50-1)</f>
        <v>#DIV/0!</v>
      </c>
    </row>
    <row r="115" spans="2:11" x14ac:dyDescent="0.25">
      <c r="B115" t="s">
        <v>220</v>
      </c>
      <c r="C115" t="s">
        <v>221</v>
      </c>
      <c r="D115" s="82">
        <f t="shared" ref="D115" si="128">(D19/D51-1)</f>
        <v>1.4048234904970869E-2</v>
      </c>
      <c r="E115" s="82">
        <f t="shared" ref="E115:H115" si="129">(E19/E51-1)</f>
        <v>1.4005859761966999E-2</v>
      </c>
      <c r="F115" s="82">
        <f t="shared" si="129"/>
        <v>1.3963739491213545E-2</v>
      </c>
      <c r="G115" s="82">
        <f t="shared" si="129"/>
        <v>1.4023784186679045E-2</v>
      </c>
      <c r="H115" s="82">
        <f t="shared" si="129"/>
        <v>1.375603303653028E-2</v>
      </c>
      <c r="I115" s="82">
        <f t="shared" si="84"/>
        <v>1.3719811480527477E-2</v>
      </c>
      <c r="J115" s="82">
        <f t="shared" si="84"/>
        <v>1.3673389783477319E-2</v>
      </c>
      <c r="K115" s="82">
        <f t="shared" ref="K115" si="130">(K19/K51-1)</f>
        <v>1.3627281167563066E-2</v>
      </c>
    </row>
    <row r="116" spans="2:11" x14ac:dyDescent="0.25">
      <c r="B116" t="s">
        <v>222</v>
      </c>
      <c r="C116" t="s">
        <v>223</v>
      </c>
      <c r="D116" s="82">
        <f t="shared" ref="D116" si="131">(D20/D52-1)</f>
        <v>0</v>
      </c>
      <c r="E116" s="82">
        <f t="shared" ref="E116:H116" si="132">(E20/E52-1)</f>
        <v>0</v>
      </c>
      <c r="F116" s="82">
        <f t="shared" si="132"/>
        <v>0</v>
      </c>
      <c r="G116" s="82">
        <f t="shared" si="132"/>
        <v>0</v>
      </c>
      <c r="H116" s="82">
        <f t="shared" si="132"/>
        <v>0</v>
      </c>
      <c r="I116" s="82">
        <f t="shared" si="84"/>
        <v>0</v>
      </c>
      <c r="J116" s="82">
        <f t="shared" si="84"/>
        <v>0</v>
      </c>
      <c r="K116" s="82">
        <f t="shared" ref="K116" si="133">(K20/K52-1)</f>
        <v>0</v>
      </c>
    </row>
    <row r="117" spans="2:11" x14ac:dyDescent="0.25">
      <c r="B117" t="s">
        <v>224</v>
      </c>
      <c r="C117" t="s">
        <v>225</v>
      </c>
      <c r="D117" s="82">
        <f t="shared" ref="D117" si="134">(D21/D53-1)</f>
        <v>1.0711694738108513E-2</v>
      </c>
      <c r="E117" s="82">
        <f t="shared" ref="E117:H117" si="135">(E21/E53-1)</f>
        <v>1.7202309086412626E-2</v>
      </c>
      <c r="F117" s="82">
        <f t="shared" si="135"/>
        <v>1.7149593345349601E-2</v>
      </c>
      <c r="G117" s="82">
        <f t="shared" si="135"/>
        <v>1.7097780143237484E-2</v>
      </c>
      <c r="H117" s="82">
        <f t="shared" si="135"/>
        <v>1.0501854103604158E-2</v>
      </c>
      <c r="I117" s="82">
        <f t="shared" si="84"/>
        <v>1.0444823880946252E-2</v>
      </c>
      <c r="J117" s="82">
        <f t="shared" si="84"/>
        <v>1.0388875248260154E-2</v>
      </c>
      <c r="K117" s="82">
        <f t="shared" ref="K117" si="136">(K21/K53-1)</f>
        <v>1.0333986227765823E-2</v>
      </c>
    </row>
    <row r="118" spans="2:11" x14ac:dyDescent="0.25">
      <c r="B118" t="s">
        <v>226</v>
      </c>
      <c r="C118" t="s">
        <v>227</v>
      </c>
      <c r="D118" s="82">
        <f t="shared" ref="D118" si="137">(D22/D54-1)</f>
        <v>1.9067898371230019E-3</v>
      </c>
      <c r="E118" s="82">
        <f t="shared" ref="E118:H118" si="138">(E22/E54-1)</f>
        <v>-2.4426759590904235E-3</v>
      </c>
      <c r="F118" s="82">
        <f t="shared" si="138"/>
        <v>-2.4558264813925312E-3</v>
      </c>
      <c r="G118" s="82">
        <f t="shared" si="138"/>
        <v>-2.4728005286167587E-3</v>
      </c>
      <c r="H118" s="82">
        <f t="shared" si="138"/>
        <v>-2.4897747608648713E-3</v>
      </c>
      <c r="I118" s="82">
        <f t="shared" si="84"/>
        <v>-2.4994449694575316E-3</v>
      </c>
      <c r="J118" s="82">
        <f t="shared" si="84"/>
        <v>-2.5160218025885861E-3</v>
      </c>
      <c r="K118" s="82">
        <f t="shared" ref="K118" si="139">(K22/K54-1)</f>
        <v>-2.5248452688357848E-3</v>
      </c>
    </row>
    <row r="119" spans="2:11" x14ac:dyDescent="0.25">
      <c r="B119" t="s">
        <v>228</v>
      </c>
      <c r="C119" t="s">
        <v>229</v>
      </c>
      <c r="D119" s="82">
        <f t="shared" ref="D119" si="140">(D23/D55-1)</f>
        <v>0</v>
      </c>
      <c r="E119" s="82">
        <f t="shared" ref="E119:H119" si="141">(E23/E55-1)</f>
        <v>0</v>
      </c>
      <c r="F119" s="82">
        <f t="shared" si="141"/>
        <v>0</v>
      </c>
      <c r="G119" s="82">
        <f t="shared" si="141"/>
        <v>0</v>
      </c>
      <c r="H119" s="82">
        <f t="shared" si="141"/>
        <v>0</v>
      </c>
      <c r="I119" s="82">
        <f t="shared" si="84"/>
        <v>0</v>
      </c>
      <c r="J119" s="82">
        <f t="shared" si="84"/>
        <v>0</v>
      </c>
      <c r="K119" s="82">
        <f t="shared" ref="K119" si="142">(K23/K55-1)</f>
        <v>0</v>
      </c>
    </row>
    <row r="120" spans="2:11" x14ac:dyDescent="0.25">
      <c r="B120" t="s">
        <v>230</v>
      </c>
      <c r="C120" t="s">
        <v>231</v>
      </c>
      <c r="D120" s="82">
        <f t="shared" ref="D120" si="143">(D24/D56-1)</f>
        <v>0</v>
      </c>
      <c r="E120" s="82">
        <f t="shared" ref="E120:H120" si="144">(E24/E56-1)</f>
        <v>0</v>
      </c>
      <c r="F120" s="82">
        <f t="shared" si="144"/>
        <v>0</v>
      </c>
      <c r="G120" s="82">
        <f t="shared" si="144"/>
        <v>0</v>
      </c>
      <c r="H120" s="82">
        <f t="shared" si="144"/>
        <v>0</v>
      </c>
      <c r="I120" s="82">
        <f t="shared" si="84"/>
        <v>0</v>
      </c>
      <c r="J120" s="82">
        <f t="shared" si="84"/>
        <v>0</v>
      </c>
      <c r="K120" s="82">
        <f t="shared" ref="K120" si="145">(K24/K56-1)</f>
        <v>0</v>
      </c>
    </row>
    <row r="121" spans="2:11" x14ac:dyDescent="0.25">
      <c r="B121" s="56" t="s">
        <v>1379</v>
      </c>
      <c r="C121" s="56" t="s">
        <v>1378</v>
      </c>
      <c r="D121" s="82">
        <f t="shared" ref="D121" si="146">(D25/D57-1)</f>
        <v>0</v>
      </c>
      <c r="E121" s="82">
        <f t="shared" ref="E121:H121" si="147">(E25/E57-1)</f>
        <v>0</v>
      </c>
      <c r="F121" s="82">
        <f t="shared" si="147"/>
        <v>0</v>
      </c>
      <c r="G121" s="82">
        <f t="shared" si="147"/>
        <v>0</v>
      </c>
      <c r="H121" s="82">
        <f t="shared" si="147"/>
        <v>0</v>
      </c>
      <c r="I121" s="82">
        <f t="shared" si="84"/>
        <v>0</v>
      </c>
      <c r="J121" s="82" t="e">
        <f t="shared" si="84"/>
        <v>#DIV/0!</v>
      </c>
      <c r="K121" s="82" t="e">
        <f t="shared" ref="K121" si="148">(K25/K57-1)</f>
        <v>#DIV/0!</v>
      </c>
    </row>
    <row r="122" spans="2:11" x14ac:dyDescent="0.25">
      <c r="B122" s="56"/>
      <c r="D122" s="82"/>
    </row>
    <row r="123" spans="2:11" x14ac:dyDescent="0.25">
      <c r="B123" s="69" t="s">
        <v>1888</v>
      </c>
      <c r="D123" s="82"/>
    </row>
    <row r="124" spans="2:11" x14ac:dyDescent="0.25">
      <c r="B124" s="56" t="s">
        <v>1702</v>
      </c>
      <c r="D124" s="82">
        <f t="shared" ref="D124:E124" si="149">(D28/D60-1)</f>
        <v>2.7341001648087282E-2</v>
      </c>
      <c r="E124" s="82">
        <f t="shared" si="149"/>
        <v>7.8481737262375617E-2</v>
      </c>
      <c r="F124" s="82">
        <f t="shared" ref="F124:H124" si="150">(F28/F60-1)</f>
        <v>0</v>
      </c>
      <c r="G124" s="82">
        <f t="shared" si="150"/>
        <v>0</v>
      </c>
      <c r="H124" s="82">
        <f t="shared" si="150"/>
        <v>0</v>
      </c>
      <c r="I124" s="82">
        <f t="shared" ref="I124:J128" si="151">(I28/I60-1)</f>
        <v>0</v>
      </c>
      <c r="J124" s="82">
        <f t="shared" si="151"/>
        <v>0</v>
      </c>
      <c r="K124" s="82">
        <f t="shared" ref="K124" si="152">(K28/K60-1)</f>
        <v>0</v>
      </c>
    </row>
    <row r="125" spans="2:11" x14ac:dyDescent="0.25">
      <c r="B125" s="56" t="s">
        <v>1703</v>
      </c>
      <c r="D125" s="82">
        <f t="shared" ref="D125:E125" si="153">(D29/D61-1)</f>
        <v>1.9156129350030393</v>
      </c>
      <c r="E125" s="82">
        <f t="shared" si="153"/>
        <v>0</v>
      </c>
      <c r="F125" s="82">
        <f t="shared" ref="F125:H125" si="154">(F29/F61-1)</f>
        <v>0</v>
      </c>
      <c r="G125" s="82">
        <f t="shared" si="154"/>
        <v>0</v>
      </c>
      <c r="H125" s="82">
        <f t="shared" si="154"/>
        <v>0</v>
      </c>
      <c r="I125" s="82">
        <f t="shared" si="151"/>
        <v>0</v>
      </c>
      <c r="J125" s="82">
        <f t="shared" si="151"/>
        <v>0</v>
      </c>
      <c r="K125" s="82">
        <f t="shared" ref="K125" si="155">(K29/K61-1)</f>
        <v>0</v>
      </c>
    </row>
    <row r="126" spans="2:11" x14ac:dyDescent="0.25">
      <c r="B126" s="56" t="s">
        <v>1704</v>
      </c>
      <c r="D126" s="82">
        <f t="shared" ref="D126:E126" si="156">(D30/D62-1)</f>
        <v>0.4074975820310498</v>
      </c>
      <c r="E126" s="82">
        <f t="shared" si="156"/>
        <v>0</v>
      </c>
      <c r="F126" s="82">
        <f t="shared" ref="F126:H126" si="157">(F30/F62-1)</f>
        <v>0</v>
      </c>
      <c r="G126" s="82">
        <f t="shared" si="157"/>
        <v>0</v>
      </c>
      <c r="H126" s="82">
        <f t="shared" si="157"/>
        <v>0</v>
      </c>
      <c r="I126" s="82">
        <f t="shared" si="151"/>
        <v>0</v>
      </c>
      <c r="J126" s="82">
        <f t="shared" si="151"/>
        <v>0</v>
      </c>
      <c r="K126" s="82">
        <f t="shared" ref="K126" si="158">(K30/K62-1)</f>
        <v>0</v>
      </c>
    </row>
    <row r="127" spans="2:11" x14ac:dyDescent="0.25">
      <c r="B127" s="56" t="s">
        <v>1705</v>
      </c>
      <c r="D127" s="82">
        <f t="shared" ref="D127:E127" si="159">(D31/D63-1)</f>
        <v>0.55461630907500425</v>
      </c>
      <c r="E127" s="82">
        <f t="shared" si="159"/>
        <v>0</v>
      </c>
      <c r="F127" s="82">
        <f t="shared" ref="F127:H127" si="160">(F31/F63-1)</f>
        <v>0</v>
      </c>
      <c r="G127" s="82">
        <f t="shared" si="160"/>
        <v>0</v>
      </c>
      <c r="H127" s="82">
        <f t="shared" si="160"/>
        <v>0</v>
      </c>
      <c r="I127" s="82">
        <f t="shared" si="151"/>
        <v>0</v>
      </c>
      <c r="J127" s="82">
        <f t="shared" si="151"/>
        <v>0</v>
      </c>
      <c r="K127" s="82">
        <f t="shared" ref="K127" si="161">(K31/K63-1)</f>
        <v>0</v>
      </c>
    </row>
    <row r="128" spans="2:11" x14ac:dyDescent="0.25">
      <c r="B128" s="56" t="s">
        <v>1706</v>
      </c>
      <c r="D128" s="82">
        <f t="shared" ref="D128:E128" si="162">(D32/D64-1)</f>
        <v>-0.19645570754216857</v>
      </c>
      <c r="E128" s="82">
        <f t="shared" si="162"/>
        <v>0</v>
      </c>
      <c r="F128" s="82">
        <f t="shared" ref="F128:H128" si="163">(F32/F64-1)</f>
        <v>0</v>
      </c>
      <c r="G128" s="82">
        <f t="shared" si="163"/>
        <v>0</v>
      </c>
      <c r="H128" s="82">
        <f t="shared" si="163"/>
        <v>0</v>
      </c>
      <c r="I128" s="82">
        <f t="shared" si="151"/>
        <v>0</v>
      </c>
      <c r="J128" s="82">
        <f t="shared" si="151"/>
        <v>0</v>
      </c>
      <c r="K128" s="82">
        <f t="shared" ref="K128" si="164">(K32/K64-1)</f>
        <v>0</v>
      </c>
    </row>
  </sheetData>
  <mergeCells count="4">
    <mergeCell ref="B66:K66"/>
    <mergeCell ref="B98:K98"/>
    <mergeCell ref="B2:L2"/>
    <mergeCell ref="B34:L34"/>
  </mergeCells>
  <conditionalFormatting sqref="D68:K96 E100:K121 D100:D123 D124:K128">
    <cfRule type="cellIs" dxfId="1" priority="3" operator="lessThan">
      <formula>0</formula>
    </cfRule>
    <cfRule type="cellIs" dxfId="0" priority="4" operator="greaterThan">
      <formula>0</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K90"/>
  <sheetViews>
    <sheetView tabSelected="1" zoomScale="112" zoomScaleNormal="112" workbookViewId="0">
      <pane xSplit="2" ySplit="7" topLeftCell="Y22" activePane="bottomRight" state="frozen"/>
      <selection pane="topRight" activeCell="C1" sqref="C1"/>
      <selection pane="bottomLeft" activeCell="A8" sqref="A8"/>
      <selection pane="bottomRight"/>
    </sheetView>
  </sheetViews>
  <sheetFormatPr defaultColWidth="10.85546875" defaultRowHeight="15" x14ac:dyDescent="0.25"/>
  <cols>
    <col min="1" max="1" width="9" customWidth="1"/>
    <col min="2" max="2" width="65" customWidth="1"/>
    <col min="3" max="31" width="11.5703125" customWidth="1"/>
  </cols>
  <sheetData>
    <row r="2" spans="1:35" ht="21" customHeight="1" x14ac:dyDescent="0.35">
      <c r="A2" s="1249" t="s">
        <v>1804</v>
      </c>
      <c r="B2" s="1249"/>
      <c r="C2" s="1249"/>
      <c r="D2" s="1249"/>
      <c r="E2" s="1249"/>
      <c r="F2" s="1249"/>
      <c r="G2" s="1249"/>
      <c r="H2" s="1249"/>
      <c r="I2" s="1249"/>
      <c r="J2" s="1249"/>
      <c r="K2" s="114"/>
      <c r="L2" s="94"/>
      <c r="M2" s="105"/>
      <c r="N2" s="203"/>
      <c r="O2" s="94"/>
      <c r="P2" s="105"/>
      <c r="Q2" s="203"/>
      <c r="R2" s="94"/>
      <c r="S2" s="105"/>
      <c r="T2" s="203"/>
      <c r="U2" s="94"/>
      <c r="V2" s="105"/>
      <c r="W2" s="203"/>
      <c r="X2" s="94"/>
      <c r="Y2" s="105"/>
      <c r="Z2" s="203"/>
      <c r="AA2" s="94"/>
      <c r="AB2" s="105"/>
      <c r="AC2" s="203"/>
      <c r="AD2" s="94"/>
      <c r="AE2" s="105"/>
      <c r="AF2" s="194"/>
      <c r="AG2" s="192"/>
      <c r="AH2" s="117"/>
      <c r="AI2" s="1206"/>
    </row>
    <row r="3" spans="1:35" x14ac:dyDescent="0.25">
      <c r="A3" s="69" t="s">
        <v>879</v>
      </c>
      <c r="B3" s="69"/>
      <c r="C3" s="69"/>
      <c r="D3" s="69"/>
      <c r="E3" s="69"/>
      <c r="F3" s="69"/>
      <c r="G3" s="69"/>
      <c r="H3" s="69"/>
      <c r="I3" s="69"/>
      <c r="J3" s="69"/>
      <c r="K3" s="69"/>
      <c r="L3" s="95"/>
      <c r="M3" s="108"/>
      <c r="N3" s="194"/>
      <c r="O3" s="95"/>
      <c r="P3" s="108"/>
      <c r="Q3" s="194"/>
      <c r="R3" s="95"/>
      <c r="S3" s="108"/>
      <c r="T3" s="194"/>
      <c r="U3" s="95"/>
      <c r="V3" s="108"/>
      <c r="W3" s="194"/>
      <c r="X3" s="95"/>
      <c r="Y3" s="108"/>
      <c r="Z3" s="194"/>
      <c r="AA3" s="95"/>
      <c r="AB3" s="108"/>
      <c r="AC3" s="194"/>
      <c r="AD3" s="95"/>
      <c r="AE3" s="108"/>
      <c r="AF3" s="194"/>
      <c r="AG3" s="192"/>
      <c r="AH3" s="117"/>
      <c r="AI3" s="1206"/>
    </row>
    <row r="4" spans="1:35" ht="15" customHeight="1" x14ac:dyDescent="0.25">
      <c r="A4" s="1250"/>
      <c r="B4" s="1250"/>
      <c r="C4" s="1250"/>
      <c r="D4" s="70"/>
      <c r="E4" s="70"/>
      <c r="F4" s="70"/>
      <c r="G4" s="70"/>
      <c r="H4" s="70"/>
      <c r="I4" s="70"/>
      <c r="J4" s="70"/>
      <c r="K4" s="70"/>
      <c r="L4" s="96"/>
      <c r="M4" s="115"/>
      <c r="N4" s="85"/>
      <c r="O4" s="96"/>
      <c r="P4" s="115"/>
      <c r="Q4" s="85"/>
      <c r="R4" s="96"/>
      <c r="S4" s="115"/>
      <c r="T4" s="85"/>
      <c r="U4" s="96"/>
      <c r="V4" s="115"/>
      <c r="W4" s="85"/>
      <c r="X4" s="96"/>
      <c r="Y4" s="115"/>
      <c r="Z4" s="85"/>
      <c r="AA4" s="96"/>
      <c r="AB4" s="115"/>
      <c r="AC4" s="85"/>
      <c r="AD4" s="96"/>
      <c r="AE4" s="115"/>
      <c r="AF4" s="193"/>
      <c r="AG4" s="192"/>
      <c r="AH4" s="117"/>
      <c r="AI4" s="1206"/>
    </row>
    <row r="5" spans="1:35" x14ac:dyDescent="0.25">
      <c r="A5" s="1251" t="s">
        <v>813</v>
      </c>
      <c r="B5" s="1254"/>
      <c r="C5" s="1257" t="s">
        <v>891</v>
      </c>
      <c r="D5" s="1257" t="s">
        <v>891</v>
      </c>
      <c r="E5" s="1257" t="s">
        <v>891</v>
      </c>
      <c r="F5" s="1257" t="s">
        <v>891</v>
      </c>
      <c r="G5" s="1257" t="s">
        <v>891</v>
      </c>
      <c r="H5" s="1257" t="s">
        <v>891</v>
      </c>
      <c r="I5" s="1257" t="s">
        <v>891</v>
      </c>
      <c r="J5" s="1258" t="s">
        <v>891</v>
      </c>
      <c r="K5" s="165"/>
      <c r="L5" s="97"/>
      <c r="M5" s="129"/>
      <c r="N5" s="86"/>
      <c r="O5" s="97"/>
      <c r="P5" s="129"/>
      <c r="Q5" s="86"/>
      <c r="R5" s="97"/>
      <c r="S5" s="129"/>
      <c r="T5" s="86"/>
      <c r="U5" s="97"/>
      <c r="V5" s="129"/>
      <c r="W5" s="86"/>
      <c r="X5" s="97"/>
      <c r="Y5" s="129"/>
      <c r="Z5" s="86"/>
      <c r="AA5" s="97"/>
      <c r="AB5" s="129"/>
      <c r="AC5" s="86"/>
      <c r="AD5" s="97"/>
      <c r="AE5" s="129"/>
      <c r="AF5" s="193"/>
      <c r="AG5" s="192"/>
      <c r="AH5" s="117"/>
      <c r="AI5" s="1206"/>
    </row>
    <row r="6" spans="1:35" x14ac:dyDescent="0.25">
      <c r="A6" s="1252" t="s">
        <v>813</v>
      </c>
      <c r="B6" s="1255"/>
      <c r="C6" s="1259">
        <v>2022</v>
      </c>
      <c r="D6" s="1260"/>
      <c r="E6" s="1260"/>
      <c r="F6" s="1260"/>
      <c r="G6" s="1260"/>
      <c r="H6" s="1261"/>
      <c r="I6" s="1259">
        <v>2023</v>
      </c>
      <c r="J6" s="1260">
        <v>2023</v>
      </c>
      <c r="K6" s="1261">
        <v>2023</v>
      </c>
      <c r="L6" s="98"/>
      <c r="M6" s="133"/>
      <c r="N6" s="87"/>
      <c r="O6" s="98"/>
      <c r="P6" s="133"/>
      <c r="Q6" s="87"/>
      <c r="R6" s="98"/>
      <c r="S6" s="133"/>
      <c r="T6" s="87"/>
      <c r="U6" s="98"/>
      <c r="V6" s="133"/>
      <c r="W6" s="87"/>
      <c r="X6" s="98"/>
      <c r="Y6" s="133"/>
      <c r="Z6" s="87"/>
      <c r="AA6" s="98"/>
      <c r="AB6" s="133"/>
      <c r="AC6" s="87"/>
      <c r="AD6" s="98"/>
      <c r="AE6" s="133"/>
      <c r="AF6" s="193"/>
      <c r="AG6" s="192"/>
      <c r="AH6" s="117"/>
      <c r="AI6" s="1206"/>
    </row>
    <row r="7" spans="1:35" ht="32.450000000000003" customHeight="1" x14ac:dyDescent="0.25">
      <c r="A7" s="1253" t="s">
        <v>813</v>
      </c>
      <c r="B7" s="1256"/>
      <c r="C7" s="168" t="s">
        <v>1746</v>
      </c>
      <c r="D7" s="168" t="s">
        <v>1823</v>
      </c>
      <c r="E7" s="168" t="s">
        <v>1824</v>
      </c>
      <c r="F7" s="168" t="s">
        <v>1828</v>
      </c>
      <c r="G7" s="168" t="s">
        <v>1829</v>
      </c>
      <c r="H7" s="168" t="s">
        <v>1830</v>
      </c>
      <c r="I7" s="168" t="s">
        <v>234</v>
      </c>
      <c r="J7" s="168" t="s">
        <v>235</v>
      </c>
      <c r="K7" s="168" t="s">
        <v>1878</v>
      </c>
      <c r="L7" s="140" t="s">
        <v>1886</v>
      </c>
      <c r="M7" s="146" t="s">
        <v>1887</v>
      </c>
      <c r="N7" s="152" t="s">
        <v>1892</v>
      </c>
      <c r="O7" s="140" t="s">
        <v>1893</v>
      </c>
      <c r="P7" s="146" t="s">
        <v>1823</v>
      </c>
      <c r="Q7" s="152" t="s">
        <v>1824</v>
      </c>
      <c r="R7" s="140" t="s">
        <v>1828</v>
      </c>
      <c r="S7" s="146" t="s">
        <v>1926</v>
      </c>
      <c r="T7" s="152" t="s">
        <v>1920</v>
      </c>
      <c r="U7" s="140" t="s">
        <v>234</v>
      </c>
      <c r="V7" s="146" t="s">
        <v>235</v>
      </c>
      <c r="W7" s="152" t="s">
        <v>1878</v>
      </c>
      <c r="X7" s="140" t="s">
        <v>1958</v>
      </c>
      <c r="Y7" s="146" t="s">
        <v>907</v>
      </c>
      <c r="Z7" s="152" t="s">
        <v>1892</v>
      </c>
      <c r="AA7" s="140" t="s">
        <v>1893</v>
      </c>
      <c r="AB7" s="146" t="s">
        <v>1823</v>
      </c>
      <c r="AC7" s="152" t="s">
        <v>1824</v>
      </c>
      <c r="AD7" s="97" t="s">
        <v>1959</v>
      </c>
      <c r="AE7" s="129" t="s">
        <v>2296</v>
      </c>
      <c r="AF7" s="193" t="s">
        <v>1920</v>
      </c>
      <c r="AG7" s="192" t="s">
        <v>1984</v>
      </c>
      <c r="AH7" s="117" t="s">
        <v>2297</v>
      </c>
      <c r="AI7" s="1208" t="s">
        <v>2298</v>
      </c>
    </row>
    <row r="8" spans="1:35" x14ac:dyDescent="0.25">
      <c r="A8" s="161">
        <v>1</v>
      </c>
      <c r="B8" s="47" t="s">
        <v>239</v>
      </c>
      <c r="C8" s="169">
        <v>21852.3</v>
      </c>
      <c r="D8" s="169">
        <v>21975.8</v>
      </c>
      <c r="E8" s="170">
        <v>22080.400000000001</v>
      </c>
      <c r="F8" s="170">
        <v>22201.9</v>
      </c>
      <c r="G8" s="170">
        <v>22240.1</v>
      </c>
      <c r="H8" s="170">
        <v>22281.9</v>
      </c>
      <c r="I8" s="169">
        <v>22525.3</v>
      </c>
      <c r="J8" s="170">
        <v>22648.400000000001</v>
      </c>
      <c r="K8" s="169">
        <v>22757.9</v>
      </c>
      <c r="L8" s="141">
        <v>22806.1</v>
      </c>
      <c r="M8" s="147">
        <v>22876.6</v>
      </c>
      <c r="N8" s="185">
        <v>22921.4</v>
      </c>
      <c r="O8" s="130">
        <v>22986.400000000001</v>
      </c>
      <c r="P8" s="147">
        <v>23094.5</v>
      </c>
      <c r="Q8" s="185">
        <v>23176.2</v>
      </c>
      <c r="R8" s="141">
        <v>23189.4</v>
      </c>
      <c r="S8" s="147">
        <v>23241.5</v>
      </c>
      <c r="T8" s="109">
        <v>23311.599999999999</v>
      </c>
      <c r="U8" s="130">
        <v>24226.7</v>
      </c>
      <c r="V8" s="147">
        <v>24330.9</v>
      </c>
      <c r="W8" s="109">
        <v>24474.9</v>
      </c>
      <c r="X8" s="141">
        <v>24511.1</v>
      </c>
      <c r="Y8" s="147">
        <v>24584.2</v>
      </c>
      <c r="Z8" s="109">
        <v>24626.7</v>
      </c>
      <c r="AA8" s="141">
        <v>24669.3</v>
      </c>
      <c r="AB8" s="147">
        <v>24701.3</v>
      </c>
      <c r="AC8" s="153">
        <v>24779.7</v>
      </c>
      <c r="AD8" s="142">
        <v>24921.4</v>
      </c>
      <c r="AE8" s="148">
        <v>24993.200000000001</v>
      </c>
      <c r="AF8" s="194">
        <v>25080.6</v>
      </c>
      <c r="AG8" s="95">
        <v>25232.799999999999</v>
      </c>
      <c r="AH8" s="108">
        <v>25420.9</v>
      </c>
      <c r="AI8" s="1209">
        <v>25537.8</v>
      </c>
    </row>
    <row r="9" spans="1:35" x14ac:dyDescent="0.25">
      <c r="A9" s="162">
        <v>2</v>
      </c>
      <c r="B9" s="199" t="s">
        <v>1747</v>
      </c>
      <c r="C9" s="171">
        <v>13654.1</v>
      </c>
      <c r="D9" s="171">
        <v>13754.9</v>
      </c>
      <c r="E9" s="172">
        <v>13856.1</v>
      </c>
      <c r="F9" s="172">
        <v>13828.8</v>
      </c>
      <c r="G9" s="172">
        <v>13822.8</v>
      </c>
      <c r="H9" s="172">
        <v>13832.7</v>
      </c>
      <c r="I9" s="171">
        <v>13885.2</v>
      </c>
      <c r="J9" s="172">
        <v>13968.7</v>
      </c>
      <c r="K9" s="171">
        <v>14041.7</v>
      </c>
      <c r="L9" s="142">
        <v>14092.7</v>
      </c>
      <c r="M9" s="148">
        <v>14151.1</v>
      </c>
      <c r="N9" s="187">
        <v>14218.6</v>
      </c>
      <c r="O9" s="131">
        <v>14296.4</v>
      </c>
      <c r="P9" s="148">
        <v>14372.7</v>
      </c>
      <c r="Q9" s="187">
        <v>14437.1</v>
      </c>
      <c r="R9" s="142">
        <v>14416.2</v>
      </c>
      <c r="S9" s="148">
        <v>14436.6</v>
      </c>
      <c r="T9" s="110">
        <v>14491.6</v>
      </c>
      <c r="U9" s="131">
        <v>14686.6</v>
      </c>
      <c r="V9" s="148">
        <v>14836.5</v>
      </c>
      <c r="W9" s="110">
        <v>14948.1</v>
      </c>
      <c r="X9" s="142">
        <v>14914.1</v>
      </c>
      <c r="Y9" s="148">
        <v>14955.1</v>
      </c>
      <c r="Z9" s="110">
        <v>14967.6</v>
      </c>
      <c r="AA9" s="142">
        <v>14987</v>
      </c>
      <c r="AB9" s="148">
        <v>15038.4</v>
      </c>
      <c r="AC9" s="154">
        <v>15082.8</v>
      </c>
      <c r="AD9" s="142">
        <v>15151.4</v>
      </c>
      <c r="AE9" s="148">
        <v>15233.3</v>
      </c>
      <c r="AF9" s="194">
        <v>15287.2</v>
      </c>
      <c r="AG9" s="95">
        <v>15334.1</v>
      </c>
      <c r="AH9" s="108">
        <v>15401.8</v>
      </c>
      <c r="AI9" s="1209">
        <v>15483</v>
      </c>
    </row>
    <row r="10" spans="1:35" x14ac:dyDescent="0.25">
      <c r="A10" s="162">
        <v>3</v>
      </c>
      <c r="B10" s="200" t="s">
        <v>1748</v>
      </c>
      <c r="C10" s="171">
        <v>11271.8</v>
      </c>
      <c r="D10" s="171">
        <v>11360.7</v>
      </c>
      <c r="E10" s="172">
        <v>11450.6</v>
      </c>
      <c r="F10" s="172">
        <v>11420.4</v>
      </c>
      <c r="G10" s="172">
        <v>11408.7</v>
      </c>
      <c r="H10" s="172">
        <v>11412.7</v>
      </c>
      <c r="I10" s="171">
        <v>11494.7</v>
      </c>
      <c r="J10" s="172">
        <v>11568.5</v>
      </c>
      <c r="K10" s="171">
        <v>11633.1</v>
      </c>
      <c r="L10" s="142">
        <v>11680.1</v>
      </c>
      <c r="M10" s="148">
        <v>11730.8</v>
      </c>
      <c r="N10" s="187">
        <v>11788.9</v>
      </c>
      <c r="O10" s="131">
        <v>11855.6</v>
      </c>
      <c r="P10" s="148">
        <v>11921.2</v>
      </c>
      <c r="Q10" s="187">
        <v>11975.7</v>
      </c>
      <c r="R10" s="142">
        <v>11950.9</v>
      </c>
      <c r="S10" s="148">
        <v>11965.4</v>
      </c>
      <c r="T10" s="110">
        <v>12011.8</v>
      </c>
      <c r="U10" s="131">
        <v>12129</v>
      </c>
      <c r="V10" s="148">
        <v>12263.3</v>
      </c>
      <c r="W10" s="110">
        <v>12360.5</v>
      </c>
      <c r="X10" s="142">
        <v>12321.5</v>
      </c>
      <c r="Y10" s="148">
        <v>12352.2</v>
      </c>
      <c r="Z10" s="110">
        <v>12355.3</v>
      </c>
      <c r="AA10" s="142">
        <v>12365.5</v>
      </c>
      <c r="AB10" s="148">
        <v>12406.1</v>
      </c>
      <c r="AC10" s="154">
        <v>12440.6</v>
      </c>
      <c r="AD10" s="142">
        <v>12497.5</v>
      </c>
      <c r="AE10" s="148">
        <v>12567.9</v>
      </c>
      <c r="AF10" s="194">
        <v>12612.5</v>
      </c>
      <c r="AG10" s="95">
        <v>12643.7</v>
      </c>
      <c r="AH10" s="108">
        <v>12697.1</v>
      </c>
      <c r="AI10" s="1209">
        <v>12763.6</v>
      </c>
    </row>
    <row r="11" spans="1:35" x14ac:dyDescent="0.25">
      <c r="A11" s="162">
        <v>4</v>
      </c>
      <c r="B11" s="84" t="s">
        <v>1749</v>
      </c>
      <c r="C11" s="173">
        <v>9656.4</v>
      </c>
      <c r="D11" s="173">
        <v>9735.9</v>
      </c>
      <c r="E11" s="174">
        <v>9819.5</v>
      </c>
      <c r="F11" s="174">
        <v>9785.7999999999993</v>
      </c>
      <c r="G11" s="174">
        <v>9763.9</v>
      </c>
      <c r="H11" s="174">
        <v>9762.2999999999993</v>
      </c>
      <c r="I11" s="173">
        <v>9818.2999999999993</v>
      </c>
      <c r="J11" s="174">
        <v>9882.7999999999993</v>
      </c>
      <c r="K11" s="173">
        <v>9937.7000000000007</v>
      </c>
      <c r="L11" s="143">
        <v>9976.9</v>
      </c>
      <c r="M11" s="149">
        <v>10019.799999999999</v>
      </c>
      <c r="N11" s="188">
        <v>10070.4</v>
      </c>
      <c r="O11" s="132">
        <v>10117.4</v>
      </c>
      <c r="P11" s="149">
        <v>10167.9</v>
      </c>
      <c r="Q11" s="188">
        <v>10207.1</v>
      </c>
      <c r="R11" s="143">
        <v>10171.700000000001</v>
      </c>
      <c r="S11" s="149">
        <v>10179.4</v>
      </c>
      <c r="T11" s="121">
        <v>10214.799999999999</v>
      </c>
      <c r="U11" s="132">
        <v>10325.4</v>
      </c>
      <c r="V11" s="149">
        <v>10447.5</v>
      </c>
      <c r="W11" s="121">
        <v>10531.2</v>
      </c>
      <c r="X11" s="143">
        <v>10485.8</v>
      </c>
      <c r="Y11" s="149">
        <v>10509.4</v>
      </c>
      <c r="Z11" s="121">
        <v>10504</v>
      </c>
      <c r="AA11" s="143">
        <v>10506.5</v>
      </c>
      <c r="AB11" s="149">
        <v>10539.4</v>
      </c>
      <c r="AC11" s="155">
        <v>10566.5</v>
      </c>
      <c r="AD11" s="143">
        <v>10611.2</v>
      </c>
      <c r="AE11" s="149">
        <v>10674.1</v>
      </c>
      <c r="AF11" s="193">
        <v>10709.6</v>
      </c>
      <c r="AG11" s="192">
        <v>10731.1</v>
      </c>
      <c r="AH11" s="117">
        <v>10777.2</v>
      </c>
      <c r="AI11" s="1208">
        <v>10835.5</v>
      </c>
    </row>
    <row r="12" spans="1:35" x14ac:dyDescent="0.25">
      <c r="A12" s="162">
        <v>5</v>
      </c>
      <c r="B12" s="201" t="s">
        <v>1750</v>
      </c>
      <c r="C12" s="173">
        <v>1767.7</v>
      </c>
      <c r="D12" s="173">
        <v>1780.1</v>
      </c>
      <c r="E12" s="174">
        <v>1797.4</v>
      </c>
      <c r="F12" s="174">
        <v>1795.8</v>
      </c>
      <c r="G12" s="174">
        <v>1793.7</v>
      </c>
      <c r="H12" s="174">
        <v>1789.6</v>
      </c>
      <c r="I12" s="173">
        <v>1804.5</v>
      </c>
      <c r="J12" s="174">
        <v>1806.7</v>
      </c>
      <c r="K12" s="173">
        <v>1818.5</v>
      </c>
      <c r="L12" s="143">
        <v>1828.4</v>
      </c>
      <c r="M12" s="149">
        <v>1836.7</v>
      </c>
      <c r="N12" s="188">
        <v>1847.2</v>
      </c>
      <c r="O12" s="132">
        <v>1859</v>
      </c>
      <c r="P12" s="149">
        <v>1867.1</v>
      </c>
      <c r="Q12" s="188">
        <v>1876.1</v>
      </c>
      <c r="R12" s="143">
        <v>1875.9</v>
      </c>
      <c r="S12" s="149">
        <v>1879.8</v>
      </c>
      <c r="T12" s="121">
        <v>1881.1</v>
      </c>
      <c r="U12" s="132">
        <v>1904</v>
      </c>
      <c r="V12" s="149">
        <v>1929.1</v>
      </c>
      <c r="W12" s="121">
        <v>1951.7</v>
      </c>
      <c r="X12" s="143">
        <v>1920.1</v>
      </c>
      <c r="Y12" s="149">
        <v>1907.4</v>
      </c>
      <c r="Z12" s="121">
        <v>1904.4</v>
      </c>
      <c r="AA12" s="143">
        <v>1910.1</v>
      </c>
      <c r="AB12" s="149">
        <v>1920.6</v>
      </c>
      <c r="AC12" s="155">
        <v>1929.1</v>
      </c>
      <c r="AD12" s="143">
        <v>1926.7</v>
      </c>
      <c r="AE12" s="149">
        <v>1942.2</v>
      </c>
      <c r="AF12" s="193">
        <v>1945</v>
      </c>
      <c r="AG12" s="192">
        <v>1948.8</v>
      </c>
      <c r="AH12" s="117">
        <v>1963.2</v>
      </c>
      <c r="AI12" s="1208">
        <v>1975</v>
      </c>
    </row>
    <row r="13" spans="1:35" x14ac:dyDescent="0.25">
      <c r="A13" s="162">
        <v>6</v>
      </c>
      <c r="B13" s="93" t="s">
        <v>1751</v>
      </c>
      <c r="C13" s="173">
        <v>1046.3</v>
      </c>
      <c r="D13" s="173">
        <v>1054.4000000000001</v>
      </c>
      <c r="E13" s="174">
        <v>1064.8</v>
      </c>
      <c r="F13" s="174">
        <v>1061.4000000000001</v>
      </c>
      <c r="G13" s="174">
        <v>1055.5</v>
      </c>
      <c r="H13" s="174">
        <v>1046.9000000000001</v>
      </c>
      <c r="I13" s="173">
        <v>1066</v>
      </c>
      <c r="J13" s="174">
        <v>1064.3</v>
      </c>
      <c r="K13" s="173">
        <v>1071.2</v>
      </c>
      <c r="L13" s="143">
        <v>1077.3</v>
      </c>
      <c r="M13" s="149">
        <v>1079.5</v>
      </c>
      <c r="N13" s="188">
        <v>1088.5999999999999</v>
      </c>
      <c r="O13" s="132">
        <v>1096.9000000000001</v>
      </c>
      <c r="P13" s="149">
        <v>1102.2</v>
      </c>
      <c r="Q13" s="188">
        <v>1108.5999999999999</v>
      </c>
      <c r="R13" s="143">
        <v>1103.3</v>
      </c>
      <c r="S13" s="149">
        <v>1103.3</v>
      </c>
      <c r="T13" s="121">
        <v>1101</v>
      </c>
      <c r="U13" s="132">
        <v>1108.9000000000001</v>
      </c>
      <c r="V13" s="149">
        <v>1124</v>
      </c>
      <c r="W13" s="121">
        <v>1136.7</v>
      </c>
      <c r="X13" s="143">
        <v>1112.5</v>
      </c>
      <c r="Y13" s="149">
        <v>1106.2</v>
      </c>
      <c r="Z13" s="121">
        <v>1102.7</v>
      </c>
      <c r="AA13" s="143">
        <v>1108.0999999999999</v>
      </c>
      <c r="AB13" s="149">
        <v>1112.9000000000001</v>
      </c>
      <c r="AC13" s="155">
        <v>1115.4000000000001</v>
      </c>
      <c r="AD13" s="143">
        <v>1110.5999999999999</v>
      </c>
      <c r="AE13" s="149">
        <v>1123.5999999999999</v>
      </c>
      <c r="AF13" s="193">
        <v>1123.9000000000001</v>
      </c>
      <c r="AG13" s="192">
        <v>1126.3</v>
      </c>
      <c r="AH13" s="117">
        <v>1140.0999999999999</v>
      </c>
      <c r="AI13" s="1208">
        <v>1150.7</v>
      </c>
    </row>
    <row r="14" spans="1:35" x14ac:dyDescent="0.25">
      <c r="A14" s="162">
        <v>7</v>
      </c>
      <c r="B14" s="201" t="s">
        <v>1752</v>
      </c>
      <c r="C14" s="173">
        <v>7888.7</v>
      </c>
      <c r="D14" s="173">
        <v>7955.8</v>
      </c>
      <c r="E14" s="174">
        <v>8022.1</v>
      </c>
      <c r="F14" s="174">
        <v>7990</v>
      </c>
      <c r="G14" s="174">
        <v>7970.1</v>
      </c>
      <c r="H14" s="174">
        <v>7972.7</v>
      </c>
      <c r="I14" s="173">
        <v>8013.8</v>
      </c>
      <c r="J14" s="174">
        <v>8076.2</v>
      </c>
      <c r="K14" s="173">
        <v>8119.2</v>
      </c>
      <c r="L14" s="143">
        <v>8148.5</v>
      </c>
      <c r="M14" s="149">
        <v>8183.1</v>
      </c>
      <c r="N14" s="188">
        <v>8223.2000000000007</v>
      </c>
      <c r="O14" s="132">
        <v>8258.4</v>
      </c>
      <c r="P14" s="149">
        <v>8300.7999999999993</v>
      </c>
      <c r="Q14" s="188">
        <v>8331</v>
      </c>
      <c r="R14" s="143">
        <v>8295.7000000000007</v>
      </c>
      <c r="S14" s="149">
        <v>8299.6</v>
      </c>
      <c r="T14" s="121">
        <v>8333.7000000000007</v>
      </c>
      <c r="U14" s="132">
        <v>8421.4</v>
      </c>
      <c r="V14" s="149">
        <v>8518.5</v>
      </c>
      <c r="W14" s="121">
        <v>8579.5</v>
      </c>
      <c r="X14" s="143">
        <v>8565.7000000000007</v>
      </c>
      <c r="Y14" s="149">
        <v>8601.9</v>
      </c>
      <c r="Z14" s="121">
        <v>8599.6</v>
      </c>
      <c r="AA14" s="143">
        <v>8596.5</v>
      </c>
      <c r="AB14" s="149">
        <v>8618.7999999999993</v>
      </c>
      <c r="AC14" s="155">
        <v>8637.4</v>
      </c>
      <c r="AD14" s="143">
        <v>8684.5</v>
      </c>
      <c r="AE14" s="149">
        <v>8731.9</v>
      </c>
      <c r="AF14" s="193">
        <v>8764.6</v>
      </c>
      <c r="AG14" s="192">
        <v>8782.2999999999993</v>
      </c>
      <c r="AH14" s="117">
        <v>8814</v>
      </c>
      <c r="AI14" s="1208">
        <v>8860.4</v>
      </c>
    </row>
    <row r="15" spans="1:35" x14ac:dyDescent="0.25">
      <c r="A15" s="162">
        <v>8</v>
      </c>
      <c r="B15" s="99" t="s">
        <v>1753</v>
      </c>
      <c r="C15" s="173">
        <v>1734</v>
      </c>
      <c r="D15" s="173">
        <v>1748.4</v>
      </c>
      <c r="E15" s="174">
        <v>1762.3</v>
      </c>
      <c r="F15" s="174">
        <v>1757.7</v>
      </c>
      <c r="G15" s="174">
        <v>1749.7</v>
      </c>
      <c r="H15" s="174">
        <v>1745.6</v>
      </c>
      <c r="I15" s="173">
        <v>1778.8</v>
      </c>
      <c r="J15" s="174">
        <v>1795.8</v>
      </c>
      <c r="K15" s="173">
        <v>1796</v>
      </c>
      <c r="L15" s="143">
        <v>1797.8</v>
      </c>
      <c r="M15" s="149">
        <v>1793.1</v>
      </c>
      <c r="N15" s="188">
        <v>1804.5</v>
      </c>
      <c r="O15" s="132">
        <v>1816.7</v>
      </c>
      <c r="P15" s="149">
        <v>1828</v>
      </c>
      <c r="Q15" s="188">
        <v>1837.3</v>
      </c>
      <c r="R15" s="143">
        <v>1825.7</v>
      </c>
      <c r="S15" s="149">
        <v>1822.5</v>
      </c>
      <c r="T15" s="121">
        <v>1833.5</v>
      </c>
      <c r="U15" s="132">
        <v>1842.8</v>
      </c>
      <c r="V15" s="149">
        <v>1865</v>
      </c>
      <c r="W15" s="121">
        <v>1867.7</v>
      </c>
      <c r="X15" s="143">
        <v>1863.4</v>
      </c>
      <c r="Y15" s="149">
        <v>1873.4</v>
      </c>
      <c r="Z15" s="121">
        <v>1874.4</v>
      </c>
      <c r="AA15" s="143">
        <v>1866</v>
      </c>
      <c r="AB15" s="149">
        <v>1870.2</v>
      </c>
      <c r="AC15" s="155">
        <v>1867.4</v>
      </c>
      <c r="AD15" s="143">
        <v>1882.7</v>
      </c>
      <c r="AE15" s="149">
        <v>1881.4</v>
      </c>
      <c r="AF15" s="193">
        <v>1892.9</v>
      </c>
      <c r="AG15" s="192">
        <v>1895.1</v>
      </c>
      <c r="AH15" s="117">
        <v>1904.3</v>
      </c>
      <c r="AI15" s="1208">
        <v>1912.3</v>
      </c>
    </row>
    <row r="16" spans="1:35" x14ac:dyDescent="0.25">
      <c r="A16" s="162">
        <v>9</v>
      </c>
      <c r="B16" s="99" t="s">
        <v>1754</v>
      </c>
      <c r="C16" s="173">
        <v>6154.8</v>
      </c>
      <c r="D16" s="173">
        <v>6207.4</v>
      </c>
      <c r="E16" s="174">
        <v>6259.8</v>
      </c>
      <c r="F16" s="174">
        <v>6232.2</v>
      </c>
      <c r="G16" s="174">
        <v>6220.4</v>
      </c>
      <c r="H16" s="174">
        <v>6227.2</v>
      </c>
      <c r="I16" s="173">
        <v>6235</v>
      </c>
      <c r="J16" s="174">
        <v>6280.4</v>
      </c>
      <c r="K16" s="173">
        <v>6323.1</v>
      </c>
      <c r="L16" s="143">
        <v>6350.7</v>
      </c>
      <c r="M16" s="149">
        <v>6390</v>
      </c>
      <c r="N16" s="188">
        <v>6418.7</v>
      </c>
      <c r="O16" s="132">
        <v>6441.7</v>
      </c>
      <c r="P16" s="149">
        <v>6472.8</v>
      </c>
      <c r="Q16" s="188">
        <v>6493.8</v>
      </c>
      <c r="R16" s="143">
        <v>6470.1</v>
      </c>
      <c r="S16" s="149">
        <v>6477.1</v>
      </c>
      <c r="T16" s="121">
        <v>6500.2</v>
      </c>
      <c r="U16" s="132">
        <v>6578.6</v>
      </c>
      <c r="V16" s="149">
        <v>6653.4</v>
      </c>
      <c r="W16" s="121">
        <v>6711.8</v>
      </c>
      <c r="X16" s="143">
        <v>6702.3</v>
      </c>
      <c r="Y16" s="149">
        <v>6728.5</v>
      </c>
      <c r="Z16" s="121">
        <v>6725.2</v>
      </c>
      <c r="AA16" s="143">
        <v>6730.5</v>
      </c>
      <c r="AB16" s="149">
        <v>6748.6</v>
      </c>
      <c r="AC16" s="155">
        <v>6770.1</v>
      </c>
      <c r="AD16" s="143">
        <v>6801.8</v>
      </c>
      <c r="AE16" s="149">
        <v>6850.4</v>
      </c>
      <c r="AF16" s="193">
        <v>6871.7</v>
      </c>
      <c r="AG16" s="192">
        <v>6887.2</v>
      </c>
      <c r="AH16" s="117">
        <v>6909.7</v>
      </c>
      <c r="AI16" s="1208">
        <v>6948.2</v>
      </c>
    </row>
    <row r="17" spans="1:37" ht="16.350000000000001" customHeight="1" x14ac:dyDescent="0.25">
      <c r="A17" s="162">
        <v>10</v>
      </c>
      <c r="B17" s="84" t="s">
        <v>1755</v>
      </c>
      <c r="C17" s="173">
        <v>1615.4</v>
      </c>
      <c r="D17" s="173">
        <v>1624.8</v>
      </c>
      <c r="E17" s="174">
        <v>1631.1</v>
      </c>
      <c r="F17" s="174">
        <v>1634.6</v>
      </c>
      <c r="G17" s="174">
        <v>1644.8</v>
      </c>
      <c r="H17" s="174">
        <v>1650.4</v>
      </c>
      <c r="I17" s="173">
        <v>1676.4</v>
      </c>
      <c r="J17" s="174">
        <v>1685.7</v>
      </c>
      <c r="K17" s="173">
        <v>1695.5</v>
      </c>
      <c r="L17" s="143">
        <v>1703.2</v>
      </c>
      <c r="M17" s="149">
        <v>1711</v>
      </c>
      <c r="N17" s="188">
        <v>1718.6</v>
      </c>
      <c r="O17" s="132">
        <v>1738.2</v>
      </c>
      <c r="P17" s="149">
        <v>1753.3</v>
      </c>
      <c r="Q17" s="188">
        <v>1768.6</v>
      </c>
      <c r="R17" s="143">
        <v>1779.3</v>
      </c>
      <c r="S17" s="149">
        <v>1786</v>
      </c>
      <c r="T17" s="121">
        <v>1797</v>
      </c>
      <c r="U17" s="132">
        <v>1803.6</v>
      </c>
      <c r="V17" s="149">
        <v>1815.8</v>
      </c>
      <c r="W17" s="121">
        <v>1829.3</v>
      </c>
      <c r="X17" s="143">
        <v>1835.7</v>
      </c>
      <c r="Y17" s="149">
        <v>1842.9</v>
      </c>
      <c r="Z17" s="121">
        <v>1851.3</v>
      </c>
      <c r="AA17" s="143">
        <v>1859</v>
      </c>
      <c r="AB17" s="149">
        <v>1866.6</v>
      </c>
      <c r="AC17" s="155">
        <v>1874.1</v>
      </c>
      <c r="AD17" s="143">
        <v>1886.3</v>
      </c>
      <c r="AE17" s="149">
        <v>1893.8</v>
      </c>
      <c r="AF17" s="193">
        <v>1902.9</v>
      </c>
      <c r="AG17" s="192">
        <v>1912.6</v>
      </c>
      <c r="AH17" s="117">
        <v>1919.9</v>
      </c>
      <c r="AI17" s="1208">
        <v>1928.1</v>
      </c>
    </row>
    <row r="18" spans="1:37" ht="16.350000000000001" customHeight="1" x14ac:dyDescent="0.25">
      <c r="A18" s="162">
        <v>11</v>
      </c>
      <c r="B18" s="200" t="s">
        <v>1756</v>
      </c>
      <c r="C18" s="171">
        <v>2382.3000000000002</v>
      </c>
      <c r="D18" s="171">
        <v>2394.1</v>
      </c>
      <c r="E18" s="172">
        <v>2405.5</v>
      </c>
      <c r="F18" s="172">
        <v>2408.5</v>
      </c>
      <c r="G18" s="172">
        <v>2414.1</v>
      </c>
      <c r="H18" s="172">
        <v>2420</v>
      </c>
      <c r="I18" s="171">
        <v>2390.6</v>
      </c>
      <c r="J18" s="172">
        <v>2400.1999999999998</v>
      </c>
      <c r="K18" s="171">
        <v>2408.6</v>
      </c>
      <c r="L18" s="142">
        <v>2412.6</v>
      </c>
      <c r="M18" s="148">
        <v>2420.3000000000002</v>
      </c>
      <c r="N18" s="187">
        <v>2429.6</v>
      </c>
      <c r="O18" s="131">
        <v>2440.8000000000002</v>
      </c>
      <c r="P18" s="148">
        <v>2451.5</v>
      </c>
      <c r="Q18" s="187">
        <v>2461.4</v>
      </c>
      <c r="R18" s="142">
        <v>2465.3000000000002</v>
      </c>
      <c r="S18" s="148">
        <v>2471.1999999999998</v>
      </c>
      <c r="T18" s="110">
        <v>2479.8000000000002</v>
      </c>
      <c r="U18" s="131">
        <v>2557.6</v>
      </c>
      <c r="V18" s="148">
        <v>2573.1999999999998</v>
      </c>
      <c r="W18" s="110">
        <v>2587.6</v>
      </c>
      <c r="X18" s="142">
        <v>2592.6</v>
      </c>
      <c r="Y18" s="148">
        <v>2602.9</v>
      </c>
      <c r="Z18" s="110">
        <v>2612.3000000000002</v>
      </c>
      <c r="AA18" s="142">
        <v>2621.5</v>
      </c>
      <c r="AB18" s="148">
        <v>2632.3</v>
      </c>
      <c r="AC18" s="154">
        <v>2642.2</v>
      </c>
      <c r="AD18" s="142">
        <v>2653.9</v>
      </c>
      <c r="AE18" s="148">
        <v>2665.5</v>
      </c>
      <c r="AF18" s="194">
        <v>2674.7</v>
      </c>
      <c r="AG18" s="95">
        <v>2690.4</v>
      </c>
      <c r="AH18" s="108">
        <v>2704.7</v>
      </c>
      <c r="AI18" s="1209">
        <v>2719.5</v>
      </c>
    </row>
    <row r="19" spans="1:37" ht="16.5" customHeight="1" x14ac:dyDescent="0.25">
      <c r="A19" s="163">
        <v>12</v>
      </c>
      <c r="B19" s="139" t="s">
        <v>1757</v>
      </c>
      <c r="C19" s="173">
        <v>1614.2</v>
      </c>
      <c r="D19" s="173">
        <v>1620.2</v>
      </c>
      <c r="E19" s="174">
        <v>1625.6</v>
      </c>
      <c r="F19" s="174">
        <v>1630.6</v>
      </c>
      <c r="G19" s="174">
        <v>1637.1</v>
      </c>
      <c r="H19" s="174">
        <v>1642.9</v>
      </c>
      <c r="I19" s="173">
        <v>1594</v>
      </c>
      <c r="J19" s="174">
        <v>1599</v>
      </c>
      <c r="K19" s="173">
        <v>1603.5</v>
      </c>
      <c r="L19" s="143">
        <v>1604.7</v>
      </c>
      <c r="M19" s="149">
        <v>1609.4</v>
      </c>
      <c r="N19" s="188">
        <v>1615</v>
      </c>
      <c r="O19" s="132">
        <v>1622</v>
      </c>
      <c r="P19" s="149">
        <v>1628.6</v>
      </c>
      <c r="Q19" s="188">
        <v>1635</v>
      </c>
      <c r="R19" s="143">
        <v>1640.6</v>
      </c>
      <c r="S19" s="149">
        <v>1645.5</v>
      </c>
      <c r="T19" s="121">
        <v>1650.9</v>
      </c>
      <c r="U19" s="132">
        <v>1712.3</v>
      </c>
      <c r="V19" s="149">
        <v>1722.8</v>
      </c>
      <c r="W19" s="121">
        <v>1733</v>
      </c>
      <c r="X19" s="143">
        <v>1741.4</v>
      </c>
      <c r="Y19" s="149">
        <v>1749.9</v>
      </c>
      <c r="Z19" s="121">
        <v>1759.5</v>
      </c>
      <c r="AA19" s="143">
        <v>1768.4</v>
      </c>
      <c r="AB19" s="149">
        <v>1776.8</v>
      </c>
      <c r="AC19" s="155">
        <v>1784.6</v>
      </c>
      <c r="AD19" s="143">
        <v>1792.7</v>
      </c>
      <c r="AE19" s="149">
        <v>1799.5</v>
      </c>
      <c r="AF19" s="193">
        <v>1805.8</v>
      </c>
      <c r="AG19" s="192">
        <v>1817.1</v>
      </c>
      <c r="AH19" s="117">
        <v>1827.7</v>
      </c>
      <c r="AI19" s="1208">
        <v>1838.2</v>
      </c>
    </row>
    <row r="20" spans="1:37" x14ac:dyDescent="0.25">
      <c r="A20" s="163">
        <v>13</v>
      </c>
      <c r="B20" s="139" t="s">
        <v>1758</v>
      </c>
      <c r="C20" s="173">
        <v>768.1</v>
      </c>
      <c r="D20" s="173">
        <v>774</v>
      </c>
      <c r="E20" s="174">
        <v>779.9</v>
      </c>
      <c r="F20" s="174">
        <v>777.9</v>
      </c>
      <c r="G20" s="174">
        <v>777</v>
      </c>
      <c r="H20" s="174">
        <v>777.1</v>
      </c>
      <c r="I20" s="173">
        <v>796.6</v>
      </c>
      <c r="J20" s="174">
        <v>801.1</v>
      </c>
      <c r="K20" s="173">
        <v>805.1</v>
      </c>
      <c r="L20" s="143">
        <v>807.9</v>
      </c>
      <c r="M20" s="149">
        <v>811</v>
      </c>
      <c r="N20" s="188">
        <v>814.6</v>
      </c>
      <c r="O20" s="132">
        <v>818.7</v>
      </c>
      <c r="P20" s="149">
        <v>822.9</v>
      </c>
      <c r="Q20" s="188">
        <v>826.4</v>
      </c>
      <c r="R20" s="143">
        <v>824.7</v>
      </c>
      <c r="S20" s="149">
        <v>825.7</v>
      </c>
      <c r="T20" s="121">
        <v>828.9</v>
      </c>
      <c r="U20" s="132">
        <v>845.2</v>
      </c>
      <c r="V20" s="149">
        <v>850.4</v>
      </c>
      <c r="W20" s="121">
        <v>854.6</v>
      </c>
      <c r="X20" s="143">
        <v>851.3</v>
      </c>
      <c r="Y20" s="149">
        <v>853</v>
      </c>
      <c r="Z20" s="121">
        <v>852.7</v>
      </c>
      <c r="AA20" s="143">
        <v>853</v>
      </c>
      <c r="AB20" s="149">
        <v>855.5</v>
      </c>
      <c r="AC20" s="155">
        <v>857.6</v>
      </c>
      <c r="AD20" s="143">
        <v>861.3</v>
      </c>
      <c r="AE20" s="149">
        <v>866</v>
      </c>
      <c r="AF20" s="193">
        <v>868.9</v>
      </c>
      <c r="AG20" s="192">
        <v>873.4</v>
      </c>
      <c r="AH20" s="117">
        <v>876.9</v>
      </c>
      <c r="AI20" s="1208">
        <v>881.3</v>
      </c>
    </row>
    <row r="21" spans="1:37" ht="16.350000000000001" customHeight="1" x14ac:dyDescent="0.25">
      <c r="A21" s="163">
        <v>14</v>
      </c>
      <c r="B21" s="128" t="s">
        <v>1759</v>
      </c>
      <c r="C21" s="171">
        <v>1846.5</v>
      </c>
      <c r="D21" s="171">
        <v>1869.7</v>
      </c>
      <c r="E21" s="172">
        <v>1874.4</v>
      </c>
      <c r="F21" s="172">
        <v>1877.2</v>
      </c>
      <c r="G21" s="172">
        <v>1882.7</v>
      </c>
      <c r="H21" s="172">
        <v>1888.6</v>
      </c>
      <c r="I21" s="171">
        <v>1832.2</v>
      </c>
      <c r="J21" s="172">
        <v>1828.6</v>
      </c>
      <c r="K21" s="171">
        <v>1821.5</v>
      </c>
      <c r="L21" s="142">
        <v>1821.1</v>
      </c>
      <c r="M21" s="148">
        <v>1821.3</v>
      </c>
      <c r="N21" s="187">
        <v>1829.9</v>
      </c>
      <c r="O21" s="131">
        <v>1839.7</v>
      </c>
      <c r="P21" s="148">
        <v>1861.1</v>
      </c>
      <c r="Q21" s="187">
        <v>1877.8</v>
      </c>
      <c r="R21" s="142">
        <v>1880.2</v>
      </c>
      <c r="S21" s="148">
        <v>1886.2</v>
      </c>
      <c r="T21" s="110">
        <v>1881.5</v>
      </c>
      <c r="U21" s="131">
        <v>1969.7</v>
      </c>
      <c r="V21" s="148">
        <v>1971.2</v>
      </c>
      <c r="W21" s="110">
        <v>1975.6</v>
      </c>
      <c r="X21" s="142">
        <v>1995.2</v>
      </c>
      <c r="Y21" s="148">
        <v>2003</v>
      </c>
      <c r="Z21" s="110">
        <v>2008.7</v>
      </c>
      <c r="AA21" s="142">
        <v>2014.2</v>
      </c>
      <c r="AB21" s="148">
        <v>2014.9</v>
      </c>
      <c r="AC21" s="154">
        <v>2011.4</v>
      </c>
      <c r="AD21" s="142">
        <v>2024.2</v>
      </c>
      <c r="AE21" s="148">
        <v>2033.9</v>
      </c>
      <c r="AF21" s="194">
        <v>2048.4</v>
      </c>
      <c r="AG21" s="95">
        <v>2043.8</v>
      </c>
      <c r="AH21" s="108">
        <v>2050.8000000000002</v>
      </c>
      <c r="AI21" s="1209">
        <v>2086.8000000000002</v>
      </c>
    </row>
    <row r="22" spans="1:37" x14ac:dyDescent="0.25">
      <c r="A22" s="162">
        <v>15</v>
      </c>
      <c r="B22" s="45" t="s">
        <v>1760</v>
      </c>
      <c r="C22" s="173">
        <v>94.8</v>
      </c>
      <c r="D22" s="173">
        <v>95.9</v>
      </c>
      <c r="E22" s="174">
        <v>97.1</v>
      </c>
      <c r="F22" s="174">
        <v>99</v>
      </c>
      <c r="G22" s="174">
        <v>100.9</v>
      </c>
      <c r="H22" s="174">
        <v>102.8</v>
      </c>
      <c r="I22" s="173">
        <v>78.7</v>
      </c>
      <c r="J22" s="174">
        <v>71.2</v>
      </c>
      <c r="K22" s="173">
        <v>63.8</v>
      </c>
      <c r="L22" s="143">
        <v>61</v>
      </c>
      <c r="M22" s="149">
        <v>58.2</v>
      </c>
      <c r="N22" s="188">
        <v>55.5</v>
      </c>
      <c r="O22" s="132">
        <v>52.7</v>
      </c>
      <c r="P22" s="149">
        <v>49.9</v>
      </c>
      <c r="Q22" s="188">
        <v>47.2</v>
      </c>
      <c r="R22" s="143">
        <v>42.6</v>
      </c>
      <c r="S22" s="149">
        <v>38</v>
      </c>
      <c r="T22" s="121">
        <v>33.4</v>
      </c>
      <c r="U22" s="132">
        <v>39.5</v>
      </c>
      <c r="V22" s="149">
        <v>38.1</v>
      </c>
      <c r="W22" s="121">
        <v>37.9</v>
      </c>
      <c r="X22" s="143">
        <v>39.5</v>
      </c>
      <c r="Y22" s="149">
        <v>41.1</v>
      </c>
      <c r="Z22" s="121">
        <v>42.6</v>
      </c>
      <c r="AA22" s="143">
        <v>45.9</v>
      </c>
      <c r="AB22" s="149">
        <v>49.2</v>
      </c>
      <c r="AC22" s="155">
        <v>44.1</v>
      </c>
      <c r="AD22" s="143">
        <v>49.4</v>
      </c>
      <c r="AE22" s="149">
        <v>54.7</v>
      </c>
      <c r="AF22" s="193">
        <v>60.1</v>
      </c>
      <c r="AG22" s="192">
        <v>53.8</v>
      </c>
      <c r="AH22" s="117">
        <v>47.5</v>
      </c>
      <c r="AI22" s="1208">
        <v>72</v>
      </c>
    </row>
    <row r="23" spans="1:37" x14ac:dyDescent="0.25">
      <c r="A23" s="162">
        <v>16</v>
      </c>
      <c r="B23" s="45" t="s">
        <v>1761</v>
      </c>
      <c r="C23" s="173">
        <v>1751.7</v>
      </c>
      <c r="D23" s="173">
        <v>1773.7</v>
      </c>
      <c r="E23" s="174">
        <v>1777.4</v>
      </c>
      <c r="F23" s="174">
        <v>1778.3</v>
      </c>
      <c r="G23" s="174">
        <v>1781.9</v>
      </c>
      <c r="H23" s="174">
        <v>1785.8</v>
      </c>
      <c r="I23" s="173">
        <v>1753.5</v>
      </c>
      <c r="J23" s="174">
        <v>1757.4</v>
      </c>
      <c r="K23" s="173">
        <v>1757.7</v>
      </c>
      <c r="L23" s="143">
        <v>1760.1</v>
      </c>
      <c r="M23" s="149">
        <v>1763.1</v>
      </c>
      <c r="N23" s="188">
        <v>1774.4</v>
      </c>
      <c r="O23" s="132">
        <v>1787</v>
      </c>
      <c r="P23" s="149">
        <v>1811.2</v>
      </c>
      <c r="Q23" s="188">
        <v>1830.6</v>
      </c>
      <c r="R23" s="143">
        <v>1837.6</v>
      </c>
      <c r="S23" s="149">
        <v>1848.2</v>
      </c>
      <c r="T23" s="121">
        <v>1848.1</v>
      </c>
      <c r="U23" s="132">
        <v>1930.1</v>
      </c>
      <c r="V23" s="149">
        <v>1933</v>
      </c>
      <c r="W23" s="121">
        <v>1937.7</v>
      </c>
      <c r="X23" s="143">
        <v>1955.7</v>
      </c>
      <c r="Y23" s="149">
        <v>1961.9</v>
      </c>
      <c r="Z23" s="121">
        <v>1966.1</v>
      </c>
      <c r="AA23" s="143">
        <v>1968.3</v>
      </c>
      <c r="AB23" s="149">
        <v>1965.7</v>
      </c>
      <c r="AC23" s="155">
        <v>1967.3</v>
      </c>
      <c r="AD23" s="143">
        <v>1974.8</v>
      </c>
      <c r="AE23" s="149">
        <v>1979.1</v>
      </c>
      <c r="AF23" s="193">
        <v>1988.4</v>
      </c>
      <c r="AG23" s="192">
        <v>1990</v>
      </c>
      <c r="AH23" s="117">
        <v>2003.3</v>
      </c>
      <c r="AI23" s="1208">
        <v>2014.9</v>
      </c>
    </row>
    <row r="24" spans="1:37" x14ac:dyDescent="0.25">
      <c r="A24" s="163">
        <v>17</v>
      </c>
      <c r="B24" s="128" t="s">
        <v>1762</v>
      </c>
      <c r="C24" s="171">
        <v>792.9</v>
      </c>
      <c r="D24" s="171">
        <v>794.9</v>
      </c>
      <c r="E24" s="172">
        <v>797</v>
      </c>
      <c r="F24" s="172">
        <v>804.7</v>
      </c>
      <c r="G24" s="172">
        <v>810.6</v>
      </c>
      <c r="H24" s="172">
        <v>820</v>
      </c>
      <c r="I24" s="171">
        <v>930.9</v>
      </c>
      <c r="J24" s="172">
        <v>945.7</v>
      </c>
      <c r="K24" s="171">
        <v>960.7</v>
      </c>
      <c r="L24" s="142">
        <v>960.6</v>
      </c>
      <c r="M24" s="148">
        <v>960.8</v>
      </c>
      <c r="N24" s="187">
        <v>961.8</v>
      </c>
      <c r="O24" s="131">
        <v>967.2</v>
      </c>
      <c r="P24" s="148">
        <v>974.5</v>
      </c>
      <c r="Q24" s="187">
        <v>981.5</v>
      </c>
      <c r="R24" s="142">
        <v>985.3</v>
      </c>
      <c r="S24" s="148">
        <v>988.1</v>
      </c>
      <c r="T24" s="110">
        <v>991</v>
      </c>
      <c r="U24" s="131">
        <v>1032</v>
      </c>
      <c r="V24" s="148">
        <v>1046.4000000000001</v>
      </c>
      <c r="W24" s="110">
        <v>1059.9000000000001</v>
      </c>
      <c r="X24" s="142">
        <v>1060.7</v>
      </c>
      <c r="Y24" s="148">
        <v>1053.5</v>
      </c>
      <c r="Z24" s="110">
        <v>1046</v>
      </c>
      <c r="AA24" s="142">
        <v>1051</v>
      </c>
      <c r="AB24" s="148">
        <v>1055.7</v>
      </c>
      <c r="AC24" s="154">
        <v>1060.3</v>
      </c>
      <c r="AD24" s="142">
        <v>1069.2</v>
      </c>
      <c r="AE24" s="148">
        <v>1071</v>
      </c>
      <c r="AF24" s="194">
        <v>1076.5</v>
      </c>
      <c r="AG24" s="95">
        <v>1084.7</v>
      </c>
      <c r="AH24" s="108">
        <v>1093.7</v>
      </c>
      <c r="AI24" s="1209">
        <v>1100.8</v>
      </c>
    </row>
    <row r="25" spans="1:37" x14ac:dyDescent="0.25">
      <c r="A25" s="162">
        <v>18</v>
      </c>
      <c r="B25" s="199" t="s">
        <v>1763</v>
      </c>
      <c r="C25" s="171">
        <v>3350.6</v>
      </c>
      <c r="D25" s="171">
        <v>3358.1</v>
      </c>
      <c r="E25" s="172">
        <v>3367.7</v>
      </c>
      <c r="F25" s="172">
        <v>3413.8</v>
      </c>
      <c r="G25" s="172">
        <v>3424.7</v>
      </c>
      <c r="H25" s="172">
        <v>3433.5</v>
      </c>
      <c r="I25" s="171">
        <v>3559.3</v>
      </c>
      <c r="J25" s="172">
        <v>3570.9</v>
      </c>
      <c r="K25" s="171">
        <v>3600.9</v>
      </c>
      <c r="L25" s="142">
        <v>3606.8</v>
      </c>
      <c r="M25" s="148">
        <v>3610.2</v>
      </c>
      <c r="N25" s="187">
        <v>3590.7</v>
      </c>
      <c r="O25" s="131">
        <v>3594.4</v>
      </c>
      <c r="P25" s="148">
        <v>3607.3</v>
      </c>
      <c r="Q25" s="187">
        <v>3617.9</v>
      </c>
      <c r="R25" s="142">
        <v>3645.6</v>
      </c>
      <c r="S25" s="148">
        <v>3672.7</v>
      </c>
      <c r="T25" s="110">
        <v>3683.6</v>
      </c>
      <c r="U25" s="131">
        <v>3999.7</v>
      </c>
      <c r="V25" s="148">
        <v>3912.2</v>
      </c>
      <c r="W25" s="110">
        <v>3904.9</v>
      </c>
      <c r="X25" s="142">
        <v>3929.6</v>
      </c>
      <c r="Y25" s="148">
        <v>3953.7</v>
      </c>
      <c r="Z25" s="110">
        <v>3967.4</v>
      </c>
      <c r="AA25" s="142">
        <v>3958.7</v>
      </c>
      <c r="AB25" s="148">
        <v>3929.7</v>
      </c>
      <c r="AC25" s="154">
        <v>3927.9</v>
      </c>
      <c r="AD25" s="142">
        <v>3963.6</v>
      </c>
      <c r="AE25" s="148">
        <v>3952.7</v>
      </c>
      <c r="AF25" s="194">
        <v>3958.6</v>
      </c>
      <c r="AG25" s="95">
        <v>4001.9</v>
      </c>
      <c r="AH25" s="108">
        <v>4014.5</v>
      </c>
      <c r="AI25" s="1209">
        <v>4029.2</v>
      </c>
    </row>
    <row r="26" spans="1:37" x14ac:dyDescent="0.25">
      <c r="A26" s="162">
        <v>19</v>
      </c>
      <c r="B26" s="45" t="s">
        <v>1764</v>
      </c>
      <c r="C26" s="173">
        <v>1731.1</v>
      </c>
      <c r="D26" s="173">
        <v>1738</v>
      </c>
      <c r="E26" s="174">
        <v>1745.2</v>
      </c>
      <c r="F26" s="174">
        <v>1766.6</v>
      </c>
      <c r="G26" s="174">
        <v>1788.7</v>
      </c>
      <c r="H26" s="174">
        <v>1811.6</v>
      </c>
      <c r="I26" s="173">
        <v>1736.2</v>
      </c>
      <c r="J26" s="174">
        <v>1744.3</v>
      </c>
      <c r="K26" s="173">
        <v>1752.6</v>
      </c>
      <c r="L26" s="143">
        <v>1753.6</v>
      </c>
      <c r="M26" s="149">
        <v>1754.7</v>
      </c>
      <c r="N26" s="188">
        <v>1756.1</v>
      </c>
      <c r="O26" s="132">
        <v>1766.1</v>
      </c>
      <c r="P26" s="149">
        <v>1776.3</v>
      </c>
      <c r="Q26" s="188">
        <v>1786.7</v>
      </c>
      <c r="R26" s="143">
        <v>1801</v>
      </c>
      <c r="S26" s="149">
        <v>1815.5</v>
      </c>
      <c r="T26" s="121">
        <v>1830.2</v>
      </c>
      <c r="U26" s="132">
        <v>1967.6</v>
      </c>
      <c r="V26" s="149">
        <v>1951</v>
      </c>
      <c r="W26" s="121">
        <v>1934.3</v>
      </c>
      <c r="X26" s="143">
        <v>1950.4</v>
      </c>
      <c r="Y26" s="149">
        <v>1966.3</v>
      </c>
      <c r="Z26" s="121">
        <v>1982</v>
      </c>
      <c r="AA26" s="143">
        <v>1974.3</v>
      </c>
      <c r="AB26" s="149">
        <v>1966.4</v>
      </c>
      <c r="AC26" s="155">
        <v>1958.4</v>
      </c>
      <c r="AD26" s="143">
        <v>1966.8</v>
      </c>
      <c r="AE26" s="149">
        <v>1975.1</v>
      </c>
      <c r="AF26" s="193">
        <v>1983.3</v>
      </c>
      <c r="AG26" s="192">
        <v>1990.4</v>
      </c>
      <c r="AH26" s="117">
        <v>1997.6</v>
      </c>
      <c r="AI26" s="1208">
        <v>2004.8</v>
      </c>
    </row>
    <row r="27" spans="1:37" x14ac:dyDescent="0.25">
      <c r="A27" s="162">
        <v>20</v>
      </c>
      <c r="B27" s="45" t="s">
        <v>1765</v>
      </c>
      <c r="C27" s="173">
        <v>1619.5</v>
      </c>
      <c r="D27" s="173">
        <v>1620.1</v>
      </c>
      <c r="E27" s="174">
        <v>1622.6</v>
      </c>
      <c r="F27" s="174">
        <v>1647.2</v>
      </c>
      <c r="G27" s="174">
        <v>1636</v>
      </c>
      <c r="H27" s="174">
        <v>1622</v>
      </c>
      <c r="I27" s="173">
        <v>1823.1</v>
      </c>
      <c r="J27" s="174">
        <v>1826.6</v>
      </c>
      <c r="K27" s="173">
        <v>1848.3</v>
      </c>
      <c r="L27" s="143">
        <v>1853.3</v>
      </c>
      <c r="M27" s="149">
        <v>1855.5</v>
      </c>
      <c r="N27" s="188">
        <v>1834.7</v>
      </c>
      <c r="O27" s="132">
        <v>1828.3</v>
      </c>
      <c r="P27" s="149">
        <v>1831</v>
      </c>
      <c r="Q27" s="188">
        <v>1831.2</v>
      </c>
      <c r="R27" s="143">
        <v>1844.6</v>
      </c>
      <c r="S27" s="149">
        <v>1857.2</v>
      </c>
      <c r="T27" s="121">
        <v>1853.4</v>
      </c>
      <c r="U27" s="132">
        <v>2032.1</v>
      </c>
      <c r="V27" s="149">
        <v>1961.2</v>
      </c>
      <c r="W27" s="121">
        <v>1970.6</v>
      </c>
      <c r="X27" s="143">
        <v>1979.2</v>
      </c>
      <c r="Y27" s="149">
        <v>1987.5</v>
      </c>
      <c r="Z27" s="121">
        <v>1985.3</v>
      </c>
      <c r="AA27" s="143">
        <v>1984.5</v>
      </c>
      <c r="AB27" s="149">
        <v>1963.3</v>
      </c>
      <c r="AC27" s="155">
        <v>1969.5</v>
      </c>
      <c r="AD27" s="143">
        <v>1996.8</v>
      </c>
      <c r="AE27" s="149">
        <v>1977.6</v>
      </c>
      <c r="AF27" s="193">
        <v>1975.3</v>
      </c>
      <c r="AG27" s="192">
        <v>2011.5</v>
      </c>
      <c r="AH27" s="117">
        <v>2016.9</v>
      </c>
      <c r="AI27" s="1208">
        <v>2024.4</v>
      </c>
    </row>
    <row r="28" spans="1:37" x14ac:dyDescent="0.25">
      <c r="A28" s="162">
        <v>21</v>
      </c>
      <c r="B28" s="199" t="s">
        <v>1766</v>
      </c>
      <c r="C28" s="171">
        <v>3891.7</v>
      </c>
      <c r="D28" s="171">
        <v>3893.9</v>
      </c>
      <c r="E28" s="172">
        <v>3892.9</v>
      </c>
      <c r="F28" s="172">
        <v>3981.6</v>
      </c>
      <c r="G28" s="172">
        <v>4002.2</v>
      </c>
      <c r="H28" s="172">
        <v>4010.8</v>
      </c>
      <c r="I28" s="171">
        <v>4083.3</v>
      </c>
      <c r="J28" s="172">
        <v>4108.8</v>
      </c>
      <c r="K28" s="171">
        <v>4115.1000000000004</v>
      </c>
      <c r="L28" s="142">
        <v>4112.3</v>
      </c>
      <c r="M28" s="148">
        <v>4126.8</v>
      </c>
      <c r="N28" s="187">
        <v>4121.3</v>
      </c>
      <c r="O28" s="131">
        <v>4097.8999999999996</v>
      </c>
      <c r="P28" s="148">
        <v>4096.5</v>
      </c>
      <c r="Q28" s="187">
        <v>4086.6</v>
      </c>
      <c r="R28" s="142">
        <v>4083.8</v>
      </c>
      <c r="S28" s="148">
        <v>4082</v>
      </c>
      <c r="T28" s="110">
        <v>4094.6</v>
      </c>
      <c r="U28" s="131">
        <v>4411.3</v>
      </c>
      <c r="V28" s="148">
        <v>4448.1000000000004</v>
      </c>
      <c r="W28" s="110">
        <v>4478.8999999999996</v>
      </c>
      <c r="X28" s="142">
        <v>4498.6000000000004</v>
      </c>
      <c r="Y28" s="148">
        <v>4510.1000000000004</v>
      </c>
      <c r="Z28" s="110">
        <v>4528.3999999999996</v>
      </c>
      <c r="AA28" s="142">
        <v>4551</v>
      </c>
      <c r="AB28" s="148">
        <v>4560.5</v>
      </c>
      <c r="AC28" s="154">
        <v>4599.7</v>
      </c>
      <c r="AD28" s="142">
        <v>4622.8999999999996</v>
      </c>
      <c r="AE28" s="148">
        <v>4621.7</v>
      </c>
      <c r="AF28" s="194">
        <v>4635.2</v>
      </c>
      <c r="AG28" s="95">
        <v>4707.1000000000004</v>
      </c>
      <c r="AH28" s="108">
        <v>4806.1000000000004</v>
      </c>
      <c r="AI28" s="1209">
        <v>4792.5</v>
      </c>
    </row>
    <row r="29" spans="1:37" x14ac:dyDescent="0.25">
      <c r="A29" s="162">
        <v>22</v>
      </c>
      <c r="B29" s="45" t="s">
        <v>1767</v>
      </c>
      <c r="C29" s="173">
        <v>3821.1</v>
      </c>
      <c r="D29" s="173">
        <v>3824.5</v>
      </c>
      <c r="E29" s="174">
        <v>3823.5</v>
      </c>
      <c r="F29" s="174">
        <v>3912.2</v>
      </c>
      <c r="G29" s="174">
        <v>3932.8</v>
      </c>
      <c r="H29" s="174">
        <v>3941.2</v>
      </c>
      <c r="I29" s="173">
        <v>3983.1</v>
      </c>
      <c r="J29" s="174">
        <v>4007.9</v>
      </c>
      <c r="K29" s="173">
        <v>4013.6</v>
      </c>
      <c r="L29" s="143">
        <v>4010.1</v>
      </c>
      <c r="M29" s="149">
        <v>4024</v>
      </c>
      <c r="N29" s="188">
        <v>4017.8</v>
      </c>
      <c r="O29" s="132">
        <v>3993.8</v>
      </c>
      <c r="P29" s="149">
        <v>3991.8</v>
      </c>
      <c r="Q29" s="188">
        <v>3977.7</v>
      </c>
      <c r="R29" s="143">
        <v>3977.9</v>
      </c>
      <c r="S29" s="149">
        <v>3972.1</v>
      </c>
      <c r="T29" s="121">
        <v>3987.7</v>
      </c>
      <c r="U29" s="132">
        <v>4271.8</v>
      </c>
      <c r="V29" s="149">
        <v>4321</v>
      </c>
      <c r="W29" s="121">
        <v>4350.8999999999996</v>
      </c>
      <c r="X29" s="143">
        <v>4362.3</v>
      </c>
      <c r="Y29" s="149">
        <v>4380.3</v>
      </c>
      <c r="Z29" s="121">
        <v>4397.6000000000004</v>
      </c>
      <c r="AA29" s="143">
        <v>4419.3</v>
      </c>
      <c r="AB29" s="149">
        <v>4427.8999999999996</v>
      </c>
      <c r="AC29" s="155">
        <v>4466.1000000000004</v>
      </c>
      <c r="AD29" s="143">
        <v>4488.3999999999996</v>
      </c>
      <c r="AE29" s="149">
        <v>4486.2</v>
      </c>
      <c r="AF29" s="118">
        <v>4498.7</v>
      </c>
      <c r="AG29" s="192">
        <v>4567.2</v>
      </c>
      <c r="AH29" s="117">
        <v>4643.5</v>
      </c>
      <c r="AI29" s="1208">
        <v>4650.8999999999996</v>
      </c>
    </row>
    <row r="30" spans="1:37" ht="16.5" customHeight="1" x14ac:dyDescent="0.25">
      <c r="A30" s="179">
        <v>23</v>
      </c>
      <c r="B30" s="181" t="s">
        <v>1768</v>
      </c>
      <c r="C30" s="182">
        <v>1211.0999999999999</v>
      </c>
      <c r="D30" s="182">
        <v>1215.9000000000001</v>
      </c>
      <c r="E30" s="183">
        <v>1216.9000000000001</v>
      </c>
      <c r="F30" s="174">
        <v>1229.0999999999999</v>
      </c>
      <c r="G30" s="174">
        <v>1224.3</v>
      </c>
      <c r="H30" s="174">
        <v>1223.5999999999999</v>
      </c>
      <c r="I30" s="173">
        <v>1335.4</v>
      </c>
      <c r="J30" s="174">
        <v>1340.1</v>
      </c>
      <c r="K30" s="173">
        <v>1344.5</v>
      </c>
      <c r="L30" s="143">
        <v>1349.9</v>
      </c>
      <c r="M30" s="149">
        <v>1354.7</v>
      </c>
      <c r="N30" s="188">
        <v>1356.7</v>
      </c>
      <c r="O30" s="132">
        <v>1358.3</v>
      </c>
      <c r="P30" s="149">
        <v>1362.1</v>
      </c>
      <c r="Q30" s="188">
        <v>1363.4</v>
      </c>
      <c r="R30" s="143">
        <v>1378.6</v>
      </c>
      <c r="S30" s="149">
        <v>1370.3</v>
      </c>
      <c r="T30" s="121">
        <v>1373.8</v>
      </c>
      <c r="U30" s="132">
        <v>1421.9</v>
      </c>
      <c r="V30" s="149">
        <v>1425</v>
      </c>
      <c r="W30" s="121">
        <v>1432.7</v>
      </c>
      <c r="X30" s="143">
        <v>1435.9</v>
      </c>
      <c r="Y30" s="149">
        <v>1438.7</v>
      </c>
      <c r="Z30" s="121">
        <v>1444.6</v>
      </c>
      <c r="AA30" s="143">
        <v>1448.8</v>
      </c>
      <c r="AB30" s="149">
        <v>1452.8</v>
      </c>
      <c r="AC30" s="155">
        <v>1457.8</v>
      </c>
      <c r="AD30" s="143">
        <v>1470.6</v>
      </c>
      <c r="AE30" s="149">
        <v>1466.8</v>
      </c>
      <c r="AF30" s="118">
        <v>1466.3</v>
      </c>
      <c r="AG30" s="122">
        <v>1504.6</v>
      </c>
      <c r="AH30" s="123">
        <v>1514.9</v>
      </c>
      <c r="AI30" s="1210">
        <v>1516.2</v>
      </c>
      <c r="AJ30" s="184">
        <f>'Social Benefits'!AD70</f>
        <v>1525.915</v>
      </c>
    </row>
    <row r="31" spans="1:37" ht="15.95" customHeight="1" x14ac:dyDescent="0.25">
      <c r="A31" s="179">
        <v>24</v>
      </c>
      <c r="B31" s="181" t="s">
        <v>1769</v>
      </c>
      <c r="C31" s="182">
        <v>914.1</v>
      </c>
      <c r="D31" s="182">
        <v>920.1</v>
      </c>
      <c r="E31" s="183">
        <v>926.7</v>
      </c>
      <c r="F31" s="174">
        <v>933.8</v>
      </c>
      <c r="G31" s="174">
        <v>941.5</v>
      </c>
      <c r="H31" s="174">
        <v>949.7</v>
      </c>
      <c r="I31" s="173">
        <v>936.9</v>
      </c>
      <c r="J31" s="174">
        <v>938.1</v>
      </c>
      <c r="K31" s="173">
        <v>939.3</v>
      </c>
      <c r="L31" s="143">
        <v>940.6</v>
      </c>
      <c r="M31" s="149">
        <v>941.9</v>
      </c>
      <c r="N31" s="188">
        <v>943.3</v>
      </c>
      <c r="O31" s="132">
        <v>944.8</v>
      </c>
      <c r="P31" s="149">
        <v>946.3</v>
      </c>
      <c r="Q31" s="188">
        <v>947.9</v>
      </c>
      <c r="R31" s="143">
        <v>949.6</v>
      </c>
      <c r="S31" s="149">
        <v>951.3</v>
      </c>
      <c r="T31" s="121">
        <v>953.1</v>
      </c>
      <c r="U31" s="132">
        <v>1044.2</v>
      </c>
      <c r="V31" s="149">
        <v>1049</v>
      </c>
      <c r="W31" s="121">
        <v>1054.4000000000001</v>
      </c>
      <c r="X31" s="143">
        <v>1060.4000000000001</v>
      </c>
      <c r="Y31" s="149">
        <v>1066.9000000000001</v>
      </c>
      <c r="Z31" s="121">
        <v>1074.0999999999999</v>
      </c>
      <c r="AA31" s="143">
        <v>1081.8</v>
      </c>
      <c r="AB31" s="149">
        <v>1090</v>
      </c>
      <c r="AC31" s="155">
        <v>1098.9000000000001</v>
      </c>
      <c r="AD31" s="143">
        <v>1108.3</v>
      </c>
      <c r="AE31" s="149">
        <v>1118.3</v>
      </c>
      <c r="AF31" s="119">
        <v>1128.9000000000001</v>
      </c>
      <c r="AG31" s="122">
        <v>1140</v>
      </c>
      <c r="AH31" s="123">
        <v>1150.5</v>
      </c>
      <c r="AI31" s="1210">
        <v>1160.3</v>
      </c>
      <c r="AJ31" s="186">
        <f>Medicare!AD10</f>
        <v>1164.9491604763948</v>
      </c>
    </row>
    <row r="32" spans="1:37" x14ac:dyDescent="0.25">
      <c r="A32" s="179">
        <v>25</v>
      </c>
      <c r="B32" s="181" t="s">
        <v>54</v>
      </c>
      <c r="C32" s="182">
        <v>790.3</v>
      </c>
      <c r="D32" s="182">
        <v>785.3</v>
      </c>
      <c r="E32" s="183">
        <v>782.8</v>
      </c>
      <c r="F32" s="174">
        <v>791.2</v>
      </c>
      <c r="G32" s="174">
        <v>796.9</v>
      </c>
      <c r="H32" s="174">
        <v>800.6</v>
      </c>
      <c r="I32" s="173">
        <v>856.7</v>
      </c>
      <c r="J32" s="174">
        <v>871.5</v>
      </c>
      <c r="K32" s="173">
        <v>886.1</v>
      </c>
      <c r="L32" s="143">
        <v>908.2</v>
      </c>
      <c r="M32" s="149">
        <v>916.2</v>
      </c>
      <c r="N32" s="188">
        <v>909.8</v>
      </c>
      <c r="O32" s="132">
        <v>893.4</v>
      </c>
      <c r="P32" s="149">
        <v>879.5</v>
      </c>
      <c r="Q32" s="188">
        <v>868.8</v>
      </c>
      <c r="R32" s="143">
        <v>863.5</v>
      </c>
      <c r="S32" s="149">
        <v>865.8</v>
      </c>
      <c r="T32" s="121">
        <v>875.6</v>
      </c>
      <c r="U32" s="132">
        <v>889.7</v>
      </c>
      <c r="V32" s="149">
        <v>906.4</v>
      </c>
      <c r="W32" s="121">
        <v>918.4</v>
      </c>
      <c r="X32" s="143">
        <v>922.3</v>
      </c>
      <c r="Y32" s="149">
        <v>925.2</v>
      </c>
      <c r="Z32" s="121">
        <v>926.4</v>
      </c>
      <c r="AA32" s="143">
        <v>926.2</v>
      </c>
      <c r="AB32" s="149">
        <v>930.8</v>
      </c>
      <c r="AC32" s="155">
        <v>940.2</v>
      </c>
      <c r="AD32" s="143">
        <v>937.7</v>
      </c>
      <c r="AE32" s="149">
        <v>942.3</v>
      </c>
      <c r="AF32" s="119">
        <v>954.3</v>
      </c>
      <c r="AG32" s="122">
        <v>962.5</v>
      </c>
      <c r="AH32" s="123">
        <v>968.4</v>
      </c>
      <c r="AI32" s="1210">
        <v>969</v>
      </c>
      <c r="AJ32" s="186">
        <f>forecast!D11</f>
        <v>971.46435495301887</v>
      </c>
      <c r="AK32" t="s">
        <v>2301</v>
      </c>
    </row>
    <row r="33" spans="1:37" x14ac:dyDescent="0.25">
      <c r="A33" s="179">
        <v>26</v>
      </c>
      <c r="B33" s="181" t="s">
        <v>262</v>
      </c>
      <c r="C33" s="182">
        <v>18.7</v>
      </c>
      <c r="D33" s="182">
        <v>18.899999999999999</v>
      </c>
      <c r="E33" s="183">
        <v>18</v>
      </c>
      <c r="F33" s="174">
        <v>18.899999999999999</v>
      </c>
      <c r="G33" s="174">
        <v>20.6</v>
      </c>
      <c r="H33" s="174">
        <v>21.6</v>
      </c>
      <c r="I33" s="173">
        <v>21.1</v>
      </c>
      <c r="J33" s="174">
        <v>22</v>
      </c>
      <c r="K33" s="173">
        <v>22.8</v>
      </c>
      <c r="L33" s="143">
        <v>22.8</v>
      </c>
      <c r="M33" s="149">
        <v>22.3</v>
      </c>
      <c r="N33" s="188">
        <v>21.6</v>
      </c>
      <c r="O33" s="132">
        <v>21.1</v>
      </c>
      <c r="P33" s="149">
        <v>21.1</v>
      </c>
      <c r="Q33" s="188">
        <v>20.8</v>
      </c>
      <c r="R33" s="143">
        <v>22.1</v>
      </c>
      <c r="S33" s="149">
        <v>23.1</v>
      </c>
      <c r="T33" s="121">
        <v>22.9</v>
      </c>
      <c r="U33" s="132">
        <v>34.799999999999997</v>
      </c>
      <c r="V33" s="149">
        <v>35</v>
      </c>
      <c r="W33" s="121">
        <v>35</v>
      </c>
      <c r="X33" s="143">
        <v>34.5</v>
      </c>
      <c r="Y33" s="149">
        <v>34.799999999999997</v>
      </c>
      <c r="Z33" s="121">
        <v>35.6</v>
      </c>
      <c r="AA33" s="143">
        <v>35.9</v>
      </c>
      <c r="AB33" s="149">
        <v>35.700000000000003</v>
      </c>
      <c r="AC33" s="155">
        <v>35.4</v>
      </c>
      <c r="AD33" s="143">
        <v>36</v>
      </c>
      <c r="AE33" s="149">
        <v>36.299999999999997</v>
      </c>
      <c r="AF33" s="119">
        <v>35.9</v>
      </c>
      <c r="AG33" s="122">
        <v>35.700000000000003</v>
      </c>
      <c r="AH33" s="123">
        <v>35.700000000000003</v>
      </c>
      <c r="AI33" s="1210">
        <v>35.799999999999997</v>
      </c>
      <c r="AJ33" s="186">
        <f>forecast!D9+forecast!D8</f>
        <v>35.700000000000003</v>
      </c>
    </row>
    <row r="34" spans="1:37" ht="16.350000000000001" customHeight="1" x14ac:dyDescent="0.25">
      <c r="A34" s="162">
        <v>27</v>
      </c>
      <c r="B34" s="84" t="s">
        <v>1770</v>
      </c>
      <c r="C34" s="173">
        <v>161.1</v>
      </c>
      <c r="D34" s="173">
        <v>161.6</v>
      </c>
      <c r="E34" s="174">
        <v>162.5</v>
      </c>
      <c r="F34" s="174">
        <v>163.19999999999999</v>
      </c>
      <c r="G34" s="174">
        <v>164</v>
      </c>
      <c r="H34" s="174">
        <v>164.8</v>
      </c>
      <c r="I34" s="173">
        <v>173.1</v>
      </c>
      <c r="J34" s="174">
        <v>172.9</v>
      </c>
      <c r="K34" s="173">
        <v>172.7</v>
      </c>
      <c r="L34" s="143">
        <v>172.7</v>
      </c>
      <c r="M34" s="149">
        <v>172.4</v>
      </c>
      <c r="N34" s="188">
        <v>172.5</v>
      </c>
      <c r="O34" s="132">
        <v>172.7</v>
      </c>
      <c r="P34" s="149">
        <v>172.9</v>
      </c>
      <c r="Q34" s="188">
        <v>173</v>
      </c>
      <c r="R34" s="143">
        <v>173.3</v>
      </c>
      <c r="S34" s="149">
        <v>173.6</v>
      </c>
      <c r="T34" s="121">
        <v>173.9</v>
      </c>
      <c r="U34" s="132">
        <v>210.1</v>
      </c>
      <c r="V34" s="149">
        <v>211.7</v>
      </c>
      <c r="W34" s="121">
        <v>213.4</v>
      </c>
      <c r="X34" s="143">
        <v>215.1</v>
      </c>
      <c r="Y34" s="149">
        <v>216.8</v>
      </c>
      <c r="Z34" s="121">
        <v>218.4</v>
      </c>
      <c r="AA34" s="143">
        <v>219.9</v>
      </c>
      <c r="AB34" s="149">
        <v>221.6</v>
      </c>
      <c r="AC34" s="155">
        <v>223.1</v>
      </c>
      <c r="AD34" s="143">
        <v>224.7</v>
      </c>
      <c r="AE34" s="149">
        <v>226.3</v>
      </c>
      <c r="AF34" s="193">
        <v>227.8</v>
      </c>
      <c r="AG34" s="192">
        <v>229.5</v>
      </c>
      <c r="AH34" s="117">
        <v>231</v>
      </c>
      <c r="AI34" s="1208">
        <v>232.2</v>
      </c>
    </row>
    <row r="35" spans="1:37" x14ac:dyDescent="0.25">
      <c r="A35" s="162">
        <v>28</v>
      </c>
      <c r="B35" s="84" t="s">
        <v>530</v>
      </c>
      <c r="C35" s="173">
        <v>725.8</v>
      </c>
      <c r="D35" s="173">
        <v>722.7</v>
      </c>
      <c r="E35" s="174">
        <v>716.6</v>
      </c>
      <c r="F35" s="174">
        <v>776</v>
      </c>
      <c r="G35" s="174">
        <v>785.4</v>
      </c>
      <c r="H35" s="174">
        <v>780.9</v>
      </c>
      <c r="I35" s="173">
        <v>659.8</v>
      </c>
      <c r="J35" s="174">
        <v>663.3</v>
      </c>
      <c r="K35" s="173">
        <v>648.20000000000005</v>
      </c>
      <c r="L35" s="143">
        <v>615.9</v>
      </c>
      <c r="M35" s="149">
        <v>616.4</v>
      </c>
      <c r="N35" s="188">
        <v>613.79999999999995</v>
      </c>
      <c r="O35" s="132">
        <v>603.5</v>
      </c>
      <c r="P35" s="149">
        <v>610</v>
      </c>
      <c r="Q35" s="188">
        <v>603.79999999999995</v>
      </c>
      <c r="R35" s="143">
        <v>590.79999999999995</v>
      </c>
      <c r="S35" s="149">
        <v>588.1</v>
      </c>
      <c r="T35" s="121">
        <v>588.29999999999995</v>
      </c>
      <c r="U35" s="132">
        <v>671.2</v>
      </c>
      <c r="V35" s="149">
        <v>693.9</v>
      </c>
      <c r="W35" s="121">
        <v>697.1</v>
      </c>
      <c r="X35" s="143">
        <v>694.1</v>
      </c>
      <c r="Y35" s="149">
        <v>697.8</v>
      </c>
      <c r="Z35" s="121">
        <v>698.6</v>
      </c>
      <c r="AA35" s="143">
        <v>706.7</v>
      </c>
      <c r="AB35" s="149">
        <v>696.9</v>
      </c>
      <c r="AC35" s="155">
        <v>710.7</v>
      </c>
      <c r="AD35" s="143">
        <v>711</v>
      </c>
      <c r="AE35" s="149">
        <v>696.3</v>
      </c>
      <c r="AF35" s="193">
        <v>685.5</v>
      </c>
      <c r="AG35" s="192">
        <v>695</v>
      </c>
      <c r="AH35" s="117">
        <v>742.9</v>
      </c>
      <c r="AI35" s="1208">
        <v>737.3</v>
      </c>
    </row>
    <row r="36" spans="1:37" ht="20.45" customHeight="1" x14ac:dyDescent="0.25">
      <c r="A36" s="162">
        <v>29</v>
      </c>
      <c r="B36" s="202" t="s">
        <v>1771</v>
      </c>
      <c r="C36" s="173">
        <v>70.7</v>
      </c>
      <c r="D36" s="173">
        <v>69.400000000000006</v>
      </c>
      <c r="E36" s="174">
        <v>69.400000000000006</v>
      </c>
      <c r="F36" s="174">
        <v>69.400000000000006</v>
      </c>
      <c r="G36" s="174">
        <v>69.5</v>
      </c>
      <c r="H36" s="174">
        <v>69.599999999999994</v>
      </c>
      <c r="I36" s="173">
        <v>100.2</v>
      </c>
      <c r="J36" s="174">
        <v>100.9</v>
      </c>
      <c r="K36" s="173">
        <v>101.6</v>
      </c>
      <c r="L36" s="143">
        <v>102.2</v>
      </c>
      <c r="M36" s="149">
        <v>102.8</v>
      </c>
      <c r="N36" s="188">
        <v>103.5</v>
      </c>
      <c r="O36" s="132">
        <v>104.1</v>
      </c>
      <c r="P36" s="149">
        <v>104.7</v>
      </c>
      <c r="Q36" s="188">
        <v>108.9</v>
      </c>
      <c r="R36" s="143">
        <v>105.8</v>
      </c>
      <c r="S36" s="149">
        <v>109.9</v>
      </c>
      <c r="T36" s="121">
        <v>106.9</v>
      </c>
      <c r="U36" s="132">
        <v>139.5</v>
      </c>
      <c r="V36" s="149">
        <v>127.1</v>
      </c>
      <c r="W36" s="121">
        <v>128</v>
      </c>
      <c r="X36" s="143">
        <v>136.30000000000001</v>
      </c>
      <c r="Y36" s="149">
        <v>129.80000000000001</v>
      </c>
      <c r="Z36" s="121">
        <v>130.80000000000001</v>
      </c>
      <c r="AA36" s="143">
        <v>131.69999999999999</v>
      </c>
      <c r="AB36" s="149">
        <v>132.6</v>
      </c>
      <c r="AC36" s="155">
        <v>133.6</v>
      </c>
      <c r="AD36" s="143">
        <v>134.5</v>
      </c>
      <c r="AE36" s="149">
        <v>135.5</v>
      </c>
      <c r="AF36" s="193">
        <v>136.5</v>
      </c>
      <c r="AG36" s="192">
        <v>139.9</v>
      </c>
      <c r="AH36" s="117">
        <v>162.6</v>
      </c>
      <c r="AI36" s="1208">
        <v>141.6</v>
      </c>
    </row>
    <row r="37" spans="1:37" ht="42" customHeight="1" x14ac:dyDescent="0.25">
      <c r="A37" s="179">
        <v>30</v>
      </c>
      <c r="B37" s="191" t="s">
        <v>1772</v>
      </c>
      <c r="C37" s="195">
        <v>1683.6</v>
      </c>
      <c r="D37" s="195">
        <v>1695.6</v>
      </c>
      <c r="E37" s="196">
        <v>1707.7</v>
      </c>
      <c r="F37" s="172">
        <v>1704.3</v>
      </c>
      <c r="G37" s="172">
        <v>1703.1</v>
      </c>
      <c r="H37" s="172">
        <v>1703.8</v>
      </c>
      <c r="I37" s="171">
        <v>1765.5</v>
      </c>
      <c r="J37" s="172">
        <v>1774.3</v>
      </c>
      <c r="K37" s="171">
        <v>1782</v>
      </c>
      <c r="L37" s="142">
        <v>1787.4</v>
      </c>
      <c r="M37" s="148">
        <v>1793.6</v>
      </c>
      <c r="N37" s="187">
        <v>1800.9</v>
      </c>
      <c r="O37" s="131">
        <v>1809.2</v>
      </c>
      <c r="P37" s="148">
        <v>1817.6</v>
      </c>
      <c r="Q37" s="187">
        <v>1824.6</v>
      </c>
      <c r="R37" s="142">
        <v>1821.7</v>
      </c>
      <c r="S37" s="148">
        <v>1824.1</v>
      </c>
      <c r="T37" s="110">
        <v>1830.7</v>
      </c>
      <c r="U37" s="131">
        <v>1872.5</v>
      </c>
      <c r="V37" s="148">
        <v>1883.5</v>
      </c>
      <c r="W37" s="110">
        <v>1892.5</v>
      </c>
      <c r="X37" s="142">
        <v>1887</v>
      </c>
      <c r="Y37" s="148">
        <v>1891.2</v>
      </c>
      <c r="Z37" s="110">
        <v>1891.4</v>
      </c>
      <c r="AA37" s="142">
        <v>1892.6</v>
      </c>
      <c r="AB37" s="148">
        <v>1897.9</v>
      </c>
      <c r="AC37" s="154">
        <v>1902.5</v>
      </c>
      <c r="AD37" s="142">
        <v>1910</v>
      </c>
      <c r="AE37" s="148">
        <v>1919.5</v>
      </c>
      <c r="AF37" s="120">
        <v>1925.3</v>
      </c>
      <c r="AG37" s="124">
        <v>1938.8</v>
      </c>
      <c r="AH37" s="125">
        <v>1945.9</v>
      </c>
      <c r="AI37" s="1211">
        <v>1954.6</v>
      </c>
      <c r="AJ37" s="184">
        <f>Taxes!AD12+Taxes!AD23</f>
        <v>1966.9890962080419</v>
      </c>
    </row>
    <row r="38" spans="1:37" x14ac:dyDescent="0.25">
      <c r="A38" s="179">
        <v>31</v>
      </c>
      <c r="B38" s="197" t="s">
        <v>242</v>
      </c>
      <c r="C38" s="195">
        <v>3224.2</v>
      </c>
      <c r="D38" s="195">
        <v>3236.7</v>
      </c>
      <c r="E38" s="196">
        <v>3248.6</v>
      </c>
      <c r="F38" s="172">
        <v>3232.7</v>
      </c>
      <c r="G38" s="172">
        <v>3213.6</v>
      </c>
      <c r="H38" s="172">
        <v>3202.1</v>
      </c>
      <c r="I38" s="171">
        <v>2767.2</v>
      </c>
      <c r="J38" s="172">
        <v>2763.4</v>
      </c>
      <c r="K38" s="171">
        <v>2760.4</v>
      </c>
      <c r="L38" s="142">
        <v>2707.4</v>
      </c>
      <c r="M38" s="148">
        <v>2691.2</v>
      </c>
      <c r="N38" s="187">
        <v>2712.9</v>
      </c>
      <c r="O38" s="131">
        <v>2744.1</v>
      </c>
      <c r="P38" s="148">
        <v>2768.2</v>
      </c>
      <c r="Q38" s="187">
        <v>2783.7</v>
      </c>
      <c r="R38" s="142">
        <v>2785.6</v>
      </c>
      <c r="S38" s="148">
        <v>2791.7</v>
      </c>
      <c r="T38" s="110">
        <v>2800.1</v>
      </c>
      <c r="U38" s="131">
        <v>2947.9</v>
      </c>
      <c r="V38" s="148">
        <v>2966.4</v>
      </c>
      <c r="W38" s="110">
        <v>2982.6</v>
      </c>
      <c r="X38" s="142">
        <v>2989.7</v>
      </c>
      <c r="Y38" s="148">
        <v>3007.5</v>
      </c>
      <c r="Z38" s="110">
        <v>3019</v>
      </c>
      <c r="AA38" s="142">
        <v>3038.6</v>
      </c>
      <c r="AB38" s="148">
        <v>3056.8</v>
      </c>
      <c r="AC38" s="154">
        <v>3067.2</v>
      </c>
      <c r="AD38" s="142">
        <v>3091.2</v>
      </c>
      <c r="AE38" s="148">
        <v>3109.6</v>
      </c>
      <c r="AF38" s="120">
        <v>3115.4</v>
      </c>
      <c r="AG38" s="124">
        <v>3149</v>
      </c>
      <c r="AH38" s="125">
        <v>3161.3</v>
      </c>
      <c r="AI38" s="1211">
        <v>3176.1</v>
      </c>
      <c r="AJ38" s="184">
        <f>Taxes!AD10+Taxes!AD21</f>
        <v>3202.947930024623</v>
      </c>
      <c r="AK38" t="s">
        <v>2302</v>
      </c>
    </row>
    <row r="39" spans="1:37" x14ac:dyDescent="0.25">
      <c r="A39" s="162">
        <v>32</v>
      </c>
      <c r="B39" s="47" t="s">
        <v>1773</v>
      </c>
      <c r="C39" s="171">
        <v>18628.099999999999</v>
      </c>
      <c r="D39" s="171">
        <v>18739.099999999999</v>
      </c>
      <c r="E39" s="172">
        <v>18831.7</v>
      </c>
      <c r="F39" s="172">
        <v>18969.2</v>
      </c>
      <c r="G39" s="172">
        <v>19026.5</v>
      </c>
      <c r="H39" s="172">
        <v>19079.7</v>
      </c>
      <c r="I39" s="171">
        <v>19758.099999999999</v>
      </c>
      <c r="J39" s="172">
        <v>19885</v>
      </c>
      <c r="K39" s="171">
        <v>19997.5</v>
      </c>
      <c r="L39" s="142">
        <v>20098.7</v>
      </c>
      <c r="M39" s="148">
        <v>20185.400000000001</v>
      </c>
      <c r="N39" s="187">
        <v>20208.400000000001</v>
      </c>
      <c r="O39" s="131">
        <v>20242.2</v>
      </c>
      <c r="P39" s="148">
        <v>20326.400000000001</v>
      </c>
      <c r="Q39" s="187">
        <v>20392.5</v>
      </c>
      <c r="R39" s="142">
        <v>20403.8</v>
      </c>
      <c r="S39" s="148">
        <v>20449.8</v>
      </c>
      <c r="T39" s="110">
        <v>20511.5</v>
      </c>
      <c r="U39" s="131">
        <v>21278.799999999999</v>
      </c>
      <c r="V39" s="148">
        <v>21364.6</v>
      </c>
      <c r="W39" s="110">
        <v>21492.3</v>
      </c>
      <c r="X39" s="142">
        <v>21521.4</v>
      </c>
      <c r="Y39" s="148">
        <v>21576.7</v>
      </c>
      <c r="Z39" s="110">
        <v>21607.7</v>
      </c>
      <c r="AA39" s="142">
        <v>21630.7</v>
      </c>
      <c r="AB39" s="148">
        <v>21644.400000000001</v>
      </c>
      <c r="AC39" s="154">
        <v>21712.5</v>
      </c>
      <c r="AD39" s="142">
        <v>21830.3</v>
      </c>
      <c r="AE39" s="148">
        <v>21883.599999999999</v>
      </c>
      <c r="AF39" s="194">
        <v>21965.200000000001</v>
      </c>
      <c r="AG39" s="95">
        <v>22083.8</v>
      </c>
      <c r="AH39" s="108">
        <v>22259.7</v>
      </c>
      <c r="AI39" s="1209">
        <v>22361.7</v>
      </c>
      <c r="AJ39" s="106"/>
    </row>
    <row r="40" spans="1:37" x14ac:dyDescent="0.25">
      <c r="A40" s="162">
        <v>33</v>
      </c>
      <c r="B40" s="47" t="s">
        <v>243</v>
      </c>
      <c r="C40" s="171">
        <v>17983.400000000001</v>
      </c>
      <c r="D40" s="171">
        <v>18132.7</v>
      </c>
      <c r="E40" s="172">
        <v>18257.400000000001</v>
      </c>
      <c r="F40" s="172">
        <v>18391.8</v>
      </c>
      <c r="G40" s="172">
        <v>18362.3</v>
      </c>
      <c r="H40" s="172">
        <v>18377.400000000001</v>
      </c>
      <c r="I40" s="171">
        <v>18887</v>
      </c>
      <c r="J40" s="172">
        <v>18959</v>
      </c>
      <c r="K40" s="171">
        <v>18950</v>
      </c>
      <c r="L40" s="142">
        <v>19056.2</v>
      </c>
      <c r="M40" s="148">
        <v>19125.400000000001</v>
      </c>
      <c r="N40" s="187">
        <v>19228.3</v>
      </c>
      <c r="O40" s="131">
        <v>19351.5</v>
      </c>
      <c r="P40" s="148">
        <v>19417</v>
      </c>
      <c r="Q40" s="187">
        <v>19600.900000000001</v>
      </c>
      <c r="R40" s="142">
        <v>19622.8</v>
      </c>
      <c r="S40" s="148">
        <v>19683.8</v>
      </c>
      <c r="T40" s="110">
        <v>19779.3</v>
      </c>
      <c r="U40" s="131">
        <v>20105.3</v>
      </c>
      <c r="V40" s="148">
        <v>20218.400000000001</v>
      </c>
      <c r="W40" s="110">
        <v>20367.8</v>
      </c>
      <c r="X40" s="142">
        <v>20423.3</v>
      </c>
      <c r="Y40" s="148">
        <v>20522.099999999999</v>
      </c>
      <c r="Z40" s="110">
        <v>20577.099999999999</v>
      </c>
      <c r="AA40" s="142">
        <v>20698.8</v>
      </c>
      <c r="AB40" s="148">
        <v>20740.099999999999</v>
      </c>
      <c r="AC40" s="154">
        <v>20881.8</v>
      </c>
      <c r="AD40" s="142">
        <v>20959.599999999999</v>
      </c>
      <c r="AE40" s="148">
        <v>21069.8</v>
      </c>
      <c r="AF40" s="194">
        <v>21241.1</v>
      </c>
      <c r="AG40" s="95">
        <v>21212</v>
      </c>
      <c r="AH40" s="108">
        <v>21352.799999999999</v>
      </c>
      <c r="AI40" s="1209">
        <v>21489.4</v>
      </c>
    </row>
    <row r="41" spans="1:37" x14ac:dyDescent="0.25">
      <c r="A41" s="162">
        <v>34</v>
      </c>
      <c r="B41" s="113" t="s">
        <v>1707</v>
      </c>
      <c r="C41" s="173">
        <v>17420.3</v>
      </c>
      <c r="D41" s="173">
        <v>17550.900000000001</v>
      </c>
      <c r="E41" s="174">
        <v>17656.8</v>
      </c>
      <c r="F41" s="174">
        <v>17778.2</v>
      </c>
      <c r="G41" s="174">
        <v>17735</v>
      </c>
      <c r="H41" s="174">
        <v>17736.5</v>
      </c>
      <c r="I41" s="173">
        <v>18229.599999999999</v>
      </c>
      <c r="J41" s="174">
        <v>18296.5</v>
      </c>
      <c r="K41" s="173">
        <v>18282.599999999999</v>
      </c>
      <c r="L41" s="143">
        <v>18363.8</v>
      </c>
      <c r="M41" s="149">
        <v>18407.8</v>
      </c>
      <c r="N41" s="188">
        <v>18485.400000000001</v>
      </c>
      <c r="O41" s="132">
        <v>18595.400000000001</v>
      </c>
      <c r="P41" s="149">
        <v>18651.599999999999</v>
      </c>
      <c r="Q41" s="188">
        <v>18791.5</v>
      </c>
      <c r="R41" s="143">
        <v>18826.8</v>
      </c>
      <c r="S41" s="149">
        <v>18903</v>
      </c>
      <c r="T41" s="121">
        <v>19013.7</v>
      </c>
      <c r="U41" s="132">
        <v>19308.5</v>
      </c>
      <c r="V41" s="149">
        <v>19412.7</v>
      </c>
      <c r="W41" s="121">
        <v>19553.2</v>
      </c>
      <c r="X41" s="143">
        <v>19603.3</v>
      </c>
      <c r="Y41" s="149">
        <v>19697.3</v>
      </c>
      <c r="Z41" s="121">
        <v>19747.5</v>
      </c>
      <c r="AA41" s="143">
        <v>19866.3</v>
      </c>
      <c r="AB41" s="149">
        <v>19905</v>
      </c>
      <c r="AC41" s="155">
        <v>20044.099999999999</v>
      </c>
      <c r="AD41" s="143">
        <v>20123.2</v>
      </c>
      <c r="AE41" s="149">
        <v>20235.099999999999</v>
      </c>
      <c r="AF41" s="193">
        <v>20408.099999999999</v>
      </c>
      <c r="AG41" s="192">
        <v>20406.7</v>
      </c>
      <c r="AH41" s="117">
        <v>20518.900000000001</v>
      </c>
      <c r="AI41" s="1208">
        <v>20653.3</v>
      </c>
    </row>
    <row r="42" spans="1:37" ht="16.350000000000001" customHeight="1" x14ac:dyDescent="0.25">
      <c r="A42" s="162">
        <v>35</v>
      </c>
      <c r="B42" s="45" t="s">
        <v>1730</v>
      </c>
      <c r="C42" s="173">
        <v>5988.2</v>
      </c>
      <c r="D42" s="173">
        <v>5981.9</v>
      </c>
      <c r="E42" s="174">
        <v>5995.6</v>
      </c>
      <c r="F42" s="174">
        <v>6064.4</v>
      </c>
      <c r="G42" s="174">
        <v>5974.1</v>
      </c>
      <c r="H42" s="174">
        <v>5901.5</v>
      </c>
      <c r="I42" s="173">
        <v>6148.2</v>
      </c>
      <c r="J42" s="174">
        <v>6164.2</v>
      </c>
      <c r="K42" s="173">
        <v>6089.2</v>
      </c>
      <c r="L42" s="143">
        <v>6139.1</v>
      </c>
      <c r="M42" s="149">
        <v>6144.7</v>
      </c>
      <c r="N42" s="188">
        <v>6150.1</v>
      </c>
      <c r="O42" s="132">
        <v>6188.2</v>
      </c>
      <c r="P42" s="149">
        <v>6228.7</v>
      </c>
      <c r="Q42" s="188">
        <v>6278.4</v>
      </c>
      <c r="R42" s="143">
        <v>6250.7</v>
      </c>
      <c r="S42" s="149">
        <v>6242.4</v>
      </c>
      <c r="T42" s="121">
        <v>6273.8</v>
      </c>
      <c r="U42" s="132">
        <v>6115.8</v>
      </c>
      <c r="V42" s="149">
        <v>6134.2</v>
      </c>
      <c r="W42" s="121">
        <v>6196.5</v>
      </c>
      <c r="X42" s="143">
        <v>6186</v>
      </c>
      <c r="Y42" s="149">
        <v>6218.9</v>
      </c>
      <c r="Z42" s="121">
        <v>6209</v>
      </c>
      <c r="AA42" s="143">
        <v>6267.2</v>
      </c>
      <c r="AB42" s="149">
        <v>6229.2</v>
      </c>
      <c r="AC42" s="155">
        <v>6298.9</v>
      </c>
      <c r="AD42" s="143">
        <v>6292.9</v>
      </c>
      <c r="AE42" s="149">
        <v>6343.5</v>
      </c>
      <c r="AF42" s="193">
        <v>6428</v>
      </c>
      <c r="AG42" s="192">
        <v>6352.5</v>
      </c>
      <c r="AH42" s="117">
        <v>6394.2</v>
      </c>
      <c r="AI42" s="1208">
        <v>6448.8</v>
      </c>
    </row>
    <row r="43" spans="1:37" ht="16.350000000000001" customHeight="1" x14ac:dyDescent="0.25">
      <c r="A43" s="162">
        <v>36</v>
      </c>
      <c r="B43" s="84" t="s">
        <v>1774</v>
      </c>
      <c r="C43" s="173">
        <v>2189.5</v>
      </c>
      <c r="D43" s="173">
        <v>2197.8000000000002</v>
      </c>
      <c r="E43" s="174">
        <v>2200.1999999999998</v>
      </c>
      <c r="F43" s="174">
        <v>2238.9</v>
      </c>
      <c r="G43" s="174">
        <v>2167.3000000000002</v>
      </c>
      <c r="H43" s="174">
        <v>2134.9</v>
      </c>
      <c r="I43" s="173">
        <v>2213.6999999999998</v>
      </c>
      <c r="J43" s="174">
        <v>2203.6</v>
      </c>
      <c r="K43" s="173">
        <v>2167.3000000000002</v>
      </c>
      <c r="L43" s="143">
        <v>2183.6999999999998</v>
      </c>
      <c r="M43" s="149">
        <v>2202.8000000000002</v>
      </c>
      <c r="N43" s="188">
        <v>2194.1999999999998</v>
      </c>
      <c r="O43" s="132">
        <v>2206.9</v>
      </c>
      <c r="P43" s="149">
        <v>2193.1</v>
      </c>
      <c r="Q43" s="188">
        <v>2213.4</v>
      </c>
      <c r="R43" s="143">
        <v>2191.1</v>
      </c>
      <c r="S43" s="149">
        <v>2195.6999999999998</v>
      </c>
      <c r="T43" s="121">
        <v>2219.8000000000002</v>
      </c>
      <c r="U43" s="132">
        <v>2113</v>
      </c>
      <c r="V43" s="149">
        <v>2128.6</v>
      </c>
      <c r="W43" s="121">
        <v>2140.3000000000002</v>
      </c>
      <c r="X43" s="143">
        <v>2129.3000000000002</v>
      </c>
      <c r="Y43" s="149">
        <v>2151.6999999999998</v>
      </c>
      <c r="Z43" s="121">
        <v>2144.5</v>
      </c>
      <c r="AA43" s="143">
        <v>2170.9</v>
      </c>
      <c r="AB43" s="149">
        <v>2148.8000000000002</v>
      </c>
      <c r="AC43" s="155">
        <v>2185.6</v>
      </c>
      <c r="AD43" s="143">
        <v>2188.1</v>
      </c>
      <c r="AE43" s="149">
        <v>2237.4</v>
      </c>
      <c r="AF43" s="193">
        <v>2271</v>
      </c>
      <c r="AG43" s="192">
        <v>2180.8000000000002</v>
      </c>
      <c r="AH43" s="117">
        <v>2201.4</v>
      </c>
      <c r="AI43" s="1208">
        <v>2270.9</v>
      </c>
    </row>
    <row r="44" spans="1:37" ht="16.350000000000001" customHeight="1" x14ac:dyDescent="0.25">
      <c r="A44" s="162">
        <v>37</v>
      </c>
      <c r="B44" s="84" t="s">
        <v>1775</v>
      </c>
      <c r="C44" s="173">
        <v>3798.7</v>
      </c>
      <c r="D44" s="173">
        <v>3784.1</v>
      </c>
      <c r="E44" s="174">
        <v>3795.4</v>
      </c>
      <c r="F44" s="174">
        <v>3825.6</v>
      </c>
      <c r="G44" s="174">
        <v>3806.8</v>
      </c>
      <c r="H44" s="174">
        <v>3766.5</v>
      </c>
      <c r="I44" s="173">
        <v>3934.5</v>
      </c>
      <c r="J44" s="174">
        <v>3960.6</v>
      </c>
      <c r="K44" s="173">
        <v>3921.9</v>
      </c>
      <c r="L44" s="143">
        <v>3955.4</v>
      </c>
      <c r="M44" s="149">
        <v>3941.9</v>
      </c>
      <c r="N44" s="188">
        <v>3955.9</v>
      </c>
      <c r="O44" s="132">
        <v>3981.3</v>
      </c>
      <c r="P44" s="149">
        <v>4035.5</v>
      </c>
      <c r="Q44" s="188">
        <v>4065</v>
      </c>
      <c r="R44" s="143">
        <v>4059.7</v>
      </c>
      <c r="S44" s="149">
        <v>4046.7</v>
      </c>
      <c r="T44" s="121">
        <v>4054</v>
      </c>
      <c r="U44" s="132">
        <v>4002.8</v>
      </c>
      <c r="V44" s="149">
        <v>4005.6</v>
      </c>
      <c r="W44" s="121">
        <v>4056.2</v>
      </c>
      <c r="X44" s="143">
        <v>4056.7</v>
      </c>
      <c r="Y44" s="149">
        <v>4067.2</v>
      </c>
      <c r="Z44" s="121">
        <v>4064.5</v>
      </c>
      <c r="AA44" s="143">
        <v>4096.3</v>
      </c>
      <c r="AB44" s="149">
        <v>4080.4</v>
      </c>
      <c r="AC44" s="155">
        <v>4113.3</v>
      </c>
      <c r="AD44" s="143">
        <v>4104.8</v>
      </c>
      <c r="AE44" s="149">
        <v>4106.1000000000004</v>
      </c>
      <c r="AF44" s="118">
        <v>4157</v>
      </c>
      <c r="AG44" s="192">
        <v>4171.7</v>
      </c>
      <c r="AH44" s="117">
        <v>4192.8999999999996</v>
      </c>
      <c r="AI44" s="1208">
        <v>4177.8999999999996</v>
      </c>
    </row>
    <row r="45" spans="1:37" ht="16.350000000000001" customHeight="1" x14ac:dyDescent="0.25">
      <c r="A45" s="162">
        <v>38</v>
      </c>
      <c r="B45" s="45" t="s">
        <v>1731</v>
      </c>
      <c r="C45" s="173">
        <v>11432.1</v>
      </c>
      <c r="D45" s="173">
        <v>11568.9</v>
      </c>
      <c r="E45" s="174">
        <v>11661.2</v>
      </c>
      <c r="F45" s="174">
        <v>11713.7</v>
      </c>
      <c r="G45" s="174">
        <v>11760.9</v>
      </c>
      <c r="H45" s="174">
        <v>11835</v>
      </c>
      <c r="I45" s="173">
        <v>12081.4</v>
      </c>
      <c r="J45" s="174">
        <v>12132.4</v>
      </c>
      <c r="K45" s="173">
        <v>12193.4</v>
      </c>
      <c r="L45" s="143">
        <v>12224.7</v>
      </c>
      <c r="M45" s="149">
        <v>12263</v>
      </c>
      <c r="N45" s="188">
        <v>12335.3</v>
      </c>
      <c r="O45" s="132">
        <v>12407.2</v>
      </c>
      <c r="P45" s="149">
        <v>12422.9</v>
      </c>
      <c r="Q45" s="188">
        <v>12513</v>
      </c>
      <c r="R45" s="143">
        <v>12576.1</v>
      </c>
      <c r="S45" s="149">
        <v>12660.5</v>
      </c>
      <c r="T45" s="121">
        <v>12739.9</v>
      </c>
      <c r="U45" s="132">
        <v>13192.6</v>
      </c>
      <c r="V45" s="149">
        <v>13278.5</v>
      </c>
      <c r="W45" s="121">
        <v>13356.7</v>
      </c>
      <c r="X45" s="143">
        <v>13417.3</v>
      </c>
      <c r="Y45" s="149">
        <v>13478.5</v>
      </c>
      <c r="Z45" s="121">
        <v>13538.5</v>
      </c>
      <c r="AA45" s="143">
        <v>13599</v>
      </c>
      <c r="AB45" s="149">
        <v>13675.7</v>
      </c>
      <c r="AC45" s="155">
        <v>13745.2</v>
      </c>
      <c r="AD45" s="143">
        <v>13830.3</v>
      </c>
      <c r="AE45" s="149">
        <v>13891.6</v>
      </c>
      <c r="AF45" s="118">
        <v>13980.1</v>
      </c>
      <c r="AG45" s="192">
        <v>14054.2</v>
      </c>
      <c r="AH45" s="117">
        <v>14124.6</v>
      </c>
      <c r="AI45" s="1208">
        <v>14204.5</v>
      </c>
    </row>
    <row r="46" spans="1:37" ht="16.350000000000001" customHeight="1" x14ac:dyDescent="0.25">
      <c r="A46" s="162">
        <v>39</v>
      </c>
      <c r="B46" s="113" t="s">
        <v>1776</v>
      </c>
      <c r="C46" s="173">
        <v>338.7</v>
      </c>
      <c r="D46" s="173">
        <v>357.1</v>
      </c>
      <c r="E46" s="174">
        <v>375.6</v>
      </c>
      <c r="F46" s="174">
        <v>389.1</v>
      </c>
      <c r="G46" s="174">
        <v>402.6</v>
      </c>
      <c r="H46" s="174">
        <v>416.1</v>
      </c>
      <c r="I46" s="173">
        <v>415</v>
      </c>
      <c r="J46" s="174">
        <v>419.8</v>
      </c>
      <c r="K46" s="173">
        <v>424.7</v>
      </c>
      <c r="L46" s="143">
        <v>449.7</v>
      </c>
      <c r="M46" s="149">
        <v>474.7</v>
      </c>
      <c r="N46" s="188">
        <v>499.8</v>
      </c>
      <c r="O46" s="132">
        <v>510</v>
      </c>
      <c r="P46" s="149">
        <v>519</v>
      </c>
      <c r="Q46" s="188">
        <v>562.79999999999995</v>
      </c>
      <c r="R46" s="143">
        <v>547.29999999999995</v>
      </c>
      <c r="S46" s="149">
        <v>531.70000000000005</v>
      </c>
      <c r="T46" s="121">
        <v>516.1</v>
      </c>
      <c r="U46" s="132">
        <v>525.79999999999995</v>
      </c>
      <c r="V46" s="149">
        <v>534.4</v>
      </c>
      <c r="W46" s="121">
        <v>542.9</v>
      </c>
      <c r="X46" s="143">
        <v>547.29999999999995</v>
      </c>
      <c r="Y46" s="149">
        <v>551.70000000000005</v>
      </c>
      <c r="Z46" s="121">
        <v>556.1</v>
      </c>
      <c r="AA46" s="143">
        <v>558.29999999999995</v>
      </c>
      <c r="AB46" s="149">
        <v>560.5</v>
      </c>
      <c r="AC46" s="155">
        <v>562.70000000000005</v>
      </c>
      <c r="AD46" s="143">
        <v>560.4</v>
      </c>
      <c r="AE46" s="149">
        <v>558.20000000000005</v>
      </c>
      <c r="AF46" s="118">
        <v>556</v>
      </c>
      <c r="AG46" s="192">
        <v>557.70000000000005</v>
      </c>
      <c r="AH46" s="117">
        <v>559.4</v>
      </c>
      <c r="AI46" s="1208">
        <v>561.1</v>
      </c>
    </row>
    <row r="47" spans="1:37" x14ac:dyDescent="0.25">
      <c r="A47" s="162">
        <v>40</v>
      </c>
      <c r="B47" s="113" t="s">
        <v>1777</v>
      </c>
      <c r="C47" s="173">
        <v>224.4</v>
      </c>
      <c r="D47" s="173">
        <v>224.7</v>
      </c>
      <c r="E47" s="174">
        <v>225</v>
      </c>
      <c r="F47" s="174">
        <v>224.5</v>
      </c>
      <c r="G47" s="174">
        <v>224.7</v>
      </c>
      <c r="H47" s="174">
        <v>224.8</v>
      </c>
      <c r="I47" s="173">
        <v>242.4</v>
      </c>
      <c r="J47" s="174">
        <v>242.6</v>
      </c>
      <c r="K47" s="173">
        <v>242.8</v>
      </c>
      <c r="L47" s="143">
        <v>242.6</v>
      </c>
      <c r="M47" s="149">
        <v>242.9</v>
      </c>
      <c r="N47" s="188">
        <v>243.1</v>
      </c>
      <c r="O47" s="132">
        <v>246.1</v>
      </c>
      <c r="P47" s="149">
        <v>246.4</v>
      </c>
      <c r="Q47" s="188">
        <v>246.7</v>
      </c>
      <c r="R47" s="143">
        <v>248.8</v>
      </c>
      <c r="S47" s="149">
        <v>249.1</v>
      </c>
      <c r="T47" s="121">
        <v>249.5</v>
      </c>
      <c r="U47" s="132">
        <v>271</v>
      </c>
      <c r="V47" s="149">
        <v>271.39999999999998</v>
      </c>
      <c r="W47" s="121">
        <v>271.7</v>
      </c>
      <c r="X47" s="143">
        <v>272.7</v>
      </c>
      <c r="Y47" s="149">
        <v>273.10000000000002</v>
      </c>
      <c r="Z47" s="121">
        <v>273.5</v>
      </c>
      <c r="AA47" s="143">
        <v>274.2</v>
      </c>
      <c r="AB47" s="149">
        <v>274.7</v>
      </c>
      <c r="AC47" s="155">
        <v>275.10000000000002</v>
      </c>
      <c r="AD47" s="143">
        <v>276</v>
      </c>
      <c r="AE47" s="149">
        <v>276.5</v>
      </c>
      <c r="AF47" s="118">
        <v>277</v>
      </c>
      <c r="AG47" s="192">
        <v>247.6</v>
      </c>
      <c r="AH47" s="117">
        <v>274.5</v>
      </c>
      <c r="AI47" s="1208">
        <v>275</v>
      </c>
    </row>
    <row r="48" spans="1:37" x14ac:dyDescent="0.25">
      <c r="A48" s="162">
        <v>41</v>
      </c>
      <c r="B48" s="45" t="s">
        <v>1778</v>
      </c>
      <c r="C48" s="173">
        <v>116.1</v>
      </c>
      <c r="D48" s="173">
        <v>116.4</v>
      </c>
      <c r="E48" s="174">
        <v>116.7</v>
      </c>
      <c r="F48" s="174">
        <v>116.9</v>
      </c>
      <c r="G48" s="174">
        <v>117.1</v>
      </c>
      <c r="H48" s="174">
        <v>117.2</v>
      </c>
      <c r="I48" s="173">
        <v>129.5</v>
      </c>
      <c r="J48" s="174">
        <v>129.69999999999999</v>
      </c>
      <c r="K48" s="173">
        <v>129.9</v>
      </c>
      <c r="L48" s="143">
        <v>130.1</v>
      </c>
      <c r="M48" s="149">
        <v>130.4</v>
      </c>
      <c r="N48" s="188">
        <v>130.6</v>
      </c>
      <c r="O48" s="132">
        <v>130.9</v>
      </c>
      <c r="P48" s="149">
        <v>131.19999999999999</v>
      </c>
      <c r="Q48" s="188">
        <v>131.5</v>
      </c>
      <c r="R48" s="143">
        <v>131.80000000000001</v>
      </c>
      <c r="S48" s="149">
        <v>132.1</v>
      </c>
      <c r="T48" s="121">
        <v>132.5</v>
      </c>
      <c r="U48" s="132">
        <v>137.5</v>
      </c>
      <c r="V48" s="149">
        <v>137.9</v>
      </c>
      <c r="W48" s="121">
        <v>138.19999999999999</v>
      </c>
      <c r="X48" s="143">
        <v>138.6</v>
      </c>
      <c r="Y48" s="149">
        <v>139</v>
      </c>
      <c r="Z48" s="121">
        <v>139.4</v>
      </c>
      <c r="AA48" s="143">
        <v>139.80000000000001</v>
      </c>
      <c r="AB48" s="149">
        <v>140.19999999999999</v>
      </c>
      <c r="AC48" s="155">
        <v>140.69999999999999</v>
      </c>
      <c r="AD48" s="143">
        <v>141.19999999999999</v>
      </c>
      <c r="AE48" s="149">
        <v>141.69999999999999</v>
      </c>
      <c r="AF48" s="118">
        <v>142.19999999999999</v>
      </c>
      <c r="AG48" s="192">
        <v>142.80000000000001</v>
      </c>
      <c r="AH48" s="117">
        <v>143.30000000000001</v>
      </c>
      <c r="AI48" s="1208">
        <v>143.69999999999999</v>
      </c>
    </row>
    <row r="49" spans="1:35" x14ac:dyDescent="0.25">
      <c r="A49" s="162">
        <v>42</v>
      </c>
      <c r="B49" s="45" t="s">
        <v>1779</v>
      </c>
      <c r="C49" s="173">
        <v>108.3</v>
      </c>
      <c r="D49" s="173">
        <v>108.3</v>
      </c>
      <c r="E49" s="174">
        <v>108.3</v>
      </c>
      <c r="F49" s="174">
        <v>107.6</v>
      </c>
      <c r="G49" s="174">
        <v>107.6</v>
      </c>
      <c r="H49" s="174">
        <v>107.6</v>
      </c>
      <c r="I49" s="173">
        <v>112.9</v>
      </c>
      <c r="J49" s="174">
        <v>112.9</v>
      </c>
      <c r="K49" s="173">
        <v>112.9</v>
      </c>
      <c r="L49" s="143">
        <v>112.5</v>
      </c>
      <c r="M49" s="149">
        <v>112.5</v>
      </c>
      <c r="N49" s="188">
        <v>112.5</v>
      </c>
      <c r="O49" s="132">
        <v>115.2</v>
      </c>
      <c r="P49" s="149">
        <v>115.2</v>
      </c>
      <c r="Q49" s="188">
        <v>115.2</v>
      </c>
      <c r="R49" s="143">
        <v>117</v>
      </c>
      <c r="S49" s="149">
        <v>117</v>
      </c>
      <c r="T49" s="121">
        <v>117</v>
      </c>
      <c r="U49" s="132">
        <v>133.5</v>
      </c>
      <c r="V49" s="149">
        <v>133.5</v>
      </c>
      <c r="W49" s="121">
        <v>133.5</v>
      </c>
      <c r="X49" s="143">
        <v>134.1</v>
      </c>
      <c r="Y49" s="149">
        <v>134.1</v>
      </c>
      <c r="Z49" s="121">
        <v>134.1</v>
      </c>
      <c r="AA49" s="143">
        <v>134.4</v>
      </c>
      <c r="AB49" s="149">
        <v>134.4</v>
      </c>
      <c r="AC49" s="155">
        <v>134.4</v>
      </c>
      <c r="AD49" s="143">
        <v>134.80000000000001</v>
      </c>
      <c r="AE49" s="149">
        <v>134.80000000000001</v>
      </c>
      <c r="AF49" s="118">
        <v>134.80000000000001</v>
      </c>
      <c r="AG49" s="192">
        <v>104.8</v>
      </c>
      <c r="AH49" s="117">
        <v>131.19999999999999</v>
      </c>
      <c r="AI49" s="1208">
        <v>131.19999999999999</v>
      </c>
    </row>
    <row r="50" spans="1:35" x14ac:dyDescent="0.25">
      <c r="A50" s="162">
        <v>43</v>
      </c>
      <c r="B50" s="47" t="s">
        <v>244</v>
      </c>
      <c r="C50" s="171">
        <v>644.70000000000005</v>
      </c>
      <c r="D50" s="171">
        <v>606.4</v>
      </c>
      <c r="E50" s="172">
        <v>574.4</v>
      </c>
      <c r="F50" s="172">
        <v>577.4</v>
      </c>
      <c r="G50" s="172">
        <v>664.1</v>
      </c>
      <c r="H50" s="172">
        <v>702.3</v>
      </c>
      <c r="I50" s="171">
        <v>871.1</v>
      </c>
      <c r="J50" s="172">
        <v>926</v>
      </c>
      <c r="K50" s="171">
        <v>1047.5</v>
      </c>
      <c r="L50" s="142">
        <v>1042.5</v>
      </c>
      <c r="M50" s="148">
        <v>1060</v>
      </c>
      <c r="N50" s="187">
        <v>980.1</v>
      </c>
      <c r="O50" s="131">
        <v>890.7</v>
      </c>
      <c r="P50" s="148">
        <v>909.4</v>
      </c>
      <c r="Q50" s="187">
        <v>791.6</v>
      </c>
      <c r="R50" s="142">
        <v>781</v>
      </c>
      <c r="S50" s="148">
        <v>766</v>
      </c>
      <c r="T50" s="110">
        <v>732.3</v>
      </c>
      <c r="U50" s="131">
        <v>1173.5</v>
      </c>
      <c r="V50" s="148">
        <v>1146.2</v>
      </c>
      <c r="W50" s="110">
        <v>1124.5</v>
      </c>
      <c r="X50" s="142">
        <v>1098.0999999999999</v>
      </c>
      <c r="Y50" s="148">
        <v>1054.5999999999999</v>
      </c>
      <c r="Z50" s="110">
        <v>1030.5999999999999</v>
      </c>
      <c r="AA50" s="142">
        <v>931.9</v>
      </c>
      <c r="AB50" s="148">
        <v>904.3</v>
      </c>
      <c r="AC50" s="154">
        <v>830.7</v>
      </c>
      <c r="AD50" s="142">
        <v>870.6</v>
      </c>
      <c r="AE50" s="148">
        <v>813.8</v>
      </c>
      <c r="AF50" s="194">
        <v>724.1</v>
      </c>
      <c r="AG50" s="95">
        <v>871.8</v>
      </c>
      <c r="AH50" s="108">
        <v>906.9</v>
      </c>
      <c r="AI50" s="1209">
        <v>872.3</v>
      </c>
    </row>
    <row r="51" spans="1:35" x14ac:dyDescent="0.25">
      <c r="A51" s="163">
        <v>44</v>
      </c>
      <c r="B51" s="128" t="s">
        <v>1780</v>
      </c>
      <c r="C51" s="171">
        <v>3.5</v>
      </c>
      <c r="D51" s="171">
        <v>3.2</v>
      </c>
      <c r="E51" s="172">
        <v>3</v>
      </c>
      <c r="F51" s="172">
        <v>3</v>
      </c>
      <c r="G51" s="172">
        <v>3.5</v>
      </c>
      <c r="H51" s="172">
        <v>3.7</v>
      </c>
      <c r="I51" s="171">
        <v>4.4000000000000004</v>
      </c>
      <c r="J51" s="172">
        <v>4.7</v>
      </c>
      <c r="K51" s="171">
        <v>5.2</v>
      </c>
      <c r="L51" s="142">
        <v>5.2</v>
      </c>
      <c r="M51" s="148">
        <v>5.3</v>
      </c>
      <c r="N51" s="187">
        <v>4.8</v>
      </c>
      <c r="O51" s="131">
        <v>4.4000000000000004</v>
      </c>
      <c r="P51" s="148">
        <v>4.5</v>
      </c>
      <c r="Q51" s="187">
        <v>3.9</v>
      </c>
      <c r="R51" s="142">
        <v>3.8</v>
      </c>
      <c r="S51" s="148">
        <v>3.7</v>
      </c>
      <c r="T51" s="110">
        <v>3.6</v>
      </c>
      <c r="U51" s="131">
        <v>5.5</v>
      </c>
      <c r="V51" s="148">
        <v>5.4</v>
      </c>
      <c r="W51" s="110">
        <v>5.2</v>
      </c>
      <c r="X51" s="142">
        <v>5.0999999999999996</v>
      </c>
      <c r="Y51" s="148">
        <v>4.9000000000000004</v>
      </c>
      <c r="Z51" s="110">
        <v>4.8</v>
      </c>
      <c r="AA51" s="142">
        <v>4.3</v>
      </c>
      <c r="AB51" s="148">
        <v>4.2</v>
      </c>
      <c r="AC51" s="154">
        <v>3.8</v>
      </c>
      <c r="AD51" s="142">
        <v>4</v>
      </c>
      <c r="AE51" s="148">
        <v>3.7</v>
      </c>
      <c r="AF51" s="194">
        <v>3.3</v>
      </c>
      <c r="AG51" s="95">
        <v>3.9</v>
      </c>
      <c r="AH51" s="108">
        <v>4.0999999999999996</v>
      </c>
      <c r="AI51" s="1209">
        <v>3.9</v>
      </c>
    </row>
    <row r="52" spans="1:35" x14ac:dyDescent="0.25">
      <c r="A52" s="162"/>
      <c r="B52" s="47" t="s">
        <v>1732</v>
      </c>
      <c r="C52" s="171"/>
      <c r="D52" s="171"/>
      <c r="E52" s="172"/>
      <c r="F52" s="172"/>
      <c r="G52" s="172"/>
      <c r="H52" s="172"/>
      <c r="I52" s="171"/>
      <c r="J52" s="172"/>
      <c r="K52" s="171"/>
      <c r="L52" s="142"/>
      <c r="M52" s="148"/>
      <c r="N52" s="187"/>
      <c r="O52" s="131"/>
      <c r="P52" s="148"/>
      <c r="Q52" s="187"/>
      <c r="R52" s="142"/>
      <c r="S52" s="148"/>
      <c r="T52" s="110"/>
      <c r="U52" s="131"/>
      <c r="V52" s="148"/>
      <c r="W52" s="110"/>
      <c r="X52" s="142"/>
      <c r="Y52" s="148"/>
      <c r="Z52" s="110"/>
      <c r="AA52" s="142"/>
      <c r="AB52" s="148"/>
      <c r="AC52" s="154"/>
      <c r="AD52" s="142"/>
      <c r="AE52" s="148"/>
      <c r="AF52" s="193"/>
      <c r="AG52" s="192"/>
      <c r="AH52" s="117"/>
      <c r="AI52" s="1208"/>
    </row>
    <row r="53" spans="1:35" ht="30.95" customHeight="1" x14ac:dyDescent="0.25">
      <c r="A53" s="163">
        <v>45</v>
      </c>
      <c r="B53" s="128" t="s">
        <v>1781</v>
      </c>
      <c r="C53" s="171">
        <v>14559.1</v>
      </c>
      <c r="D53" s="171">
        <v>14618.2</v>
      </c>
      <c r="E53" s="172">
        <v>14653.2</v>
      </c>
      <c r="F53" s="172">
        <v>14618.1</v>
      </c>
      <c r="G53" s="172">
        <v>14607</v>
      </c>
      <c r="H53" s="172">
        <v>14604.2</v>
      </c>
      <c r="I53" s="171">
        <v>15496.1</v>
      </c>
      <c r="J53" s="172">
        <v>15529.2</v>
      </c>
      <c r="K53" s="171">
        <v>15596.8</v>
      </c>
      <c r="L53" s="142">
        <v>15592.2</v>
      </c>
      <c r="M53" s="148">
        <v>15622.4</v>
      </c>
      <c r="N53" s="187">
        <v>15638</v>
      </c>
      <c r="O53" s="131">
        <v>15691.7</v>
      </c>
      <c r="P53" s="148">
        <v>15726.6</v>
      </c>
      <c r="Q53" s="187">
        <v>15741.9</v>
      </c>
      <c r="R53" s="142">
        <v>15749.7</v>
      </c>
      <c r="S53" s="148">
        <v>15795.9</v>
      </c>
      <c r="T53" s="110">
        <v>15823.3</v>
      </c>
      <c r="U53" s="131">
        <v>16227.8</v>
      </c>
      <c r="V53" s="148">
        <v>16232.7</v>
      </c>
      <c r="W53" s="110">
        <v>16269.5</v>
      </c>
      <c r="X53" s="142">
        <v>16240.4</v>
      </c>
      <c r="Y53" s="148">
        <v>16291.7</v>
      </c>
      <c r="Z53" s="110">
        <v>16292.1</v>
      </c>
      <c r="AA53" s="142">
        <v>16281.1</v>
      </c>
      <c r="AB53" s="148">
        <v>16279.2</v>
      </c>
      <c r="AC53" s="154">
        <v>16283.1</v>
      </c>
      <c r="AD53" s="142">
        <v>16335.8</v>
      </c>
      <c r="AE53" s="148">
        <v>16376.8</v>
      </c>
      <c r="AF53" s="194">
        <v>16387.7</v>
      </c>
      <c r="AG53" s="95">
        <v>16391.2</v>
      </c>
      <c r="AH53" s="108">
        <v>16389.5</v>
      </c>
      <c r="AI53" s="1209">
        <v>16500.400000000001</v>
      </c>
    </row>
    <row r="54" spans="1:35" x14ac:dyDescent="0.25">
      <c r="A54" s="162"/>
      <c r="B54" s="199" t="s">
        <v>1782</v>
      </c>
      <c r="C54" s="171"/>
      <c r="D54" s="171"/>
      <c r="E54" s="172"/>
      <c r="F54" s="172"/>
      <c r="G54" s="172"/>
      <c r="H54" s="172"/>
      <c r="I54" s="171"/>
      <c r="J54" s="172"/>
      <c r="K54" s="171"/>
      <c r="L54" s="142"/>
      <c r="M54" s="148"/>
      <c r="N54" s="187"/>
      <c r="O54" s="131"/>
      <c r="P54" s="148"/>
      <c r="Q54" s="187"/>
      <c r="R54" s="142"/>
      <c r="S54" s="148"/>
      <c r="T54" s="110"/>
      <c r="U54" s="131"/>
      <c r="V54" s="148"/>
      <c r="W54" s="110"/>
      <c r="X54" s="142"/>
      <c r="Y54" s="148"/>
      <c r="Z54" s="110"/>
      <c r="AA54" s="142"/>
      <c r="AB54" s="148"/>
      <c r="AC54" s="154"/>
      <c r="AD54" s="142"/>
      <c r="AE54" s="148"/>
      <c r="AF54" s="193"/>
      <c r="AG54" s="192"/>
      <c r="AH54" s="117"/>
      <c r="AI54" s="1208"/>
    </row>
    <row r="55" spans="1:35" ht="16.350000000000001" customHeight="1" x14ac:dyDescent="0.25">
      <c r="A55" s="162">
        <v>46</v>
      </c>
      <c r="B55" s="202" t="s">
        <v>1783</v>
      </c>
      <c r="C55" s="173">
        <v>15100.2</v>
      </c>
      <c r="D55" s="173">
        <v>15149.6</v>
      </c>
      <c r="E55" s="174">
        <v>15172.2</v>
      </c>
      <c r="F55" s="174">
        <v>15218.9</v>
      </c>
      <c r="G55" s="174">
        <v>15238.7</v>
      </c>
      <c r="H55" s="174">
        <v>15250.6</v>
      </c>
      <c r="I55" s="173">
        <v>16601.900000000001</v>
      </c>
      <c r="J55" s="174">
        <v>16656.099999999999</v>
      </c>
      <c r="K55" s="173">
        <v>16730.2</v>
      </c>
      <c r="L55" s="143">
        <v>16763.900000000001</v>
      </c>
      <c r="M55" s="149">
        <v>16818.5</v>
      </c>
      <c r="N55" s="188">
        <v>16809.5</v>
      </c>
      <c r="O55" s="132">
        <v>16816.400000000001</v>
      </c>
      <c r="P55" s="149">
        <v>16826.2</v>
      </c>
      <c r="Q55" s="188">
        <v>16816.3</v>
      </c>
      <c r="R55" s="143">
        <v>16819.900000000001</v>
      </c>
      <c r="S55" s="149">
        <v>16859.599999999999</v>
      </c>
      <c r="T55" s="121">
        <v>16889.2</v>
      </c>
      <c r="U55" s="132">
        <v>17426.2</v>
      </c>
      <c r="V55" s="149">
        <v>17442.400000000001</v>
      </c>
      <c r="W55" s="121">
        <v>17486.900000000001</v>
      </c>
      <c r="X55" s="143">
        <v>17464.900000000001</v>
      </c>
      <c r="Y55" s="149">
        <v>17511.099999999999</v>
      </c>
      <c r="Z55" s="121">
        <v>17515.599999999999</v>
      </c>
      <c r="AA55" s="143">
        <v>17505</v>
      </c>
      <c r="AB55" s="149">
        <v>17494.599999999999</v>
      </c>
      <c r="AC55" s="155">
        <v>17519.599999999999</v>
      </c>
      <c r="AD55" s="143">
        <v>17568.5</v>
      </c>
      <c r="AE55" s="149">
        <v>17592.400000000001</v>
      </c>
      <c r="AF55" s="193">
        <v>17605.8</v>
      </c>
      <c r="AG55" s="192">
        <v>17635.400000000001</v>
      </c>
      <c r="AH55" s="117">
        <v>17697.2</v>
      </c>
      <c r="AI55" s="1208">
        <v>17786.099999999999</v>
      </c>
    </row>
    <row r="56" spans="1:35" x14ac:dyDescent="0.25">
      <c r="A56" s="162"/>
      <c r="B56" s="45" t="s">
        <v>1784</v>
      </c>
      <c r="C56" s="173"/>
      <c r="D56" s="173"/>
      <c r="E56" s="174"/>
      <c r="F56" s="174"/>
      <c r="G56" s="174"/>
      <c r="H56" s="174"/>
      <c r="I56" s="173"/>
      <c r="J56" s="174"/>
      <c r="K56" s="173"/>
      <c r="L56" s="143"/>
      <c r="M56" s="149"/>
      <c r="N56" s="188"/>
      <c r="O56" s="132"/>
      <c r="P56" s="149"/>
      <c r="Q56" s="188"/>
      <c r="R56" s="143"/>
      <c r="S56" s="149"/>
      <c r="T56" s="121"/>
      <c r="U56" s="132"/>
      <c r="V56" s="149"/>
      <c r="W56" s="121"/>
      <c r="X56" s="143"/>
      <c r="Y56" s="149"/>
      <c r="Z56" s="121"/>
      <c r="AA56" s="143"/>
      <c r="AB56" s="149"/>
      <c r="AC56" s="155"/>
      <c r="AD56" s="143"/>
      <c r="AE56" s="149"/>
      <c r="AF56" s="193"/>
      <c r="AG56" s="192"/>
      <c r="AH56" s="117"/>
      <c r="AI56" s="1208"/>
    </row>
    <row r="57" spans="1:35" x14ac:dyDescent="0.25">
      <c r="A57" s="162">
        <v>47</v>
      </c>
      <c r="B57" s="84" t="s">
        <v>1785</v>
      </c>
      <c r="C57" s="175">
        <v>55836</v>
      </c>
      <c r="D57" s="175">
        <v>56139</v>
      </c>
      <c r="E57" s="176">
        <v>56387</v>
      </c>
      <c r="F57" s="176">
        <v>56770</v>
      </c>
      <c r="G57" s="176">
        <v>56917</v>
      </c>
      <c r="H57" s="176">
        <v>57053</v>
      </c>
      <c r="I57" s="175">
        <v>59062</v>
      </c>
      <c r="J57" s="176">
        <v>59423</v>
      </c>
      <c r="K57" s="175">
        <v>59738</v>
      </c>
      <c r="L57" s="144">
        <v>60018</v>
      </c>
      <c r="M57" s="150">
        <v>60253</v>
      </c>
      <c r="N57" s="189">
        <v>60309</v>
      </c>
      <c r="O57" s="134">
        <v>60380</v>
      </c>
      <c r="P57" s="150">
        <v>60598</v>
      </c>
      <c r="Q57" s="189">
        <v>60762</v>
      </c>
      <c r="R57" s="144">
        <v>60767</v>
      </c>
      <c r="S57" s="150">
        <v>60876</v>
      </c>
      <c r="T57" s="126">
        <v>61033</v>
      </c>
      <c r="U57" s="134">
        <v>63293</v>
      </c>
      <c r="V57" s="150">
        <v>63527</v>
      </c>
      <c r="W57" s="126">
        <v>63885</v>
      </c>
      <c r="X57" s="144">
        <v>63947</v>
      </c>
      <c r="Y57" s="150">
        <v>64085</v>
      </c>
      <c r="Z57" s="126">
        <v>64149</v>
      </c>
      <c r="AA57" s="144">
        <v>63536</v>
      </c>
      <c r="AB57" s="150">
        <v>63541</v>
      </c>
      <c r="AC57" s="156">
        <v>63706</v>
      </c>
      <c r="AD57" s="144">
        <v>64018</v>
      </c>
      <c r="AE57" s="150">
        <v>64143</v>
      </c>
      <c r="AF57" s="193">
        <v>64354</v>
      </c>
      <c r="AG57" s="192">
        <v>64676</v>
      </c>
      <c r="AH57" s="117">
        <v>65165</v>
      </c>
      <c r="AI57" s="1208">
        <v>65437</v>
      </c>
    </row>
    <row r="58" spans="1:35" x14ac:dyDescent="0.25">
      <c r="A58" s="162">
        <v>48</v>
      </c>
      <c r="B58" s="84" t="s">
        <v>1786</v>
      </c>
      <c r="C58" s="175">
        <v>45261</v>
      </c>
      <c r="D58" s="175">
        <v>45385</v>
      </c>
      <c r="E58" s="176">
        <v>45429</v>
      </c>
      <c r="F58" s="176">
        <v>45546</v>
      </c>
      <c r="G58" s="176">
        <v>45586</v>
      </c>
      <c r="H58" s="176">
        <v>45603</v>
      </c>
      <c r="I58" s="175">
        <v>49627</v>
      </c>
      <c r="J58" s="176">
        <v>49774</v>
      </c>
      <c r="K58" s="175">
        <v>49978</v>
      </c>
      <c r="L58" s="144">
        <v>50060</v>
      </c>
      <c r="M58" s="150">
        <v>50203</v>
      </c>
      <c r="N58" s="189">
        <v>50166</v>
      </c>
      <c r="O58" s="134">
        <v>50161</v>
      </c>
      <c r="P58" s="150">
        <v>50163</v>
      </c>
      <c r="Q58" s="189">
        <v>50106</v>
      </c>
      <c r="R58" s="144">
        <v>50093</v>
      </c>
      <c r="S58" s="150">
        <v>50188</v>
      </c>
      <c r="T58" s="126">
        <v>50255</v>
      </c>
      <c r="U58" s="134">
        <v>51834</v>
      </c>
      <c r="V58" s="150">
        <v>51865</v>
      </c>
      <c r="W58" s="126">
        <v>51979</v>
      </c>
      <c r="X58" s="144">
        <v>51894</v>
      </c>
      <c r="Y58" s="150">
        <v>52010</v>
      </c>
      <c r="Z58" s="126">
        <v>52000</v>
      </c>
      <c r="AA58" s="144">
        <v>51418</v>
      </c>
      <c r="AB58" s="150">
        <v>51359</v>
      </c>
      <c r="AC58" s="156">
        <v>51404</v>
      </c>
      <c r="AD58" s="144">
        <v>51520</v>
      </c>
      <c r="AE58" s="150">
        <v>51565</v>
      </c>
      <c r="AF58" s="193">
        <v>51581</v>
      </c>
      <c r="AG58" s="192">
        <v>51648</v>
      </c>
      <c r="AH58" s="117">
        <v>51809</v>
      </c>
      <c r="AI58" s="1208">
        <v>52047</v>
      </c>
    </row>
    <row r="59" spans="1:35" ht="15" customHeight="1" x14ac:dyDescent="0.25">
      <c r="A59" s="164">
        <v>49</v>
      </c>
      <c r="B59" s="113" t="s">
        <v>1787</v>
      </c>
      <c r="C59" s="177">
        <v>333624</v>
      </c>
      <c r="D59" s="177">
        <v>333799</v>
      </c>
      <c r="E59" s="178">
        <v>333976</v>
      </c>
      <c r="F59" s="178">
        <v>334141</v>
      </c>
      <c r="G59" s="178">
        <v>334287</v>
      </c>
      <c r="H59" s="178">
        <v>334420</v>
      </c>
      <c r="I59" s="177">
        <v>334533</v>
      </c>
      <c r="J59" s="178">
        <v>334637</v>
      </c>
      <c r="K59" s="177">
        <v>334753</v>
      </c>
      <c r="L59" s="145">
        <v>334880</v>
      </c>
      <c r="M59" s="151">
        <v>335013</v>
      </c>
      <c r="N59" s="190">
        <v>335080</v>
      </c>
      <c r="O59" s="135">
        <v>335248</v>
      </c>
      <c r="P59" s="151">
        <v>335431</v>
      </c>
      <c r="Q59" s="190">
        <v>335612</v>
      </c>
      <c r="R59" s="145">
        <v>335773</v>
      </c>
      <c r="S59" s="151">
        <v>335925</v>
      </c>
      <c r="T59" s="127">
        <v>336070</v>
      </c>
      <c r="U59" s="135">
        <v>336194</v>
      </c>
      <c r="V59" s="151">
        <v>336306</v>
      </c>
      <c r="W59" s="127">
        <v>336423</v>
      </c>
      <c r="X59" s="145">
        <v>336550</v>
      </c>
      <c r="Y59" s="151">
        <v>336687</v>
      </c>
      <c r="Z59" s="127">
        <v>336839</v>
      </c>
      <c r="AA59" s="145">
        <v>340448</v>
      </c>
      <c r="AB59" s="151">
        <v>340637</v>
      </c>
      <c r="AC59" s="157">
        <v>340825</v>
      </c>
      <c r="AD59" s="144">
        <v>341002</v>
      </c>
      <c r="AE59" s="150">
        <v>341169</v>
      </c>
      <c r="AF59" s="193">
        <v>341320</v>
      </c>
      <c r="AG59" s="192">
        <v>341454</v>
      </c>
      <c r="AH59" s="117">
        <v>341588</v>
      </c>
      <c r="AI59" s="1208">
        <v>341729</v>
      </c>
    </row>
    <row r="60" spans="1:35" x14ac:dyDescent="0.25">
      <c r="A60" s="1262" t="s">
        <v>1788</v>
      </c>
      <c r="B60" s="1262"/>
      <c r="C60" s="1262"/>
      <c r="D60" s="1262"/>
      <c r="E60" s="1262"/>
      <c r="F60" s="1262"/>
      <c r="G60" s="1262"/>
      <c r="H60" s="1262"/>
      <c r="I60" s="1262"/>
      <c r="J60" s="1262"/>
      <c r="K60" s="167"/>
      <c r="L60" s="100"/>
      <c r="M60" s="137"/>
      <c r="N60" s="88"/>
      <c r="O60" s="100"/>
      <c r="P60" s="137"/>
      <c r="Q60" s="88"/>
      <c r="R60" s="100"/>
      <c r="S60" s="137"/>
      <c r="T60" s="88"/>
      <c r="U60" s="100"/>
      <c r="V60" s="137"/>
      <c r="W60" s="88"/>
      <c r="X60" s="100"/>
      <c r="Y60" s="137"/>
      <c r="Z60" s="88"/>
      <c r="AA60" s="100"/>
      <c r="AB60" s="137"/>
      <c r="AC60" s="88"/>
      <c r="AD60" s="100"/>
      <c r="AE60" s="137"/>
      <c r="AF60" s="193"/>
      <c r="AG60" s="192"/>
      <c r="AH60" s="117"/>
      <c r="AI60" s="1208"/>
    </row>
    <row r="61" spans="1:35" x14ac:dyDescent="0.25">
      <c r="A61" s="1245" t="s">
        <v>1789</v>
      </c>
      <c r="B61" s="1245"/>
      <c r="C61" s="1245"/>
      <c r="D61" s="1245"/>
      <c r="E61" s="1245"/>
      <c r="F61" s="1245"/>
      <c r="G61" s="1245"/>
      <c r="H61" s="1245"/>
      <c r="I61" s="1245"/>
      <c r="J61" s="1245"/>
      <c r="K61" s="111"/>
      <c r="L61" s="101"/>
      <c r="M61" s="138"/>
      <c r="N61" s="89"/>
      <c r="O61" s="101"/>
      <c r="P61" s="138"/>
      <c r="Q61" s="89"/>
      <c r="R61" s="101"/>
      <c r="S61" s="138"/>
      <c r="T61" s="89"/>
      <c r="U61" s="101"/>
      <c r="V61" s="138"/>
      <c r="W61" s="89"/>
      <c r="X61" s="101"/>
      <c r="Y61" s="138"/>
      <c r="Z61" s="89"/>
      <c r="AA61" s="101"/>
      <c r="AB61" s="138"/>
      <c r="AC61" s="89"/>
      <c r="AD61" s="101"/>
      <c r="AE61" s="138"/>
      <c r="AF61" s="193"/>
      <c r="AG61" s="192"/>
      <c r="AH61" s="117"/>
      <c r="AI61" s="1208"/>
    </row>
    <row r="62" spans="1:35" x14ac:dyDescent="0.25">
      <c r="A62" s="1245" t="s">
        <v>1790</v>
      </c>
      <c r="B62" s="1245"/>
      <c r="C62" s="1245"/>
      <c r="D62" s="1245"/>
      <c r="E62" s="1245"/>
      <c r="F62" s="1245"/>
      <c r="G62" s="1245"/>
      <c r="H62" s="1245"/>
      <c r="I62" s="1245"/>
      <c r="J62" s="1245"/>
      <c r="K62" s="111"/>
      <c r="L62" s="101"/>
      <c r="M62" s="138"/>
      <c r="N62" s="89"/>
      <c r="O62" s="101"/>
      <c r="P62" s="138"/>
      <c r="Q62" s="89"/>
      <c r="R62" s="101"/>
      <c r="S62" s="138"/>
      <c r="T62" s="89"/>
      <c r="U62" s="101"/>
      <c r="V62" s="138"/>
      <c r="W62" s="89"/>
      <c r="X62" s="101"/>
      <c r="Y62" s="138"/>
      <c r="Z62" s="89"/>
      <c r="AA62" s="101"/>
      <c r="AB62" s="138"/>
      <c r="AC62" s="89"/>
      <c r="AD62" s="101"/>
      <c r="AE62" s="138"/>
      <c r="AF62" s="193"/>
      <c r="AG62" s="192"/>
      <c r="AH62" s="117"/>
      <c r="AI62" s="1208"/>
    </row>
    <row r="63" spans="1:35" x14ac:dyDescent="0.25">
      <c r="A63" s="1245" t="s">
        <v>1791</v>
      </c>
      <c r="B63" s="1245"/>
      <c r="C63" s="1245"/>
      <c r="D63" s="1245"/>
      <c r="E63" s="1245"/>
      <c r="F63" s="1245"/>
      <c r="G63" s="1245"/>
      <c r="H63" s="1245"/>
      <c r="I63" s="1245"/>
      <c r="J63" s="1245"/>
      <c r="K63" s="111"/>
      <c r="L63" s="101"/>
      <c r="M63" s="138"/>
      <c r="N63" s="89"/>
      <c r="O63" s="101"/>
      <c r="P63" s="138"/>
      <c r="Q63" s="89"/>
      <c r="R63" s="101"/>
      <c r="S63" s="138"/>
      <c r="T63" s="89"/>
      <c r="U63" s="101"/>
      <c r="V63" s="138"/>
      <c r="W63" s="89"/>
      <c r="X63" s="101"/>
      <c r="Y63" s="138"/>
      <c r="Z63" s="89"/>
      <c r="AA63" s="101"/>
      <c r="AB63" s="138"/>
      <c r="AC63" s="89"/>
      <c r="AD63" s="101"/>
      <c r="AE63" s="138"/>
      <c r="AF63" s="193"/>
      <c r="AG63" s="192"/>
      <c r="AH63" s="117"/>
      <c r="AI63" s="1208"/>
    </row>
    <row r="64" spans="1:35" x14ac:dyDescent="0.25">
      <c r="A64" s="1245" t="s">
        <v>1792</v>
      </c>
      <c r="B64" s="1245"/>
      <c r="C64" s="1245"/>
      <c r="D64" s="1245"/>
      <c r="E64" s="1245"/>
      <c r="F64" s="1245"/>
      <c r="G64" s="1245"/>
      <c r="H64" s="1245"/>
      <c r="I64" s="1245"/>
      <c r="J64" s="1245"/>
      <c r="K64" s="111"/>
      <c r="L64" s="101"/>
      <c r="M64" s="138"/>
      <c r="N64" s="89"/>
      <c r="O64" s="101"/>
      <c r="P64" s="138"/>
      <c r="Q64" s="89"/>
      <c r="R64" s="101"/>
      <c r="S64" s="138"/>
      <c r="T64" s="89"/>
      <c r="U64" s="101"/>
      <c r="V64" s="138"/>
      <c r="W64" s="89"/>
      <c r="X64" s="101"/>
      <c r="Y64" s="138"/>
      <c r="Z64" s="89"/>
      <c r="AA64" s="101"/>
      <c r="AB64" s="138"/>
      <c r="AC64" s="89"/>
      <c r="AD64" s="101"/>
      <c r="AE64" s="138"/>
      <c r="AF64" s="193"/>
      <c r="AG64" s="192"/>
      <c r="AH64" s="117"/>
      <c r="AI64" s="1208"/>
    </row>
    <row r="65" spans="1:35" x14ac:dyDescent="0.25">
      <c r="A65" s="1245" t="s">
        <v>1793</v>
      </c>
      <c r="B65" s="1245"/>
      <c r="C65" s="1245"/>
      <c r="D65" s="1245"/>
      <c r="E65" s="1245"/>
      <c r="F65" s="1245"/>
      <c r="G65" s="1245"/>
      <c r="H65" s="1245"/>
      <c r="I65" s="1245"/>
      <c r="J65" s="1245"/>
      <c r="K65" s="111"/>
      <c r="L65" s="101"/>
      <c r="M65" s="138"/>
      <c r="N65" s="89"/>
      <c r="O65" s="101"/>
      <c r="P65" s="138"/>
      <c r="Q65" s="89"/>
      <c r="R65" s="101"/>
      <c r="S65" s="138"/>
      <c r="T65" s="89"/>
      <c r="U65" s="101"/>
      <c r="V65" s="138"/>
      <c r="W65" s="89"/>
      <c r="X65" s="101"/>
      <c r="Y65" s="138"/>
      <c r="Z65" s="89"/>
      <c r="AA65" s="101"/>
      <c r="AB65" s="138"/>
      <c r="AC65" s="89"/>
      <c r="AD65" s="101"/>
      <c r="AE65" s="138"/>
      <c r="AF65" s="193"/>
      <c r="AG65" s="192"/>
      <c r="AH65" s="117"/>
      <c r="AI65" s="1208"/>
    </row>
    <row r="66" spans="1:35" ht="14.45" customHeight="1" x14ac:dyDescent="0.25">
      <c r="A66" s="1245" t="s">
        <v>1794</v>
      </c>
      <c r="B66" s="1245"/>
      <c r="C66" s="1245"/>
      <c r="D66" s="1245"/>
      <c r="E66" s="1245"/>
      <c r="F66" s="1245"/>
      <c r="G66" s="1245"/>
      <c r="H66" s="1245"/>
      <c r="I66" s="1245"/>
      <c r="J66" s="1245"/>
      <c r="K66" s="111"/>
      <c r="L66" s="101"/>
      <c r="M66" s="138"/>
      <c r="N66" s="89"/>
      <c r="O66" s="101"/>
      <c r="P66" s="138"/>
      <c r="Q66" s="89"/>
      <c r="R66" s="101"/>
      <c r="S66" s="138"/>
      <c r="T66" s="89"/>
      <c r="U66" s="101"/>
      <c r="V66" s="138"/>
      <c r="W66" s="89"/>
      <c r="X66" s="101"/>
      <c r="Y66" s="138"/>
      <c r="Z66" s="89"/>
      <c r="AA66" s="101"/>
      <c r="AB66" s="138"/>
      <c r="AC66" s="89"/>
      <c r="AD66" s="101"/>
      <c r="AE66" s="138"/>
      <c r="AF66" s="193"/>
      <c r="AG66" s="192"/>
      <c r="AH66" s="117"/>
      <c r="AI66" s="1208"/>
    </row>
    <row r="67" spans="1:35" ht="14.45" customHeight="1" x14ac:dyDescent="0.25">
      <c r="A67" s="1246" t="s">
        <v>1795</v>
      </c>
      <c r="B67" s="1246"/>
      <c r="C67" s="1246"/>
      <c r="D67" s="1246"/>
      <c r="E67" s="1246"/>
      <c r="F67" s="1246"/>
      <c r="G67" s="1246"/>
      <c r="H67" s="1246"/>
      <c r="I67" s="1246"/>
      <c r="J67" s="1246"/>
      <c r="K67" s="112"/>
      <c r="L67" s="102"/>
      <c r="M67" s="158"/>
      <c r="N67" s="90"/>
      <c r="O67" s="102"/>
      <c r="P67" s="158"/>
      <c r="Q67" s="90"/>
      <c r="R67" s="102"/>
      <c r="S67" s="158"/>
      <c r="T67" s="90"/>
      <c r="U67" s="102"/>
      <c r="V67" s="158"/>
      <c r="W67" s="90"/>
      <c r="X67" s="102"/>
      <c r="Y67" s="158"/>
      <c r="Z67" s="90"/>
      <c r="AA67" s="102"/>
      <c r="AB67" s="158"/>
      <c r="AC67" s="90"/>
      <c r="AD67" s="102"/>
      <c r="AE67" s="158"/>
      <c r="AF67" s="193"/>
      <c r="AG67" s="192"/>
      <c r="AH67" s="117"/>
      <c r="AI67" s="1208"/>
    </row>
    <row r="68" spans="1:35" ht="14.45" customHeight="1" x14ac:dyDescent="0.25">
      <c r="A68" s="1247" t="s">
        <v>246</v>
      </c>
      <c r="B68" s="1247"/>
      <c r="C68" s="1247"/>
      <c r="D68" s="1247"/>
      <c r="E68" s="1247"/>
      <c r="F68" s="1247"/>
      <c r="G68" s="1247"/>
      <c r="H68" s="1247"/>
      <c r="I68" s="1247"/>
      <c r="J68" s="1247"/>
      <c r="K68" s="113"/>
      <c r="L68" s="103"/>
      <c r="M68" s="159"/>
      <c r="N68" s="91"/>
      <c r="O68" s="103"/>
      <c r="P68" s="159"/>
      <c r="Q68" s="91"/>
      <c r="R68" s="103"/>
      <c r="S68" s="159"/>
      <c r="T68" s="91"/>
      <c r="U68" s="103"/>
      <c r="V68" s="159"/>
      <c r="W68" s="91"/>
      <c r="X68" s="103"/>
      <c r="Y68" s="159"/>
      <c r="Z68" s="91"/>
      <c r="AA68" s="103"/>
      <c r="AB68" s="159"/>
      <c r="AC68" s="91"/>
      <c r="AD68" s="103"/>
      <c r="AE68" s="159"/>
      <c r="AF68" s="193"/>
      <c r="AG68" s="192"/>
      <c r="AH68" s="117"/>
      <c r="AI68" s="1208"/>
    </row>
    <row r="69" spans="1:35" x14ac:dyDescent="0.25">
      <c r="A69" s="1244" t="s">
        <v>880</v>
      </c>
      <c r="B69" s="1244"/>
      <c r="C69" s="1244"/>
      <c r="D69" s="1244"/>
      <c r="E69" s="1244"/>
      <c r="F69" s="1244"/>
      <c r="G69" s="1244"/>
    </row>
    <row r="70" spans="1:35" x14ac:dyDescent="0.25">
      <c r="A70" s="1248" t="s">
        <v>881</v>
      </c>
      <c r="B70" s="1248"/>
      <c r="C70" s="1248"/>
      <c r="D70" s="1248"/>
      <c r="E70" s="1248"/>
      <c r="F70" s="1248"/>
      <c r="G70" s="1248"/>
    </row>
    <row r="71" spans="1:35" x14ac:dyDescent="0.25">
      <c r="A71" s="1243" t="s">
        <v>882</v>
      </c>
      <c r="B71" s="1243"/>
      <c r="C71" s="1243"/>
      <c r="D71" s="1243"/>
      <c r="E71" s="1243"/>
      <c r="F71" s="1243"/>
      <c r="G71" s="1243"/>
    </row>
    <row r="72" spans="1:35" x14ac:dyDescent="0.25">
      <c r="A72" s="1242" t="s">
        <v>883</v>
      </c>
      <c r="B72" s="1242"/>
      <c r="C72" s="1242"/>
      <c r="D72" s="1242"/>
      <c r="E72" s="1242"/>
      <c r="F72" s="1242"/>
      <c r="G72" s="1242"/>
    </row>
    <row r="73" spans="1:35" x14ac:dyDescent="0.25">
      <c r="A73" s="1242" t="s">
        <v>884</v>
      </c>
      <c r="B73" s="1242"/>
      <c r="C73" s="1242"/>
      <c r="D73" s="1242"/>
      <c r="E73" s="1242"/>
      <c r="F73" s="1242"/>
      <c r="G73" s="1242"/>
    </row>
    <row r="74" spans="1:35" x14ac:dyDescent="0.25">
      <c r="A74" s="1243" t="s">
        <v>885</v>
      </c>
      <c r="B74" s="1243"/>
      <c r="C74" s="1243"/>
      <c r="D74" s="1243"/>
      <c r="E74" s="1243"/>
      <c r="F74" s="1243"/>
      <c r="G74" s="1243"/>
    </row>
    <row r="76" spans="1:35" x14ac:dyDescent="0.25">
      <c r="A76" s="1244" t="s">
        <v>886</v>
      </c>
      <c r="B76" s="1244"/>
      <c r="C76" s="1244"/>
      <c r="D76" s="1244"/>
      <c r="E76" s="1244"/>
      <c r="F76" s="1244"/>
      <c r="G76" s="1244"/>
    </row>
    <row r="78" spans="1:35" x14ac:dyDescent="0.25">
      <c r="A78" s="56" t="s">
        <v>245</v>
      </c>
    </row>
    <row r="80" spans="1:35" x14ac:dyDescent="0.25">
      <c r="A80" s="56" t="s">
        <v>246</v>
      </c>
    </row>
    <row r="82" spans="1:36" x14ac:dyDescent="0.25">
      <c r="A82" t="s">
        <v>876</v>
      </c>
      <c r="B82" t="s">
        <v>877</v>
      </c>
      <c r="C82" s="166">
        <v>44743</v>
      </c>
      <c r="D82" s="166">
        <v>44774</v>
      </c>
      <c r="E82" s="166">
        <v>44805</v>
      </c>
      <c r="F82" s="166">
        <v>44835</v>
      </c>
      <c r="G82" s="166">
        <v>44866</v>
      </c>
      <c r="H82" s="166">
        <v>44896</v>
      </c>
      <c r="I82" s="166">
        <v>44927</v>
      </c>
      <c r="J82" s="166">
        <v>44958</v>
      </c>
      <c r="K82" s="166">
        <v>44986</v>
      </c>
      <c r="L82" s="104">
        <v>45017</v>
      </c>
      <c r="M82" s="160">
        <v>45047</v>
      </c>
      <c r="N82" s="92">
        <v>45078</v>
      </c>
      <c r="O82" s="104">
        <v>45108</v>
      </c>
      <c r="P82" s="160">
        <v>45139</v>
      </c>
      <c r="Q82" s="92">
        <v>45170</v>
      </c>
      <c r="R82" s="104">
        <v>45200</v>
      </c>
      <c r="S82" s="160">
        <v>45231</v>
      </c>
      <c r="T82" s="92">
        <v>45261</v>
      </c>
      <c r="U82" s="104">
        <v>45292</v>
      </c>
      <c r="V82" s="160">
        <v>45323</v>
      </c>
      <c r="W82" s="92">
        <v>45352</v>
      </c>
      <c r="X82" s="104">
        <v>45383</v>
      </c>
      <c r="Y82" s="160">
        <v>45413</v>
      </c>
      <c r="Z82" s="92">
        <v>45444</v>
      </c>
      <c r="AA82" s="104">
        <v>45474</v>
      </c>
      <c r="AB82" s="160">
        <v>45505</v>
      </c>
      <c r="AC82" s="92">
        <v>45536</v>
      </c>
      <c r="AD82" s="104">
        <v>45566</v>
      </c>
      <c r="AE82" s="160">
        <v>45597</v>
      </c>
      <c r="AF82" s="92">
        <v>45627</v>
      </c>
      <c r="AG82" s="104">
        <v>45658</v>
      </c>
      <c r="AH82" s="160">
        <v>45689</v>
      </c>
      <c r="AI82" s="92">
        <v>45717</v>
      </c>
    </row>
    <row r="83" spans="1:36" x14ac:dyDescent="0.25">
      <c r="A83" s="180" t="s">
        <v>1899</v>
      </c>
      <c r="B83" t="s">
        <v>394</v>
      </c>
      <c r="C83">
        <v>5140</v>
      </c>
      <c r="D83">
        <v>5146</v>
      </c>
      <c r="E83">
        <v>5148</v>
      </c>
      <c r="F83">
        <v>5139</v>
      </c>
      <c r="G83">
        <v>5162</v>
      </c>
      <c r="H83">
        <v>5136</v>
      </c>
      <c r="I83">
        <v>5199</v>
      </c>
      <c r="J83">
        <v>5219</v>
      </c>
      <c r="K83">
        <v>5235</v>
      </c>
      <c r="L83" s="192">
        <v>5251</v>
      </c>
      <c r="M83" s="117">
        <v>5272</v>
      </c>
      <c r="N83" s="193">
        <v>5294</v>
      </c>
      <c r="O83" s="192">
        <v>5303</v>
      </c>
      <c r="P83" s="117">
        <v>5324</v>
      </c>
      <c r="Q83" s="193">
        <v>5337</v>
      </c>
      <c r="R83" s="192">
        <v>5359</v>
      </c>
      <c r="S83" s="117">
        <v>5366</v>
      </c>
      <c r="T83" s="193">
        <v>5378</v>
      </c>
      <c r="U83" s="192">
        <v>5390</v>
      </c>
      <c r="V83" s="117">
        <v>5404</v>
      </c>
      <c r="W83" s="193">
        <v>5414</v>
      </c>
      <c r="X83" s="192">
        <v>5418</v>
      </c>
      <c r="Y83" s="117">
        <v>5420</v>
      </c>
      <c r="Z83" s="193">
        <v>5429</v>
      </c>
      <c r="AA83" s="192">
        <v>5444</v>
      </c>
      <c r="AB83" s="117">
        <v>5453</v>
      </c>
      <c r="AC83" s="193">
        <v>5468</v>
      </c>
      <c r="AD83" s="192">
        <v>5484</v>
      </c>
      <c r="AE83" s="117">
        <v>5493</v>
      </c>
      <c r="AF83" s="193">
        <v>5512</v>
      </c>
      <c r="AG83" s="192">
        <v>5524</v>
      </c>
      <c r="AH83" s="117">
        <v>5520</v>
      </c>
      <c r="AI83" s="193">
        <v>5526</v>
      </c>
    </row>
    <row r="84" spans="1:36" x14ac:dyDescent="0.25">
      <c r="A84" t="s">
        <v>396</v>
      </c>
      <c r="B84" t="s">
        <v>395</v>
      </c>
      <c r="C84">
        <v>14280</v>
      </c>
      <c r="D84">
        <v>14264</v>
      </c>
      <c r="E84">
        <v>14269</v>
      </c>
      <c r="F84">
        <v>14301</v>
      </c>
      <c r="G84">
        <v>14337</v>
      </c>
      <c r="H84">
        <v>14364</v>
      </c>
      <c r="I84">
        <v>14411</v>
      </c>
      <c r="J84">
        <v>14439</v>
      </c>
      <c r="K84">
        <v>14453</v>
      </c>
      <c r="L84" s="192">
        <v>14478</v>
      </c>
      <c r="M84" s="117">
        <v>14509</v>
      </c>
      <c r="N84" s="193">
        <v>14565</v>
      </c>
      <c r="O84" s="192">
        <v>14589</v>
      </c>
      <c r="P84" s="117">
        <v>14603</v>
      </c>
      <c r="Q84" s="193">
        <v>14653</v>
      </c>
      <c r="R84" s="192">
        <v>14693</v>
      </c>
      <c r="S84" s="117">
        <v>14728</v>
      </c>
      <c r="T84" s="193">
        <v>14763</v>
      </c>
      <c r="U84" s="192">
        <v>14786</v>
      </c>
      <c r="V84" s="117">
        <v>14835</v>
      </c>
      <c r="W84" s="193">
        <v>14890</v>
      </c>
      <c r="X84" s="192">
        <v>14877</v>
      </c>
      <c r="Y84" s="117">
        <v>14905</v>
      </c>
      <c r="Z84" s="193">
        <v>14915</v>
      </c>
      <c r="AA84" s="192">
        <v>14946</v>
      </c>
      <c r="AB84" s="117">
        <v>14973</v>
      </c>
      <c r="AC84" s="193">
        <v>14986</v>
      </c>
      <c r="AD84" s="192">
        <v>15012</v>
      </c>
      <c r="AE84" s="117">
        <v>15022</v>
      </c>
      <c r="AF84" s="193">
        <v>15036</v>
      </c>
      <c r="AG84" s="192">
        <v>15053</v>
      </c>
      <c r="AH84" s="117">
        <v>15069</v>
      </c>
      <c r="AI84" s="193">
        <v>15086</v>
      </c>
    </row>
    <row r="85" spans="1:36" x14ac:dyDescent="0.25">
      <c r="B85" t="s">
        <v>1891</v>
      </c>
      <c r="C85">
        <f>'Federal and State Purchases'!V40</f>
        <v>19420</v>
      </c>
      <c r="D85">
        <f>'Federal and State Purchases'!W40</f>
        <v>19410</v>
      </c>
      <c r="E85">
        <f>'Federal and State Purchases'!X40</f>
        <v>19417</v>
      </c>
      <c r="F85">
        <f>'Federal and State Purchases'!Y40</f>
        <v>19440</v>
      </c>
      <c r="G85">
        <f>'Federal and State Purchases'!Z40</f>
        <v>19499</v>
      </c>
      <c r="H85">
        <f>'Federal and State Purchases'!AA40</f>
        <v>19500</v>
      </c>
      <c r="I85">
        <f>'Federal and State Purchases'!AB40</f>
        <v>19610</v>
      </c>
      <c r="J85">
        <f>'Federal and State Purchases'!AC40</f>
        <v>19658</v>
      </c>
      <c r="K85">
        <f>'Federal and State Purchases'!AD40</f>
        <v>19688</v>
      </c>
      <c r="L85" s="192">
        <f>'Federal and State Purchases'!AE40</f>
        <v>19729</v>
      </c>
      <c r="M85" s="117">
        <f>'Federal and State Purchases'!AF40</f>
        <v>19781</v>
      </c>
      <c r="N85" s="193">
        <f>'Federal and State Purchases'!AG40</f>
        <v>19859</v>
      </c>
      <c r="O85" s="192">
        <f>'Federal and State Purchases'!AH40</f>
        <v>19892</v>
      </c>
      <c r="P85" s="117">
        <f>'Federal and State Purchases'!AI40</f>
        <v>19927</v>
      </c>
      <c r="Q85" s="193">
        <f>'Federal and State Purchases'!AJ40</f>
        <v>19990</v>
      </c>
      <c r="R85" s="192">
        <f>'Federal and State Purchases'!AK40</f>
        <v>20052</v>
      </c>
      <c r="S85" s="117">
        <f>'Federal and State Purchases'!AL40</f>
        <v>20094</v>
      </c>
      <c r="T85" s="193">
        <f>'Federal and State Purchases'!AM40</f>
        <v>20141</v>
      </c>
      <c r="U85" s="192">
        <f>'Federal and State Purchases'!AN40</f>
        <v>20176</v>
      </c>
      <c r="V85" s="117">
        <f>'Federal and State Purchases'!AO40</f>
        <v>20239</v>
      </c>
      <c r="W85" s="193">
        <f>'Federal and State Purchases'!AP40</f>
        <v>20304</v>
      </c>
      <c r="X85" s="192">
        <f>'Federal and State Purchases'!AQ40</f>
        <v>20295</v>
      </c>
      <c r="Y85" s="117">
        <f>'Federal and State Purchases'!AR40</f>
        <v>20325</v>
      </c>
      <c r="Z85" s="193">
        <f>'Federal and State Purchases'!AS40</f>
        <v>20344</v>
      </c>
      <c r="AA85" s="192">
        <f>'Federal and State Purchases'!AT40</f>
        <v>20390</v>
      </c>
      <c r="AB85" s="117">
        <f>'Federal and State Purchases'!AU40</f>
        <v>20426</v>
      </c>
      <c r="AC85" s="193">
        <f>'Federal and State Purchases'!AV40</f>
        <v>20454</v>
      </c>
      <c r="AD85" s="192">
        <f>'Federal and State Purchases'!AW40</f>
        <v>20496</v>
      </c>
      <c r="AE85" s="117">
        <f>'Federal and State Purchases'!AX40</f>
        <v>20515</v>
      </c>
      <c r="AF85" s="193">
        <f>'Federal and State Purchases'!AY40</f>
        <v>20548</v>
      </c>
      <c r="AG85" s="192">
        <f>'Federal and State Purchases'!AZ40</f>
        <v>20577</v>
      </c>
      <c r="AH85" s="117">
        <f>'Federal and State Purchases'!BA40</f>
        <v>20589</v>
      </c>
      <c r="AI85" s="193">
        <f>'Federal and State Purchases'!BB40</f>
        <v>20612</v>
      </c>
    </row>
    <row r="86" spans="1:36" x14ac:dyDescent="0.25">
      <c r="A86" t="s">
        <v>398</v>
      </c>
      <c r="B86" t="s">
        <v>397</v>
      </c>
      <c r="C86">
        <v>350972</v>
      </c>
      <c r="D86">
        <v>350286</v>
      </c>
      <c r="E86">
        <v>355116</v>
      </c>
      <c r="F86">
        <v>354474</v>
      </c>
      <c r="G86">
        <v>359543</v>
      </c>
      <c r="H86">
        <v>361033</v>
      </c>
      <c r="I86">
        <v>364867</v>
      </c>
      <c r="J86">
        <v>371673</v>
      </c>
      <c r="K86">
        <v>374555</v>
      </c>
      <c r="L86">
        <v>382073</v>
      </c>
      <c r="M86">
        <v>388978</v>
      </c>
      <c r="N86">
        <v>396538</v>
      </c>
      <c r="O86">
        <v>404059</v>
      </c>
      <c r="P86">
        <v>407847</v>
      </c>
      <c r="Q86">
        <v>418897</v>
      </c>
      <c r="R86">
        <v>432334</v>
      </c>
      <c r="S86">
        <v>440095</v>
      </c>
      <c r="T86">
        <v>446894</v>
      </c>
      <c r="U86">
        <v>445408</v>
      </c>
      <c r="V86">
        <v>448458</v>
      </c>
      <c r="W86">
        <v>453062</v>
      </c>
      <c r="X86">
        <v>451154</v>
      </c>
      <c r="Y86">
        <v>450559</v>
      </c>
      <c r="Z86">
        <v>452201</v>
      </c>
      <c r="AA86">
        <v>456588</v>
      </c>
      <c r="AB86">
        <v>458308</v>
      </c>
      <c r="AC86">
        <v>466887</v>
      </c>
      <c r="AD86">
        <v>468844</v>
      </c>
      <c r="AE86">
        <v>469357</v>
      </c>
      <c r="AF86">
        <v>469232</v>
      </c>
      <c r="AG86">
        <v>468748</v>
      </c>
    </row>
    <row r="87" spans="1:36" x14ac:dyDescent="0.25">
      <c r="C87" s="75"/>
      <c r="D87" s="75"/>
      <c r="E87" s="75"/>
      <c r="F87" s="75"/>
      <c r="G87" s="75"/>
      <c r="H87" s="75"/>
      <c r="I87" s="75"/>
      <c r="J87" s="75"/>
      <c r="K87" s="75"/>
      <c r="L87" s="75"/>
      <c r="M87" s="75"/>
      <c r="N87" s="75"/>
      <c r="O87" s="75"/>
      <c r="P87" s="75"/>
      <c r="Q87" s="75"/>
      <c r="R87" s="75"/>
      <c r="S87" s="75"/>
      <c r="T87" s="75"/>
      <c r="U87" s="75"/>
      <c r="V87" s="75"/>
      <c r="W87" s="75"/>
      <c r="X87" s="75"/>
      <c r="Y87" s="75"/>
      <c r="Z87" s="75"/>
    </row>
    <row r="88" spans="1:36" x14ac:dyDescent="0.25">
      <c r="A88" s="198"/>
    </row>
    <row r="89" spans="1:36" ht="16.5" customHeight="1" x14ac:dyDescent="0.25">
      <c r="A89" s="198"/>
      <c r="B89" t="s">
        <v>1928</v>
      </c>
      <c r="I89">
        <v>119.00700000000001</v>
      </c>
      <c r="J89">
        <v>119.401</v>
      </c>
      <c r="K89">
        <v>119.553</v>
      </c>
      <c r="L89">
        <v>119.97</v>
      </c>
      <c r="M89">
        <v>120.14</v>
      </c>
      <c r="N89">
        <v>120.435</v>
      </c>
      <c r="O89">
        <v>120.598</v>
      </c>
      <c r="P89">
        <v>120.965</v>
      </c>
      <c r="Q89">
        <v>121.387</v>
      </c>
      <c r="R89">
        <v>121.42100000000001</v>
      </c>
      <c r="S89">
        <v>121.41500000000001</v>
      </c>
      <c r="T89">
        <v>121.602</v>
      </c>
      <c r="U89" s="1212">
        <v>122.11499999999999</v>
      </c>
      <c r="V89" s="1212">
        <v>122.494</v>
      </c>
      <c r="W89" s="1212">
        <v>122.91200000000001</v>
      </c>
      <c r="X89" s="1212">
        <v>123.23399999999999</v>
      </c>
      <c r="Y89" s="1212">
        <v>123.224</v>
      </c>
      <c r="Z89" s="1212">
        <v>123.369</v>
      </c>
      <c r="AA89" s="1212">
        <v>123.575</v>
      </c>
      <c r="AB89" s="1212">
        <v>123.727</v>
      </c>
      <c r="AC89" s="1212">
        <v>123.93899999999999</v>
      </c>
      <c r="AD89" s="1212">
        <v>124.265</v>
      </c>
      <c r="AE89" s="1212">
        <v>124.399</v>
      </c>
      <c r="AF89" s="1212">
        <v>124.76900000000001</v>
      </c>
      <c r="AG89" s="1212">
        <v>125.23099999999999</v>
      </c>
      <c r="AH89" s="1212">
        <v>125.788</v>
      </c>
      <c r="AI89" s="1212">
        <v>125.732</v>
      </c>
    </row>
    <row r="90" spans="1:36" ht="72.599999999999994" customHeight="1" x14ac:dyDescent="0.25">
      <c r="A90" s="198"/>
      <c r="B90" s="30" t="s">
        <v>1927</v>
      </c>
      <c r="AB90">
        <f>(AB89/Y89)^4-1</f>
        <v>1.6428236597993751E-2</v>
      </c>
      <c r="AC90">
        <f t="shared" ref="AC90" si="0">(AC89/Z89)^4-1</f>
        <v>1.8609619141146228E-2</v>
      </c>
      <c r="AD90">
        <f t="shared" ref="AD90:AI90" si="1">(AD89/AA89)^4-1</f>
        <v>2.2522375037620002E-2</v>
      </c>
      <c r="AE90">
        <f t="shared" si="1"/>
        <v>2.1902886624113549E-2</v>
      </c>
      <c r="AF90">
        <f t="shared" si="1"/>
        <v>2.7057660791266036E-2</v>
      </c>
      <c r="AG90">
        <f t="shared" si="1"/>
        <v>3.1459303723668341E-2</v>
      </c>
      <c r="AH90">
        <f t="shared" si="1"/>
        <v>4.5416357282594744E-2</v>
      </c>
      <c r="AI90">
        <f t="shared" si="1"/>
        <v>3.1232325643217429E-2</v>
      </c>
      <c r="AJ90" s="136">
        <f>Deflators!AD12</f>
        <v>2.7483635680919154E-2</v>
      </c>
    </row>
  </sheetData>
  <mergeCells count="23">
    <mergeCell ref="A65:J65"/>
    <mergeCell ref="A2:J2"/>
    <mergeCell ref="A4:C4"/>
    <mergeCell ref="A5:A7"/>
    <mergeCell ref="B5:B7"/>
    <mergeCell ref="C5:J5"/>
    <mergeCell ref="C6:H6"/>
    <mergeCell ref="I6:K6"/>
    <mergeCell ref="A60:J60"/>
    <mergeCell ref="A61:J61"/>
    <mergeCell ref="A62:J62"/>
    <mergeCell ref="A63:J63"/>
    <mergeCell ref="A64:J64"/>
    <mergeCell ref="A72:G72"/>
    <mergeCell ref="A73:G73"/>
    <mergeCell ref="A74:G74"/>
    <mergeCell ref="A76:G76"/>
    <mergeCell ref="A66:J66"/>
    <mergeCell ref="A67:J67"/>
    <mergeCell ref="A68:J68"/>
    <mergeCell ref="A69:G69"/>
    <mergeCell ref="A70:G70"/>
    <mergeCell ref="A71:G71"/>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69"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1:G71"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4:H74"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6:H76"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1:H71"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3" r:id="rId8" xr:uid="{00000000-0004-0000-0900-000007000000}"/>
    <hyperlink ref="B90"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115" zoomScaleNormal="115" workbookViewId="0">
      <selection activeCell="C19" sqref="C19"/>
    </sheetView>
  </sheetViews>
  <sheetFormatPr defaultColWidth="10.85546875" defaultRowHeight="15" x14ac:dyDescent="0.25"/>
  <cols>
    <col min="1" max="1" width="41.140625" customWidth="1"/>
    <col min="2" max="2" width="23.42578125" customWidth="1"/>
  </cols>
  <sheetData>
    <row r="1" spans="1:11" x14ac:dyDescent="0.25">
      <c r="A1" s="69" t="s">
        <v>178</v>
      </c>
      <c r="B1" s="69" t="s">
        <v>179</v>
      </c>
      <c r="C1" s="78" t="s">
        <v>177</v>
      </c>
      <c r="D1" s="78" t="s">
        <v>763</v>
      </c>
      <c r="E1" s="78" t="s">
        <v>764</v>
      </c>
      <c r="F1" s="78" t="s">
        <v>765</v>
      </c>
      <c r="G1" s="78" t="s">
        <v>1151</v>
      </c>
      <c r="H1" s="78" t="s">
        <v>1152</v>
      </c>
      <c r="I1" s="78" t="s">
        <v>1153</v>
      </c>
      <c r="J1" s="78" t="s">
        <v>1154</v>
      </c>
      <c r="K1" s="78" t="s">
        <v>1155</v>
      </c>
    </row>
    <row r="2" spans="1:11" x14ac:dyDescent="0.25">
      <c r="A2" t="s">
        <v>192</v>
      </c>
      <c r="B2" t="s">
        <v>193</v>
      </c>
      <c r="C2" s="80">
        <f>Grants!AC73</f>
        <v>424.254997</v>
      </c>
      <c r="D2" s="80">
        <f>Grants!AD73</f>
        <v>419.73814268217643</v>
      </c>
      <c r="E2" s="80">
        <f>Grants!AE73</f>
        <v>422.42439169649873</v>
      </c>
      <c r="F2" s="80">
        <f>Grants!AF73</f>
        <v>421.25141049708719</v>
      </c>
      <c r="G2" s="80">
        <f>Grants!AG73</f>
        <v>424.11699880000009</v>
      </c>
      <c r="H2" s="80">
        <f>Grants!AH73</f>
        <v>424.20782290946357</v>
      </c>
      <c r="I2" s="80">
        <f>Grants!AI73</f>
        <v>428.13016104435877</v>
      </c>
      <c r="J2" s="80">
        <f>Grants!AJ73</f>
        <v>430.08129416497064</v>
      </c>
      <c r="K2" s="80">
        <f>Grants!AK73</f>
        <v>433.06150600000007</v>
      </c>
    </row>
    <row r="3" spans="1:11" x14ac:dyDescent="0.25">
      <c r="A3" t="s">
        <v>134</v>
      </c>
      <c r="B3" t="s">
        <v>194</v>
      </c>
      <c r="C3" s="80">
        <f>Grants!AC94</f>
        <v>79.275000000000006</v>
      </c>
      <c r="D3" s="80">
        <f>Grants!AD94</f>
        <v>75.203000000000003</v>
      </c>
      <c r="E3" s="80">
        <f>Grants!AE94</f>
        <v>75.203000000000003</v>
      </c>
      <c r="F3" s="80">
        <f>Grants!AF94</f>
        <v>75.203000000000003</v>
      </c>
      <c r="G3" s="80">
        <f>Grants!AG94</f>
        <v>75.203000000000003</v>
      </c>
      <c r="H3" s="80">
        <f>Grants!AH94</f>
        <v>75.203000000000003</v>
      </c>
      <c r="I3" s="80">
        <f>Grants!AI94</f>
        <v>75.203000000000003</v>
      </c>
      <c r="J3" s="80">
        <f>Grants!AJ94</f>
        <v>75.203000000000003</v>
      </c>
      <c r="K3" s="80">
        <f>Grants!AK94</f>
        <v>75.203000000000003</v>
      </c>
    </row>
    <row r="4" spans="1:11" x14ac:dyDescent="0.25">
      <c r="A4" t="s">
        <v>195</v>
      </c>
      <c r="B4" t="s">
        <v>196</v>
      </c>
      <c r="C4" s="80">
        <f>'Federal and State Purchases'!AC11</f>
        <v>1925.3</v>
      </c>
      <c r="D4" s="80">
        <f>'Federal and State Purchases'!AD11</f>
        <v>1925.0214659829066</v>
      </c>
      <c r="E4" s="80">
        <f>'Federal and State Purchases'!AE11</f>
        <v>1930.5989912488317</v>
      </c>
      <c r="F4" s="80">
        <f>'Federal and State Purchases'!AF11</f>
        <v>1936.4175225530107</v>
      </c>
      <c r="G4" s="80">
        <f>'Federal and State Purchases'!AG11</f>
        <v>1946.5379849104011</v>
      </c>
      <c r="H4" s="80">
        <f>'Federal and State Purchases'!AH11</f>
        <v>1957.037036177768</v>
      </c>
      <c r="I4" s="80">
        <f>'Federal and State Purchases'!AI11</f>
        <v>1968.2904143916112</v>
      </c>
      <c r="J4" s="80">
        <f>'Federal and State Purchases'!AJ11</f>
        <v>1978.3400397419518</v>
      </c>
      <c r="K4" s="80">
        <f>'Federal and State Purchases'!AK11</f>
        <v>1988.0073277127929</v>
      </c>
    </row>
    <row r="5" spans="1:11" x14ac:dyDescent="0.25">
      <c r="A5" t="s">
        <v>197</v>
      </c>
      <c r="B5" t="s">
        <v>198</v>
      </c>
      <c r="C5" s="80">
        <f>'Federal and State Purchases'!AC32</f>
        <v>3215.2</v>
      </c>
      <c r="D5" s="80">
        <f>'Federal and State Purchases'!AD32</f>
        <v>3241.5445213321673</v>
      </c>
      <c r="E5" s="80">
        <f>'Federal and State Purchases'!AE32</f>
        <v>3271.1688483773178</v>
      </c>
      <c r="F5" s="80">
        <f>'Federal and State Purchases'!AF32</f>
        <v>3301.899157033688</v>
      </c>
      <c r="G5" s="80">
        <f>'Federal and State Purchases'!AG32</f>
        <v>3333.5039285268008</v>
      </c>
      <c r="H5" s="80">
        <f>'Federal and State Purchases'!AH32</f>
        <v>3362.9707697495755</v>
      </c>
      <c r="I5" s="80">
        <f>'Federal and State Purchases'!AI32</f>
        <v>3392.9928284806133</v>
      </c>
      <c r="J5" s="80">
        <f>'Federal and State Purchases'!AJ32</f>
        <v>3422.2913543530881</v>
      </c>
      <c r="K5" s="80">
        <f>'Federal and State Purchases'!AK32</f>
        <v>3450.950375612596</v>
      </c>
    </row>
    <row r="6" spans="1:11" x14ac:dyDescent="0.25">
      <c r="A6" t="s">
        <v>199</v>
      </c>
      <c r="B6" t="s">
        <v>200</v>
      </c>
      <c r="C6" s="80">
        <f>Subsidies!AC46</f>
        <v>105.70099999999999</v>
      </c>
      <c r="D6" s="80">
        <f>Subsidies!AD46</f>
        <v>97.678999999999988</v>
      </c>
      <c r="E6" s="80">
        <f>Subsidies!AE46</f>
        <v>97.678999999999988</v>
      </c>
      <c r="F6" s="80">
        <f>Subsidies!AF46</f>
        <v>102.018</v>
      </c>
      <c r="G6" s="80">
        <f>Subsidies!AG46</f>
        <v>99.867999999999995</v>
      </c>
      <c r="H6" s="80">
        <f>Subsidies!AH46</f>
        <v>99.867999999999995</v>
      </c>
      <c r="I6" s="80">
        <f>Subsidies!AI46</f>
        <v>99.867999999999995</v>
      </c>
      <c r="J6" s="80">
        <f>Subsidies!AJ46</f>
        <v>99.867999999999995</v>
      </c>
      <c r="K6" s="80">
        <f>Subsidies!AK46</f>
        <v>99.867999999999995</v>
      </c>
    </row>
    <row r="7" spans="1:11" x14ac:dyDescent="0.25">
      <c r="A7" t="s">
        <v>201</v>
      </c>
      <c r="B7" t="s">
        <v>202</v>
      </c>
      <c r="C7" s="80">
        <f>Subsidies!AC45</f>
        <v>-0.90100000000000025</v>
      </c>
      <c r="D7" s="80">
        <f>Subsidies!AD45</f>
        <v>-0.90100000000000025</v>
      </c>
      <c r="E7" s="80">
        <f>Subsidies!AE45</f>
        <v>-0.90100000000000025</v>
      </c>
      <c r="F7" s="80">
        <f>Subsidies!AF45</f>
        <v>-2.1500000000000004</v>
      </c>
      <c r="G7" s="80">
        <f>Subsidies!AG45</f>
        <v>0</v>
      </c>
      <c r="H7" s="80">
        <f>Subsidies!AH45</f>
        <v>0</v>
      </c>
      <c r="I7" s="80">
        <f>Subsidies!AI45</f>
        <v>0</v>
      </c>
      <c r="J7" s="80">
        <f>Subsidies!AJ45</f>
        <v>0</v>
      </c>
      <c r="K7" s="80">
        <f>Subsidies!AK45</f>
        <v>0</v>
      </c>
    </row>
    <row r="8" spans="1:11" x14ac:dyDescent="0.25">
      <c r="A8" t="s">
        <v>203</v>
      </c>
      <c r="B8" t="s">
        <v>204</v>
      </c>
      <c r="C8" s="80">
        <f>'Unemployment Insurance'!AC20</f>
        <v>9.9999999999994316E-2</v>
      </c>
      <c r="D8" s="80">
        <f>'Unemployment Insurance'!AD20</f>
        <v>0</v>
      </c>
      <c r="E8" s="80">
        <f>'Unemployment Insurance'!AE20</f>
        <v>0</v>
      </c>
      <c r="F8" s="80">
        <f>'Unemployment Insurance'!AF20</f>
        <v>0</v>
      </c>
      <c r="G8" s="80">
        <f>'Unemployment Insurance'!AG20</f>
        <v>0</v>
      </c>
      <c r="H8" s="80">
        <f>'Unemployment Insurance'!AH20</f>
        <v>0</v>
      </c>
      <c r="I8" s="80">
        <f>'Unemployment Insurance'!AI20</f>
        <v>0</v>
      </c>
      <c r="J8" s="80">
        <f>'Unemployment Insurance'!AJ20</f>
        <v>0</v>
      </c>
      <c r="K8" s="80">
        <f>'Unemployment Insurance'!AK20</f>
        <v>0</v>
      </c>
    </row>
    <row r="9" spans="1:11" x14ac:dyDescent="0.25">
      <c r="A9" t="s">
        <v>205</v>
      </c>
      <c r="B9" t="s">
        <v>206</v>
      </c>
      <c r="C9" s="80">
        <f>'Unemployment Insurance'!AC21</f>
        <v>35.700000000000003</v>
      </c>
      <c r="D9" s="80">
        <f>'Unemployment Insurance'!AD21</f>
        <v>35.700000000000003</v>
      </c>
      <c r="E9" s="80">
        <f>'Unemployment Insurance'!AE21</f>
        <v>35.700000000000003</v>
      </c>
      <c r="F9" s="80">
        <f>'Unemployment Insurance'!AF21</f>
        <v>35.700000000000003</v>
      </c>
      <c r="G9" s="80">
        <f>'Unemployment Insurance'!AG21</f>
        <v>35.700000000000003</v>
      </c>
      <c r="H9" s="80">
        <f>'Unemployment Insurance'!AH21</f>
        <v>35.700000000000003</v>
      </c>
      <c r="I9" s="80">
        <f>'Unemployment Insurance'!AI21</f>
        <v>35.700000000000003</v>
      </c>
      <c r="J9" s="80">
        <f>'Unemployment Insurance'!AJ21</f>
        <v>35.700000000000003</v>
      </c>
      <c r="K9" s="80">
        <f>'Unemployment Insurance'!AK21</f>
        <v>36.700000000000003</v>
      </c>
    </row>
    <row r="10" spans="1:11" x14ac:dyDescent="0.25">
      <c r="A10" s="56" t="s">
        <v>207</v>
      </c>
      <c r="B10" s="56" t="s">
        <v>208</v>
      </c>
      <c r="C10" s="80">
        <f>Medicaid!AC29</f>
        <v>647.03</v>
      </c>
      <c r="D10" s="80">
        <f>Medicaid!AD29</f>
        <v>662.99467607709084</v>
      </c>
      <c r="E10" s="80">
        <f>Medicaid!AE29</f>
        <v>676.71634748635768</v>
      </c>
      <c r="F10" s="80">
        <f>Medicaid!AF29</f>
        <v>686.50756304311074</v>
      </c>
      <c r="G10" s="80">
        <f>Medicaid!AG29</f>
        <v>694.68904776121451</v>
      </c>
      <c r="H10" s="80">
        <f>Medicaid!AH29</f>
        <v>708.47318122785282</v>
      </c>
      <c r="I10" s="80">
        <f>Medicaid!AI29</f>
        <v>719.72313447129341</v>
      </c>
      <c r="J10" s="80">
        <f>Medicaid!AJ29</f>
        <v>729.96383786820741</v>
      </c>
      <c r="K10" s="80">
        <f>Medicaid!AK29</f>
        <v>740.54278676547904</v>
      </c>
    </row>
    <row r="11" spans="1:11" x14ac:dyDescent="0.25">
      <c r="A11" s="56" t="s">
        <v>209</v>
      </c>
      <c r="B11" s="56" t="s">
        <v>210</v>
      </c>
      <c r="C11" s="80">
        <f>Medicaid!AC27</f>
        <v>966.6</v>
      </c>
      <c r="D11" s="80">
        <f>Medicaid!AD27</f>
        <v>971.46435495301887</v>
      </c>
      <c r="E11" s="80">
        <f>Medicaid!AE27</f>
        <v>990.42364361020816</v>
      </c>
      <c r="F11" s="80">
        <f>Medicaid!AF27</f>
        <v>1006.3990306414189</v>
      </c>
      <c r="G11" s="80">
        <f>Medicaid!AG27</f>
        <v>1022.6320983049969</v>
      </c>
      <c r="H11" s="80">
        <f>Medicaid!AH27</f>
        <v>1039.1270029514687</v>
      </c>
      <c r="I11" s="80">
        <f>Medicaid!AI27</f>
        <v>1055.8879679726806</v>
      </c>
      <c r="J11" s="80">
        <f>Medicaid!AJ27</f>
        <v>1071.552919993354</v>
      </c>
      <c r="K11" s="80">
        <f>Medicaid!AK27</f>
        <v>1087.4502742472691</v>
      </c>
    </row>
    <row r="12" spans="1:11" x14ac:dyDescent="0.25">
      <c r="A12" t="s">
        <v>55</v>
      </c>
      <c r="B12" t="s">
        <v>211</v>
      </c>
      <c r="C12" s="80">
        <f>Medicare!AC10</f>
        <v>1150.3</v>
      </c>
      <c r="D12" s="80">
        <f>Medicare!AD10</f>
        <v>1164.9491604763948</v>
      </c>
      <c r="E12" s="80">
        <f>Medicare!AE10</f>
        <v>1179.7848791573131</v>
      </c>
      <c r="F12" s="80">
        <f>Medicare!AF10</f>
        <v>1197.440355942422</v>
      </c>
      <c r="G12" s="80">
        <f>Medicare!AG10</f>
        <v>1215.3600468787854</v>
      </c>
      <c r="H12" s="80">
        <f>Medicare!AH10</f>
        <v>1233.5479059302966</v>
      </c>
      <c r="I12" s="80">
        <f>Medicare!AI10</f>
        <v>1252.0079462319047</v>
      </c>
      <c r="J12" s="80">
        <f>Medicare!AJ10</f>
        <v>1270.9058610295497</v>
      </c>
      <c r="K12" s="80">
        <f>Medicare!AK10</f>
        <v>1290.0890225660623</v>
      </c>
    </row>
    <row r="13" spans="1:11" x14ac:dyDescent="0.25">
      <c r="A13" t="s">
        <v>212</v>
      </c>
      <c r="B13" t="s">
        <v>213</v>
      </c>
      <c r="C13" s="80">
        <f>'Rebate Checks (expired)'!AC11</f>
        <v>0</v>
      </c>
      <c r="D13" s="80">
        <f>'Rebate Checks (expired)'!AD11</f>
        <v>0</v>
      </c>
      <c r="E13" s="80">
        <f>'Rebate Checks (expired)'!AE11</f>
        <v>0</v>
      </c>
      <c r="F13" s="80">
        <f>'Rebate Checks (expired)'!AF11</f>
        <v>0</v>
      </c>
      <c r="G13" s="80">
        <f>'Rebate Checks (expired)'!AG11</f>
        <v>0</v>
      </c>
      <c r="H13" s="80">
        <f>'Rebate Checks (expired)'!AH11</f>
        <v>0</v>
      </c>
      <c r="I13" s="80">
        <f>'Rebate Checks (expired)'!AI11</f>
        <v>0</v>
      </c>
      <c r="J13" s="80">
        <f>'Rebate Checks (expired)'!AJ11</f>
        <v>0</v>
      </c>
      <c r="K13" s="80">
        <f>'Rebate Checks (expired)'!AK11</f>
        <v>0</v>
      </c>
    </row>
    <row r="14" spans="1:11" x14ac:dyDescent="0.25">
      <c r="A14" t="s">
        <v>214</v>
      </c>
      <c r="B14" t="s">
        <v>215</v>
      </c>
      <c r="C14" s="80">
        <f>'Rebate Checks (expired)'!AC10</f>
        <v>0</v>
      </c>
      <c r="D14" s="80">
        <f>'Rebate Checks (expired)'!AD10</f>
        <v>0</v>
      </c>
      <c r="E14" s="80">
        <f>'Rebate Checks (expired)'!AE10</f>
        <v>0</v>
      </c>
      <c r="F14" s="80">
        <f>'Rebate Checks (expired)'!AF10</f>
        <v>0</v>
      </c>
      <c r="G14" s="80">
        <f>'Rebate Checks (expired)'!AG10</f>
        <v>0</v>
      </c>
      <c r="H14" s="80">
        <f>'Rebate Checks (expired)'!AH10</f>
        <v>0</v>
      </c>
      <c r="I14" s="80">
        <f>'Rebate Checks (expired)'!AI10</f>
        <v>0</v>
      </c>
      <c r="J14" s="80">
        <f>'Rebate Checks (expired)'!AJ10</f>
        <v>0</v>
      </c>
      <c r="K14" s="80">
        <f>'Rebate Checks (expired)'!AK10</f>
        <v>0</v>
      </c>
    </row>
    <row r="15" spans="1:11" x14ac:dyDescent="0.25">
      <c r="A15" t="s">
        <v>216</v>
      </c>
      <c r="B15" t="s">
        <v>217</v>
      </c>
      <c r="C15" s="80">
        <f>'Social Benefits'!AC24</f>
        <v>2.3719999999999999</v>
      </c>
      <c r="D15" s="80">
        <f>'Social Benefits'!AD24</f>
        <v>2.3719999999999999</v>
      </c>
      <c r="E15" s="80">
        <f>'Social Benefits'!AE24</f>
        <v>2.3719999999999999</v>
      </c>
      <c r="F15" s="80">
        <f>'Social Benefits'!AF24</f>
        <v>0.49</v>
      </c>
      <c r="G15" s="80">
        <f>'Social Benefits'!AG24</f>
        <v>0</v>
      </c>
      <c r="H15" s="80">
        <f>'Social Benefits'!AH24</f>
        <v>0</v>
      </c>
      <c r="I15" s="80">
        <f>'Social Benefits'!AI24</f>
        <v>0</v>
      </c>
      <c r="J15" s="80">
        <f>'Social Benefits'!AJ24</f>
        <v>0</v>
      </c>
      <c r="K15" s="80">
        <f>'Social Benefits'!AK24</f>
        <v>0</v>
      </c>
    </row>
    <row r="16" spans="1:11" x14ac:dyDescent="0.25">
      <c r="A16" t="s">
        <v>795</v>
      </c>
      <c r="B16" t="s">
        <v>219</v>
      </c>
      <c r="C16" s="80">
        <f>'Social Benefits'!AC30</f>
        <v>1.63</v>
      </c>
      <c r="D16" s="80">
        <f>'Social Benefits'!AD30</f>
        <v>1.63</v>
      </c>
      <c r="E16" s="80">
        <f>'Social Benefits'!AE30</f>
        <v>1.63</v>
      </c>
      <c r="F16" s="80">
        <f>'Social Benefits'!AF30</f>
        <v>1.671</v>
      </c>
      <c r="G16" s="80">
        <f>'Social Benefits'!AG30</f>
        <v>0</v>
      </c>
      <c r="H16" s="80">
        <f>'Social Benefits'!AH30</f>
        <v>0</v>
      </c>
      <c r="I16" s="80">
        <f>'Social Benefits'!AI30</f>
        <v>0</v>
      </c>
      <c r="J16" s="80">
        <f>'Social Benefits'!AJ30</f>
        <v>0</v>
      </c>
      <c r="K16" s="80">
        <f>'Social Benefits'!AK30</f>
        <v>0</v>
      </c>
    </row>
    <row r="17" spans="1:11" x14ac:dyDescent="0.25">
      <c r="A17" t="s">
        <v>220</v>
      </c>
      <c r="B17" t="s">
        <v>221</v>
      </c>
      <c r="C17" s="80">
        <f>'Social Benefits'!AC33</f>
        <v>2245.5980000000004</v>
      </c>
      <c r="D17" s="80">
        <f>'Social Benefits'!AD33</f>
        <v>2252.2980000000002</v>
      </c>
      <c r="E17" s="80">
        <f>'Social Benefits'!AE33</f>
        <v>2258.998</v>
      </c>
      <c r="F17" s="80">
        <f>'Social Benefits'!AF33</f>
        <v>2249.4590000000003</v>
      </c>
      <c r="G17" s="80">
        <f>'Social Benefits'!AG33</f>
        <v>2293.1596530350002</v>
      </c>
      <c r="H17" s="80">
        <f>'Social Benefits'!AH33</f>
        <v>2299.1316530350005</v>
      </c>
      <c r="I17" s="80">
        <f>'Social Benefits'!AI33</f>
        <v>2306.8316530350003</v>
      </c>
      <c r="J17" s="80">
        <f>'Social Benefits'!AJ33</f>
        <v>2314.5316530350001</v>
      </c>
      <c r="K17" s="80">
        <f>'Social Benefits'!AK33</f>
        <v>2361.5111840898053</v>
      </c>
    </row>
    <row r="18" spans="1:11" x14ac:dyDescent="0.25">
      <c r="A18" t="s">
        <v>222</v>
      </c>
      <c r="B18" t="s">
        <v>223</v>
      </c>
      <c r="C18" s="80">
        <f>'Social Benefits'!AC38</f>
        <v>228.02904740969223</v>
      </c>
      <c r="D18" s="80">
        <f>'Social Benefits'!AD38</f>
        <v>231.36246347492295</v>
      </c>
      <c r="E18" s="80">
        <f>'Social Benefits'!AE38</f>
        <v>234.7446086945757</v>
      </c>
      <c r="F18" s="80">
        <f>'Social Benefits'!AF38</f>
        <v>238.17619541011769</v>
      </c>
      <c r="G18" s="80">
        <f>'Social Benefits'!AG38</f>
        <v>241.65794637629688</v>
      </c>
      <c r="H18" s="80">
        <f>'Social Benefits'!AH38</f>
        <v>245.19059491336728</v>
      </c>
      <c r="I18" s="80">
        <f>'Social Benefits'!AI38</f>
        <v>248.77488506153966</v>
      </c>
      <c r="J18" s="80">
        <f>'Social Benefits'!AJ38</f>
        <v>252.41157173768991</v>
      </c>
      <c r="K18" s="80">
        <f>'Social Benefits'!AK38</f>
        <v>256.10142089435828</v>
      </c>
    </row>
    <row r="19" spans="1:11" x14ac:dyDescent="0.25">
      <c r="A19" t="s">
        <v>224</v>
      </c>
      <c r="B19" t="s">
        <v>225</v>
      </c>
      <c r="C19" s="80">
        <f>Taxes!AC9</f>
        <v>4610.4000000000005</v>
      </c>
      <c r="D19" s="80">
        <f>Taxes!AD9</f>
        <v>4663.3480681024839</v>
      </c>
      <c r="E19" s="80">
        <f>Taxes!AE9</f>
        <v>4686.6621707686754</v>
      </c>
      <c r="F19" s="80">
        <f>Taxes!AF9</f>
        <v>4710.1942189707024</v>
      </c>
      <c r="G19" s="80">
        <f>Taxes!AG9</f>
        <v>4798.7621704165776</v>
      </c>
      <c r="H19" s="80">
        <f>Taxes!AH9</f>
        <v>4831.4605855356285</v>
      </c>
      <c r="I19" s="80">
        <f>Taxes!AI9</f>
        <v>4864.535151296147</v>
      </c>
      <c r="J19" s="80">
        <f>Taxes!AJ9</f>
        <v>4897.9882467823263</v>
      </c>
      <c r="K19" s="80">
        <f>Taxes!AK9</f>
        <v>5064.6188779027389</v>
      </c>
    </row>
    <row r="20" spans="1:11" x14ac:dyDescent="0.25">
      <c r="A20" t="s">
        <v>226</v>
      </c>
      <c r="B20" t="s">
        <v>227</v>
      </c>
      <c r="C20" s="80">
        <f>Taxes!AC19</f>
        <v>2542.3000000000002</v>
      </c>
      <c r="D20" s="80">
        <f>Taxes!AD19</f>
        <v>2562.7511787268172</v>
      </c>
      <c r="E20" s="80">
        <f>Taxes!AE19</f>
        <v>2589.7593229745835</v>
      </c>
      <c r="F20" s="80">
        <f>Taxes!AF19</f>
        <v>2616.3584221483529</v>
      </c>
      <c r="G20" s="80">
        <f>Taxes!AG19</f>
        <v>2640.8190011756606</v>
      </c>
      <c r="H20" s="80">
        <f>Taxes!AH19</f>
        <v>2666.2743895213348</v>
      </c>
      <c r="I20" s="80">
        <f>Taxes!AI19</f>
        <v>2689.5030919242104</v>
      </c>
      <c r="J20" s="80">
        <f>Taxes!AJ19</f>
        <v>2714.6720416715066</v>
      </c>
      <c r="K20" s="80">
        <f>Taxes!AK19</f>
        <v>2741.2709284302364</v>
      </c>
    </row>
    <row r="21" spans="1:11" x14ac:dyDescent="0.25">
      <c r="A21" t="s">
        <v>228</v>
      </c>
      <c r="B21" t="s">
        <v>229</v>
      </c>
      <c r="C21" s="80">
        <f>Taxes!AC16</f>
        <v>528.95823142687641</v>
      </c>
      <c r="D21" s="80">
        <f>Taxes!AD16</f>
        <v>546.37143252147803</v>
      </c>
      <c r="E21" s="80">
        <f>Taxes!AE16</f>
        <v>564.35787277627401</v>
      </c>
      <c r="F21" s="80">
        <f>Taxes!AF16</f>
        <v>560.87077630489205</v>
      </c>
      <c r="G21" s="80">
        <f>Taxes!AG16</f>
        <v>557.40522616499095</v>
      </c>
      <c r="H21" s="80">
        <f>Taxes!AH16</f>
        <v>553.96108922449264</v>
      </c>
      <c r="I21" s="80">
        <f>Taxes!AI16</f>
        <v>550.53823317392516</v>
      </c>
      <c r="J21" s="80">
        <f>Taxes!AJ16</f>
        <v>547.13652652134033</v>
      </c>
      <c r="K21" s="80">
        <f>Taxes!AK16</f>
        <v>543.75583858726213</v>
      </c>
    </row>
    <row r="22" spans="1:11" x14ac:dyDescent="0.25">
      <c r="A22" t="s">
        <v>230</v>
      </c>
      <c r="B22" t="s">
        <v>231</v>
      </c>
      <c r="C22" s="80">
        <f>Taxes!AC25</f>
        <v>159.5627788290613</v>
      </c>
      <c r="D22" s="80">
        <f>Taxes!AD25</f>
        <v>159.49686908653018</v>
      </c>
      <c r="E22" s="80">
        <f>Taxes!AE25</f>
        <v>159.63339641034463</v>
      </c>
      <c r="F22" s="80">
        <f>Taxes!AF25</f>
        <v>159.55336315155685</v>
      </c>
      <c r="G22" s="80">
        <f>Taxes!AG25</f>
        <v>159.74638454039797</v>
      </c>
      <c r="H22" s="80">
        <f>Taxes!AH25</f>
        <v>160.06180973679682</v>
      </c>
      <c r="I22" s="80">
        <f>Taxes!AI25</f>
        <v>159.90174321922129</v>
      </c>
      <c r="J22" s="80">
        <f>Taxes!AJ25</f>
        <v>160.09476460806238</v>
      </c>
      <c r="K22" s="80">
        <f>Taxes!AK25</f>
        <v>159.78875508916795</v>
      </c>
    </row>
    <row r="23" spans="1:11" x14ac:dyDescent="0.25">
      <c r="A23" s="56" t="s">
        <v>1379</v>
      </c>
      <c r="B23" t="s">
        <v>1378</v>
      </c>
      <c r="C23" s="80">
        <f>'Student loans'!AC11</f>
        <v>2.6454420000000001</v>
      </c>
      <c r="D23" s="80">
        <f>'Student loans'!AD11</f>
        <v>2.6696</v>
      </c>
      <c r="E23" s="80">
        <f>'Student loans'!AE11</f>
        <v>2.693006</v>
      </c>
      <c r="F23" s="80">
        <f>'Student loans'!AF11</f>
        <v>2.7175400000000001</v>
      </c>
      <c r="G23" s="80">
        <f>'Student loans'!AG11</f>
        <v>2.7175400000000001</v>
      </c>
      <c r="H23" s="80">
        <f>'Student loans'!AH11</f>
        <v>2.7175400000000001</v>
      </c>
      <c r="I23" s="80">
        <f>'Student loans'!AI11</f>
        <v>0</v>
      </c>
      <c r="J23" s="80">
        <f>'Student loans'!AJ11</f>
        <v>0</v>
      </c>
      <c r="K23" s="80">
        <f>'Student loans'!AK11</f>
        <v>0</v>
      </c>
    </row>
    <row r="24" spans="1:11" x14ac:dyDescent="0.25">
      <c r="A24" s="77" t="s">
        <v>1929</v>
      </c>
      <c r="B24" t="s">
        <v>1877</v>
      </c>
      <c r="C24" s="80">
        <f>'Supply Side IRA'!AC14</f>
        <v>73.980636292422588</v>
      </c>
      <c r="D24" s="80">
        <f>'Supply Side IRA'!AD14</f>
        <v>88.394442804062294</v>
      </c>
      <c r="E24" s="80">
        <f>'Supply Side IRA'!AE14</f>
        <v>103.08351069330931</v>
      </c>
      <c r="F24" s="80">
        <f>'Supply Side IRA'!AF14</f>
        <v>109.65876198766387</v>
      </c>
      <c r="G24" s="80">
        <f>'Supply Side IRA'!AG14</f>
        <v>134.70903635555658</v>
      </c>
      <c r="H24" s="80">
        <f>'Supply Side IRA'!AH14</f>
        <v>155.20684462483894</v>
      </c>
      <c r="I24" s="80">
        <f>'Supply Side IRA'!AI14</f>
        <v>162.82034425593883</v>
      </c>
      <c r="J24" s="80">
        <f>'Supply Side IRA'!AJ14</f>
        <v>160.44502735686868</v>
      </c>
      <c r="K24" s="80">
        <f>'Supply Side IRA'!AK14</f>
        <v>146.43535339516106</v>
      </c>
    </row>
    <row r="25" spans="1:11" x14ac:dyDescent="0.25">
      <c r="A25" s="67"/>
      <c r="C25" s="79"/>
    </row>
    <row r="26" spans="1:11" x14ac:dyDescent="0.25">
      <c r="A26" s="67"/>
      <c r="C26" s="79"/>
    </row>
    <row r="27" spans="1:11" x14ac:dyDescent="0.25">
      <c r="A27" s="67"/>
      <c r="C27" s="79"/>
    </row>
    <row r="28" spans="1:11" x14ac:dyDescent="0.25">
      <c r="A28" s="56"/>
      <c r="C28" s="79"/>
    </row>
  </sheetData>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S15"/>
  <sheetViews>
    <sheetView zoomScale="89" zoomScaleNormal="110" workbookViewId="0">
      <selection activeCell="L10" sqref="L10"/>
    </sheetView>
  </sheetViews>
  <sheetFormatPr defaultColWidth="10.85546875" defaultRowHeight="15" x14ac:dyDescent="0.25"/>
  <cols>
    <col min="1" max="2" width="70.85546875" customWidth="1"/>
  </cols>
  <sheetData>
    <row r="1" spans="1:45" ht="15.6" customHeight="1" x14ac:dyDescent="0.25">
      <c r="A1" s="1263" t="s">
        <v>253</v>
      </c>
      <c r="B1" s="1263"/>
      <c r="C1" s="1263"/>
      <c r="D1" s="1263"/>
      <c r="E1" s="1263"/>
      <c r="F1" s="1263"/>
      <c r="G1" s="1263"/>
      <c r="H1" s="1263"/>
      <c r="I1" s="1263"/>
      <c r="J1" s="1263"/>
      <c r="K1" s="1263"/>
      <c r="L1" s="1263"/>
      <c r="M1" s="1263"/>
      <c r="N1" s="1263"/>
      <c r="O1" s="1263"/>
    </row>
    <row r="2" spans="1:45" ht="31.35" customHeight="1" x14ac:dyDescent="0.25">
      <c r="A2" s="204"/>
      <c r="B2" s="204" t="s">
        <v>179</v>
      </c>
      <c r="C2" s="210">
        <v>1</v>
      </c>
      <c r="D2" s="210">
        <f>C2+1</f>
        <v>2</v>
      </c>
      <c r="E2" s="210">
        <f t="shared" ref="E2:N2" si="0">D2+1</f>
        <v>3</v>
      </c>
      <c r="F2" s="210">
        <f t="shared" si="0"/>
        <v>4</v>
      </c>
      <c r="G2" s="210">
        <f t="shared" si="0"/>
        <v>5</v>
      </c>
      <c r="H2" s="210">
        <f t="shared" si="0"/>
        <v>6</v>
      </c>
      <c r="I2" s="210">
        <f t="shared" si="0"/>
        <v>7</v>
      </c>
      <c r="J2" s="210">
        <f t="shared" si="0"/>
        <v>8</v>
      </c>
      <c r="K2" s="210">
        <f t="shared" si="0"/>
        <v>9</v>
      </c>
      <c r="L2" s="210">
        <f t="shared" si="0"/>
        <v>10</v>
      </c>
      <c r="M2" s="210">
        <f t="shared" si="0"/>
        <v>11</v>
      </c>
      <c r="N2" s="210">
        <f t="shared" si="0"/>
        <v>12</v>
      </c>
      <c r="O2" s="208" t="s">
        <v>254</v>
      </c>
    </row>
    <row r="3" spans="1:45" ht="15.6" customHeight="1" x14ac:dyDescent="0.25">
      <c r="A3" s="205" t="s">
        <v>255</v>
      </c>
      <c r="B3" s="205" t="s">
        <v>256</v>
      </c>
      <c r="C3" s="79">
        <v>0.22500000000000001</v>
      </c>
      <c r="D3" s="79">
        <v>0.22500000000000001</v>
      </c>
      <c r="E3" s="79">
        <v>0.22500000000000001</v>
      </c>
      <c r="F3" s="79">
        <v>0.22500000000000001</v>
      </c>
      <c r="G3" s="211">
        <v>0</v>
      </c>
      <c r="H3" s="211">
        <v>0</v>
      </c>
      <c r="I3" s="211">
        <v>0</v>
      </c>
      <c r="J3" s="211">
        <v>0</v>
      </c>
      <c r="K3" s="211">
        <v>0</v>
      </c>
      <c r="L3" s="211">
        <v>0</v>
      </c>
      <c r="M3" s="211">
        <v>0</v>
      </c>
      <c r="N3" s="211">
        <v>0</v>
      </c>
      <c r="O3" s="209">
        <f>SUM(C3:N3)</f>
        <v>0.9</v>
      </c>
      <c r="P3" s="79"/>
      <c r="Q3" s="79"/>
      <c r="R3" s="79"/>
      <c r="S3" s="79"/>
      <c r="T3" s="211"/>
      <c r="U3" s="211"/>
      <c r="V3" s="211"/>
      <c r="W3" s="211"/>
      <c r="X3" s="211"/>
      <c r="Y3" s="211"/>
      <c r="Z3" s="211"/>
      <c r="AA3" s="211"/>
      <c r="AC3" s="82"/>
      <c r="AD3" s="82"/>
      <c r="AE3" s="82"/>
      <c r="AF3" s="82"/>
      <c r="AG3" s="82"/>
      <c r="AH3" s="82"/>
      <c r="AI3" s="82"/>
      <c r="AJ3" s="82"/>
      <c r="AK3" s="82"/>
      <c r="AL3" s="82"/>
      <c r="AM3" s="82"/>
      <c r="AN3" s="82"/>
      <c r="AO3" s="82"/>
      <c r="AP3" s="82"/>
      <c r="AQ3" s="82"/>
      <c r="AR3" s="82"/>
      <c r="AS3" s="82"/>
    </row>
    <row r="4" spans="1:45" ht="15.6" customHeight="1" x14ac:dyDescent="0.25">
      <c r="A4" s="207" t="s">
        <v>257</v>
      </c>
      <c r="B4" s="207" t="s">
        <v>258</v>
      </c>
      <c r="C4" s="79">
        <v>-3.3333333333333333E-2</v>
      </c>
      <c r="D4" s="79">
        <v>-3.3333333333333333E-2</v>
      </c>
      <c r="E4" s="79">
        <v>-3.3333333333333333E-2</v>
      </c>
      <c r="F4" s="79">
        <v>-3.3333333333333333E-2</v>
      </c>
      <c r="G4" s="79">
        <v>-3.3333333333333333E-2</v>
      </c>
      <c r="H4" s="79">
        <v>-3.3333333333333333E-2</v>
      </c>
      <c r="I4" s="79">
        <v>-3.3333333333333333E-2</v>
      </c>
      <c r="J4" s="79">
        <v>-3.3333333333333333E-2</v>
      </c>
      <c r="K4" s="79">
        <v>-3.3333333333333333E-2</v>
      </c>
      <c r="L4" s="79">
        <v>-3.3333333333333333E-2</v>
      </c>
      <c r="M4" s="79">
        <v>-3.3333333333333333E-2</v>
      </c>
      <c r="N4" s="79">
        <v>-3.3333333333333333E-2</v>
      </c>
      <c r="O4" s="209">
        <f>SUM(C4:N4)</f>
        <v>-0.39999999999999997</v>
      </c>
      <c r="P4" s="79"/>
      <c r="Q4" s="79"/>
      <c r="R4" s="79"/>
      <c r="S4" s="79"/>
      <c r="T4" s="79"/>
      <c r="U4" s="79"/>
      <c r="V4" s="79"/>
      <c r="W4" s="79"/>
      <c r="X4" s="79"/>
      <c r="Y4" s="79"/>
      <c r="Z4" s="79"/>
      <c r="AA4" s="79"/>
      <c r="AC4" s="82"/>
      <c r="AD4" s="82"/>
      <c r="AE4" s="82"/>
      <c r="AF4" s="82"/>
      <c r="AG4" s="82"/>
      <c r="AH4" s="82"/>
      <c r="AI4" s="82"/>
      <c r="AJ4" s="82"/>
      <c r="AK4" s="82"/>
      <c r="AL4" s="82"/>
      <c r="AM4" s="82"/>
      <c r="AN4" s="82"/>
    </row>
    <row r="5" spans="1:45" ht="15.6" customHeight="1" x14ac:dyDescent="0.25">
      <c r="A5" s="207" t="s">
        <v>259</v>
      </c>
      <c r="B5" s="207" t="s">
        <v>260</v>
      </c>
      <c r="C5" s="79">
        <v>-0.12</v>
      </c>
      <c r="D5" s="79">
        <v>-0.12</v>
      </c>
      <c r="E5" s="79">
        <v>-0.06</v>
      </c>
      <c r="F5" s="79">
        <v>-0.06</v>
      </c>
      <c r="G5" s="79">
        <v>-0.06</v>
      </c>
      <c r="H5" s="79">
        <v>-0.06</v>
      </c>
      <c r="I5" s="79">
        <v>-0.06</v>
      </c>
      <c r="J5" s="79">
        <v>-0.06</v>
      </c>
      <c r="K5" s="79">
        <v>0</v>
      </c>
      <c r="L5" s="79">
        <v>0</v>
      </c>
      <c r="M5" s="79">
        <v>0</v>
      </c>
      <c r="N5" s="79">
        <v>0</v>
      </c>
      <c r="O5" s="209">
        <f t="shared" ref="O5:O13" si="1">SUM(C5:N5)</f>
        <v>-0.60000000000000009</v>
      </c>
      <c r="P5" s="79"/>
      <c r="Q5" s="79"/>
      <c r="R5" s="79"/>
      <c r="S5" s="79"/>
      <c r="T5" s="79"/>
      <c r="U5" s="79"/>
      <c r="V5" s="79"/>
      <c r="W5" s="79"/>
      <c r="X5" s="79"/>
      <c r="Y5" s="79"/>
      <c r="Z5" s="79"/>
      <c r="AA5" s="79"/>
      <c r="AC5" s="82"/>
      <c r="AD5" s="82"/>
      <c r="AE5" s="82"/>
      <c r="AF5" s="82"/>
      <c r="AG5" s="82"/>
      <c r="AH5" s="82"/>
      <c r="AI5" s="82"/>
      <c r="AJ5" s="82"/>
      <c r="AK5" s="82"/>
      <c r="AL5" s="82"/>
      <c r="AM5" s="82"/>
      <c r="AN5" s="82"/>
    </row>
    <row r="6" spans="1:45" ht="15.6" customHeight="1" x14ac:dyDescent="0.25">
      <c r="A6" s="205" t="s">
        <v>261</v>
      </c>
      <c r="B6" s="205" t="s">
        <v>213</v>
      </c>
      <c r="C6" s="79">
        <v>0.24499999999999997</v>
      </c>
      <c r="D6" s="79">
        <v>0.105</v>
      </c>
      <c r="E6" s="79">
        <v>5.5999999999999994E-2</v>
      </c>
      <c r="F6" s="79">
        <v>5.5999999999999994E-2</v>
      </c>
      <c r="G6" s="79">
        <v>5.5999999999999994E-2</v>
      </c>
      <c r="H6" s="79">
        <v>5.5999999999999994E-2</v>
      </c>
      <c r="I6" s="79">
        <v>5.5999999999999994E-2</v>
      </c>
      <c r="J6" s="79">
        <v>5.5999999999999994E-2</v>
      </c>
      <c r="K6" s="79">
        <v>0</v>
      </c>
      <c r="L6" s="79">
        <v>0</v>
      </c>
      <c r="M6" s="79">
        <v>0</v>
      </c>
      <c r="N6" s="79">
        <v>0</v>
      </c>
      <c r="O6" s="209">
        <f t="shared" si="1"/>
        <v>0.68600000000000017</v>
      </c>
      <c r="P6" s="79"/>
      <c r="Q6" s="79"/>
      <c r="R6" s="79"/>
      <c r="S6" s="79"/>
      <c r="T6" s="79"/>
      <c r="U6" s="79"/>
      <c r="V6" s="79"/>
      <c r="W6" s="79"/>
      <c r="X6" s="79"/>
      <c r="Y6" s="79"/>
      <c r="Z6" s="79"/>
      <c r="AA6" s="79"/>
      <c r="AC6" s="82"/>
      <c r="AD6" s="82"/>
      <c r="AE6" s="82"/>
      <c r="AF6" s="82"/>
      <c r="AG6" s="82"/>
      <c r="AH6" s="82"/>
      <c r="AI6" s="82"/>
      <c r="AJ6" s="82"/>
      <c r="AK6" s="82"/>
      <c r="AL6" s="82"/>
      <c r="AM6" s="82"/>
      <c r="AN6" s="82"/>
    </row>
    <row r="7" spans="1:45" ht="15.6" customHeight="1" x14ac:dyDescent="0.25">
      <c r="A7" s="205" t="s">
        <v>262</v>
      </c>
      <c r="B7" s="205" t="s">
        <v>263</v>
      </c>
      <c r="C7" s="79">
        <v>0.315</v>
      </c>
      <c r="D7" s="79">
        <v>0.315</v>
      </c>
      <c r="E7" s="79">
        <v>9.0000000000000011E-2</v>
      </c>
      <c r="F7" s="79">
        <v>9.0000000000000011E-2</v>
      </c>
      <c r="G7" s="79">
        <v>4.5000000000000005E-2</v>
      </c>
      <c r="H7" s="79">
        <v>4.5000000000000005E-2</v>
      </c>
      <c r="I7" s="79">
        <v>0</v>
      </c>
      <c r="J7" s="79">
        <v>0</v>
      </c>
      <c r="K7" s="79">
        <v>0</v>
      </c>
      <c r="L7" s="79">
        <v>0</v>
      </c>
      <c r="M7" s="79">
        <v>0</v>
      </c>
      <c r="N7" s="79">
        <v>0</v>
      </c>
      <c r="O7" s="209">
        <f t="shared" si="1"/>
        <v>0.9</v>
      </c>
      <c r="P7" s="79"/>
      <c r="Q7" s="79"/>
      <c r="R7" s="79"/>
      <c r="S7" s="79"/>
      <c r="T7" s="79"/>
      <c r="U7" s="79"/>
      <c r="V7" s="79"/>
      <c r="W7" s="79"/>
      <c r="X7" s="79"/>
      <c r="Y7" s="79"/>
      <c r="Z7" s="79"/>
      <c r="AA7" s="79"/>
      <c r="AC7" s="82"/>
      <c r="AD7" s="82"/>
      <c r="AE7" s="82"/>
      <c r="AF7" s="82"/>
      <c r="AG7" s="82"/>
      <c r="AH7" s="82"/>
      <c r="AI7" s="82"/>
      <c r="AJ7" s="82"/>
      <c r="AK7" s="82"/>
      <c r="AL7" s="82"/>
      <c r="AM7" s="82"/>
      <c r="AN7" s="82"/>
    </row>
    <row r="8" spans="1:45" ht="15.6" customHeight="1" x14ac:dyDescent="0.25">
      <c r="A8" s="205" t="s">
        <v>264</v>
      </c>
      <c r="B8" s="205" t="s">
        <v>265</v>
      </c>
      <c r="C8" s="79">
        <v>0.22500000000000001</v>
      </c>
      <c r="D8" s="79">
        <v>0.22500000000000001</v>
      </c>
      <c r="E8" s="79">
        <v>0.22500000000000001</v>
      </c>
      <c r="F8" s="79">
        <v>0.22500000000000001</v>
      </c>
      <c r="G8" s="79">
        <v>0</v>
      </c>
      <c r="H8" s="79">
        <v>0</v>
      </c>
      <c r="I8" s="79">
        <v>0</v>
      </c>
      <c r="J8" s="79">
        <v>0</v>
      </c>
      <c r="K8" s="79">
        <v>0</v>
      </c>
      <c r="L8" s="79">
        <v>0</v>
      </c>
      <c r="M8" s="79">
        <v>0</v>
      </c>
      <c r="N8" s="79">
        <v>0</v>
      </c>
      <c r="O8" s="209">
        <f t="shared" si="1"/>
        <v>0.9</v>
      </c>
      <c r="P8" s="79"/>
      <c r="Q8" s="79"/>
      <c r="R8" s="79"/>
      <c r="S8" s="79"/>
      <c r="T8" s="79"/>
      <c r="U8" s="79"/>
      <c r="V8" s="79"/>
      <c r="W8" s="79"/>
      <c r="X8" s="79"/>
      <c r="Y8" s="79"/>
      <c r="Z8" s="79"/>
      <c r="AA8" s="79"/>
      <c r="AC8" s="82"/>
      <c r="AD8" s="82"/>
      <c r="AE8" s="82"/>
      <c r="AF8" s="82"/>
      <c r="AG8" s="82"/>
      <c r="AH8" s="82"/>
      <c r="AI8" s="82"/>
      <c r="AJ8" s="82"/>
      <c r="AK8" s="82"/>
      <c r="AL8" s="82"/>
      <c r="AM8" s="82"/>
      <c r="AN8" s="82"/>
    </row>
    <row r="9" spans="1:45" ht="15.6" customHeight="1" x14ac:dyDescent="0.25">
      <c r="A9" s="205" t="s">
        <v>266</v>
      </c>
      <c r="B9" s="205" t="s">
        <v>267</v>
      </c>
      <c r="C9" s="79">
        <v>4.9500000000000002E-2</v>
      </c>
      <c r="D9" s="79">
        <v>4.2750000000000003E-2</v>
      </c>
      <c r="E9" s="79">
        <v>4.0500000000000001E-2</v>
      </c>
      <c r="F9" s="79">
        <v>3.8250000000000006E-2</v>
      </c>
      <c r="G9" s="79">
        <v>3.6000000000000004E-2</v>
      </c>
      <c r="H9" s="79">
        <v>3.6000000000000004E-2</v>
      </c>
      <c r="I9" s="79">
        <v>3.6000000000000004E-2</v>
      </c>
      <c r="J9" s="79">
        <v>3.6000000000000004E-2</v>
      </c>
      <c r="K9" s="79">
        <v>3.3750000000000002E-2</v>
      </c>
      <c r="L9" s="79">
        <v>3.3750000000000002E-2</v>
      </c>
      <c r="M9" s="79">
        <v>3.3750000000000002E-2</v>
      </c>
      <c r="N9" s="79">
        <v>3.3750000000000002E-2</v>
      </c>
      <c r="O9" s="209">
        <f t="shared" si="1"/>
        <v>0.45000000000000007</v>
      </c>
      <c r="P9" s="79"/>
      <c r="Q9" s="79"/>
      <c r="R9" s="79"/>
      <c r="S9" s="79"/>
      <c r="T9" s="79"/>
      <c r="U9" s="79"/>
      <c r="V9" s="79"/>
      <c r="W9" s="79"/>
      <c r="X9" s="79"/>
      <c r="Y9" s="79"/>
      <c r="Z9" s="79"/>
      <c r="AA9" s="79"/>
      <c r="AC9" s="82"/>
      <c r="AD9" s="82"/>
      <c r="AE9" s="82"/>
      <c r="AF9" s="82"/>
      <c r="AG9" s="82"/>
      <c r="AH9" s="82"/>
      <c r="AI9" s="82"/>
      <c r="AJ9" s="82"/>
      <c r="AK9" s="82"/>
      <c r="AL9" s="82"/>
      <c r="AM9" s="82"/>
      <c r="AN9" s="82"/>
    </row>
    <row r="10" spans="1:45" ht="15.6" customHeight="1" x14ac:dyDescent="0.25">
      <c r="A10" s="205" t="s">
        <v>268</v>
      </c>
      <c r="B10" s="205" t="s">
        <v>215</v>
      </c>
      <c r="C10" s="79">
        <v>0.14000000000000001</v>
      </c>
      <c r="D10" s="79">
        <v>0.1</v>
      </c>
      <c r="E10" s="79">
        <v>0.1</v>
      </c>
      <c r="F10" s="79">
        <v>0.05</v>
      </c>
      <c r="G10" s="79">
        <v>0.05</v>
      </c>
      <c r="H10" s="79">
        <v>0.05</v>
      </c>
      <c r="I10" s="79">
        <v>0.05</v>
      </c>
      <c r="J10" s="79">
        <v>0.05</v>
      </c>
      <c r="K10" s="79">
        <v>0.05</v>
      </c>
      <c r="L10" s="79">
        <v>0.03</v>
      </c>
      <c r="M10" s="79">
        <v>0.03</v>
      </c>
      <c r="N10" s="79">
        <v>0.03</v>
      </c>
      <c r="O10" s="209">
        <f>SUM(C10:N10)</f>
        <v>0.7300000000000002</v>
      </c>
      <c r="P10" s="79"/>
      <c r="Q10" s="79"/>
      <c r="R10" s="79"/>
      <c r="S10" s="79"/>
      <c r="T10" s="79"/>
      <c r="U10" s="79"/>
      <c r="V10" s="79"/>
      <c r="W10" s="79"/>
      <c r="X10" s="79"/>
      <c r="Y10" s="79"/>
      <c r="Z10" s="79"/>
      <c r="AA10" s="79"/>
      <c r="AC10" s="82"/>
      <c r="AD10" s="82"/>
      <c r="AE10" s="82"/>
      <c r="AF10" s="82"/>
      <c r="AG10" s="82"/>
      <c r="AH10" s="82"/>
      <c r="AI10" s="82"/>
      <c r="AJ10" s="82"/>
      <c r="AK10" s="82"/>
      <c r="AL10" s="82"/>
      <c r="AM10" s="82"/>
      <c r="AN10" s="82"/>
    </row>
    <row r="11" spans="1:45" ht="15.6" customHeight="1" x14ac:dyDescent="0.25">
      <c r="A11" s="205" t="s">
        <v>269</v>
      </c>
      <c r="B11" s="205" t="s">
        <v>270</v>
      </c>
      <c r="C11" s="79">
        <v>0.2</v>
      </c>
      <c r="D11" s="79">
        <v>0.17</v>
      </c>
      <c r="E11" s="79">
        <v>0.16</v>
      </c>
      <c r="F11" s="79">
        <v>0.15</v>
      </c>
      <c r="G11" s="79">
        <v>0.09</v>
      </c>
      <c r="H11" s="79">
        <v>0.05</v>
      </c>
      <c r="I11" s="79">
        <v>0.05</v>
      </c>
      <c r="J11" s="79">
        <v>0.04</v>
      </c>
      <c r="K11" s="79">
        <v>0</v>
      </c>
      <c r="L11" s="79">
        <v>0</v>
      </c>
      <c r="M11" s="79">
        <v>0</v>
      </c>
      <c r="N11" s="79">
        <v>0</v>
      </c>
      <c r="O11" s="209">
        <f>SUM(C11:N11)</f>
        <v>0.91000000000000014</v>
      </c>
      <c r="P11" s="79"/>
      <c r="Q11" s="79"/>
      <c r="R11" s="79"/>
      <c r="S11" s="79"/>
      <c r="T11" s="79"/>
      <c r="U11" s="79"/>
      <c r="V11" s="79"/>
      <c r="W11" s="79"/>
      <c r="X11" s="79"/>
      <c r="Y11" s="79"/>
      <c r="Z11" s="79"/>
      <c r="AA11" s="79"/>
      <c r="AC11" s="82"/>
      <c r="AD11" s="82"/>
      <c r="AE11" s="82"/>
      <c r="AF11" s="82"/>
      <c r="AG11" s="82"/>
      <c r="AH11" s="82"/>
      <c r="AI11" s="82"/>
      <c r="AJ11" s="82"/>
      <c r="AK11" s="82"/>
      <c r="AL11" s="82"/>
      <c r="AM11" s="82"/>
      <c r="AN11" s="82"/>
    </row>
    <row r="12" spans="1:45" ht="47.1" customHeight="1" x14ac:dyDescent="0.25">
      <c r="A12" s="206" t="s">
        <v>271</v>
      </c>
      <c r="B12" s="206" t="s">
        <v>272</v>
      </c>
      <c r="C12" s="79">
        <v>0.2</v>
      </c>
      <c r="D12" s="79">
        <v>0.17</v>
      </c>
      <c r="E12" s="79">
        <v>0.16</v>
      </c>
      <c r="F12" s="79">
        <v>0.15</v>
      </c>
      <c r="G12" s="79">
        <v>0.09</v>
      </c>
      <c r="H12" s="79">
        <v>0.05</v>
      </c>
      <c r="I12" s="79">
        <v>0.05</v>
      </c>
      <c r="J12" s="79">
        <v>0.04</v>
      </c>
      <c r="K12" s="79">
        <v>0</v>
      </c>
      <c r="L12" s="79">
        <v>0</v>
      </c>
      <c r="M12" s="79">
        <v>0</v>
      </c>
      <c r="N12" s="79">
        <v>0</v>
      </c>
      <c r="O12" s="209">
        <f t="shared" si="1"/>
        <v>0.91000000000000014</v>
      </c>
      <c r="P12" s="79"/>
      <c r="Q12" s="79"/>
      <c r="R12" s="79"/>
      <c r="S12" s="79"/>
      <c r="T12" s="79"/>
      <c r="U12" s="79"/>
      <c r="V12" s="79"/>
      <c r="W12" s="79"/>
      <c r="X12" s="79"/>
      <c r="Y12" s="79"/>
      <c r="Z12" s="79"/>
      <c r="AA12" s="79"/>
      <c r="AC12" s="82"/>
      <c r="AD12" s="82"/>
      <c r="AE12" s="82"/>
      <c r="AF12" s="82"/>
      <c r="AG12" s="82"/>
      <c r="AH12" s="82"/>
      <c r="AI12" s="82"/>
      <c r="AJ12" s="82"/>
      <c r="AK12" s="82"/>
      <c r="AL12" s="82"/>
      <c r="AM12" s="82"/>
      <c r="AN12" s="82"/>
    </row>
    <row r="13" spans="1:45" ht="31.35" customHeight="1" x14ac:dyDescent="0.25">
      <c r="A13" s="206" t="s">
        <v>273</v>
      </c>
      <c r="B13" s="206" t="s">
        <v>274</v>
      </c>
      <c r="C13" s="79">
        <v>0.14000000000000001</v>
      </c>
      <c r="D13" s="79">
        <v>0.1</v>
      </c>
      <c r="E13" s="79">
        <v>0.1</v>
      </c>
      <c r="F13" s="79">
        <v>0.05</v>
      </c>
      <c r="G13" s="79">
        <v>0.05</v>
      </c>
      <c r="H13" s="79">
        <v>0.05</v>
      </c>
      <c r="I13" s="79">
        <v>0.05</v>
      </c>
      <c r="J13" s="79">
        <v>0.05</v>
      </c>
      <c r="K13" s="79">
        <v>0.05</v>
      </c>
      <c r="L13" s="79">
        <v>0</v>
      </c>
      <c r="M13" s="79">
        <v>0</v>
      </c>
      <c r="N13" s="79">
        <v>0</v>
      </c>
      <c r="O13" s="209">
        <f t="shared" si="1"/>
        <v>0.64000000000000012</v>
      </c>
      <c r="P13" s="79"/>
      <c r="Q13" s="79"/>
      <c r="R13" s="79"/>
      <c r="S13" s="79"/>
      <c r="T13" s="79"/>
      <c r="U13" s="79"/>
      <c r="V13" s="79"/>
      <c r="W13" s="79"/>
      <c r="X13" s="79"/>
      <c r="Y13" s="79"/>
      <c r="Z13" s="79"/>
      <c r="AA13" s="79"/>
      <c r="AC13" s="82"/>
      <c r="AD13" s="82"/>
      <c r="AE13" s="82"/>
      <c r="AF13" s="82"/>
      <c r="AG13" s="82"/>
      <c r="AH13" s="82"/>
      <c r="AI13" s="82"/>
      <c r="AJ13" s="82"/>
      <c r="AK13" s="82"/>
      <c r="AL13" s="82"/>
      <c r="AM13" s="82"/>
      <c r="AN13" s="82"/>
    </row>
    <row r="14" spans="1:45" ht="47.1" customHeight="1" x14ac:dyDescent="0.25">
      <c r="A14" s="206" t="s">
        <v>275</v>
      </c>
      <c r="B14" s="206" t="s">
        <v>276</v>
      </c>
      <c r="C14" s="79">
        <v>0.04</v>
      </c>
      <c r="D14" s="79">
        <v>0.04</v>
      </c>
      <c r="E14" s="79">
        <v>1.7000000000000001E-2</v>
      </c>
      <c r="F14" s="79">
        <v>1.7000000000000001E-2</v>
      </c>
      <c r="G14" s="79">
        <v>1.7000000000000001E-2</v>
      </c>
      <c r="H14" s="79">
        <v>1.7000000000000001E-2</v>
      </c>
      <c r="I14" s="79">
        <v>1.7000000000000001E-2</v>
      </c>
      <c r="J14" s="79">
        <v>1.7000000000000001E-2</v>
      </c>
      <c r="K14" s="79">
        <v>1.7000000000000001E-2</v>
      </c>
      <c r="L14" s="79">
        <v>1.7000000000000001E-2</v>
      </c>
      <c r="M14" s="79">
        <v>1.7000000000000001E-2</v>
      </c>
      <c r="N14" s="79">
        <v>1.7000000000000001E-2</v>
      </c>
      <c r="O14" s="209">
        <f>SUM(C14:N14)</f>
        <v>0.25000000000000011</v>
      </c>
      <c r="P14" s="79"/>
      <c r="Q14" s="79"/>
      <c r="R14" s="79"/>
      <c r="S14" s="79"/>
      <c r="T14" s="79"/>
      <c r="U14" s="79"/>
      <c r="V14" s="79"/>
      <c r="W14" s="79"/>
      <c r="X14" s="79"/>
      <c r="Y14" s="79"/>
      <c r="Z14" s="79"/>
      <c r="AA14" s="79"/>
      <c r="AC14" s="82"/>
      <c r="AD14" s="82"/>
      <c r="AE14" s="82"/>
      <c r="AF14" s="82"/>
      <c r="AG14" s="82"/>
      <c r="AH14" s="82"/>
      <c r="AI14" s="82"/>
      <c r="AJ14" s="82"/>
      <c r="AK14" s="82"/>
      <c r="AL14" s="82"/>
      <c r="AM14" s="82"/>
      <c r="AN14" s="82"/>
    </row>
    <row r="15" spans="1:45" ht="15.75" customHeight="1" x14ac:dyDescent="0.25">
      <c r="B15" s="206"/>
    </row>
  </sheetData>
  <mergeCells count="1">
    <mergeCell ref="A1:O1"/>
  </mergeCells>
  <pageMargins left="0.7" right="0.7" top="0.75" bottom="0.75" header="0.3" footer="0.3"/>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Q102"/>
  <sheetViews>
    <sheetView zoomScale="85" zoomScaleNormal="85" workbookViewId="0">
      <pane xSplit="2" ySplit="6" topLeftCell="S7" activePane="bottomRight" state="frozen"/>
      <selection pane="topRight" activeCell="C1" sqref="C1"/>
      <selection pane="bottomLeft" activeCell="A7" sqref="A7"/>
      <selection pane="bottomRight" activeCell="AB15" sqref="AB15"/>
    </sheetView>
  </sheetViews>
  <sheetFormatPr defaultColWidth="10.85546875" defaultRowHeight="15" x14ac:dyDescent="0.25"/>
  <cols>
    <col min="2" max="2" width="52.42578125" customWidth="1"/>
    <col min="3" max="7" width="11.42578125" customWidth="1"/>
    <col min="8" max="8" width="12.140625" customWidth="1"/>
    <col min="9" max="9" width="8.42578125" customWidth="1"/>
    <col min="10" max="10" width="10.42578125" customWidth="1"/>
    <col min="11" max="11" width="8.42578125" customWidth="1"/>
    <col min="12" max="12" width="11.42578125" customWidth="1"/>
    <col min="13" max="20" width="9.42578125" customWidth="1"/>
    <col min="21" max="25" width="10.85546875" customWidth="1"/>
    <col min="26" max="26" width="11.140625" customWidth="1"/>
    <col min="27" max="37" width="9.42578125" customWidth="1"/>
    <col min="38" max="41" width="8.42578125" customWidth="1"/>
  </cols>
  <sheetData>
    <row r="1" spans="2:41" x14ac:dyDescent="0.25">
      <c r="B1" s="1264" t="s">
        <v>53</v>
      </c>
      <c r="C1" s="1264"/>
      <c r="D1" s="1264"/>
      <c r="E1" s="1264"/>
      <c r="F1" s="1264"/>
      <c r="G1" s="1264"/>
      <c r="H1" s="1264"/>
      <c r="I1" s="1264"/>
      <c r="J1" s="1264"/>
      <c r="K1" s="1264"/>
      <c r="L1" s="1264"/>
      <c r="M1" s="1264"/>
      <c r="N1" s="1264"/>
      <c r="O1" s="1264"/>
      <c r="P1" s="1264"/>
      <c r="Q1" s="1264"/>
      <c r="R1" s="1264"/>
      <c r="S1" s="1264"/>
      <c r="T1" s="1264"/>
      <c r="U1" s="1264"/>
      <c r="V1" s="1264"/>
      <c r="W1" s="1264"/>
      <c r="X1" s="1264"/>
      <c r="Y1" s="1264"/>
      <c r="Z1" s="1264"/>
      <c r="AA1" s="1264"/>
      <c r="AB1" s="1264"/>
      <c r="AC1" s="1264"/>
      <c r="AD1" s="212"/>
      <c r="AE1" s="212"/>
      <c r="AF1" s="212"/>
      <c r="AG1" s="212"/>
      <c r="AH1" s="212"/>
    </row>
    <row r="2" spans="2:41" ht="14.25" customHeight="1" x14ac:dyDescent="0.25">
      <c r="B2" s="1265" t="s">
        <v>277</v>
      </c>
      <c r="C2" s="1265"/>
      <c r="D2" s="1265"/>
      <c r="E2" s="1265"/>
      <c r="F2" s="1265"/>
      <c r="G2" s="1265"/>
      <c r="H2" s="1265"/>
      <c r="I2" s="1265"/>
      <c r="J2" s="1265"/>
      <c r="K2" s="1265"/>
      <c r="L2" s="1265"/>
      <c r="M2" s="1265"/>
      <c r="N2" s="1265"/>
      <c r="O2" s="1265"/>
      <c r="P2" s="1265"/>
      <c r="Q2" s="1265"/>
      <c r="R2" s="1265"/>
      <c r="S2" s="1265"/>
      <c r="T2" s="1265"/>
      <c r="U2" s="1265"/>
      <c r="V2" s="1265"/>
      <c r="W2" s="1265"/>
      <c r="X2" s="1265"/>
      <c r="Y2" s="1265"/>
      <c r="Z2" s="1265"/>
      <c r="AA2" s="1265"/>
      <c r="AB2" s="1265"/>
      <c r="AC2" s="1265"/>
      <c r="AD2" s="213"/>
      <c r="AE2" s="213"/>
      <c r="AF2" s="213"/>
      <c r="AG2" s="213"/>
      <c r="AH2" s="213"/>
    </row>
    <row r="3" spans="2:41" x14ac:dyDescent="0.25">
      <c r="B3" s="1265"/>
      <c r="C3" s="1265"/>
      <c r="D3" s="1265"/>
      <c r="E3" s="1265"/>
      <c r="F3" s="1265"/>
      <c r="G3" s="1265"/>
      <c r="H3" s="1265"/>
      <c r="I3" s="1265"/>
      <c r="J3" s="1265"/>
      <c r="K3" s="1265"/>
      <c r="L3" s="1265"/>
      <c r="M3" s="1265"/>
      <c r="N3" s="1265"/>
      <c r="O3" s="1265"/>
      <c r="P3" s="1265"/>
      <c r="Q3" s="1265"/>
      <c r="R3" s="1265"/>
      <c r="S3" s="1265"/>
      <c r="T3" s="1265"/>
      <c r="U3" s="1265"/>
      <c r="V3" s="1265"/>
      <c r="W3" s="1265"/>
      <c r="X3" s="1265"/>
      <c r="Y3" s="1265"/>
      <c r="Z3" s="1265"/>
      <c r="AA3" s="1265"/>
      <c r="AB3" s="1265"/>
      <c r="AC3" s="1265"/>
      <c r="AD3" s="213"/>
      <c r="AE3" s="213"/>
      <c r="AF3" s="213"/>
      <c r="AG3" s="213"/>
      <c r="AH3" s="213"/>
    </row>
    <row r="4" spans="2:41" x14ac:dyDescent="0.25">
      <c r="B4" s="1265"/>
      <c r="C4" s="1265"/>
      <c r="D4" s="1265"/>
      <c r="E4" s="1265"/>
      <c r="F4" s="1265"/>
      <c r="G4" s="1265"/>
      <c r="H4" s="1265"/>
      <c r="I4" s="1265"/>
      <c r="J4" s="1265"/>
      <c r="K4" s="1265"/>
      <c r="L4" s="1265"/>
      <c r="M4" s="1265"/>
      <c r="N4" s="1265"/>
      <c r="O4" s="1265"/>
      <c r="P4" s="1265"/>
      <c r="Q4" s="1265"/>
      <c r="R4" s="1265"/>
      <c r="S4" s="1265"/>
      <c r="T4" s="1265"/>
      <c r="U4" s="1265"/>
      <c r="V4" s="1265"/>
      <c r="W4" s="1265"/>
      <c r="X4" s="1265"/>
      <c r="Y4" s="1265"/>
      <c r="Z4" s="1265"/>
      <c r="AA4" s="1265"/>
      <c r="AB4" s="1265"/>
      <c r="AC4" s="1265"/>
      <c r="AD4" s="213"/>
      <c r="AE4" s="213"/>
      <c r="AF4" s="213"/>
      <c r="AG4" s="213"/>
      <c r="AH4" s="213"/>
    </row>
    <row r="5" spans="2:41" x14ac:dyDescent="0.25">
      <c r="B5" s="1265"/>
      <c r="C5" s="1265"/>
      <c r="D5" s="1265"/>
      <c r="E5" s="1265"/>
      <c r="F5" s="1265"/>
      <c r="G5" s="1265"/>
      <c r="H5" s="1265"/>
      <c r="I5" s="1265"/>
      <c r="J5" s="1265"/>
      <c r="K5" s="1265"/>
      <c r="L5" s="1265"/>
      <c r="M5" s="1265"/>
      <c r="N5" s="1265"/>
      <c r="O5" s="1265"/>
      <c r="P5" s="1265"/>
      <c r="Q5" s="1265"/>
      <c r="R5" s="1265"/>
      <c r="S5" s="1265"/>
      <c r="T5" s="1265"/>
      <c r="U5" s="1265"/>
      <c r="V5" s="1265"/>
      <c r="W5" s="1265"/>
      <c r="X5" s="1265"/>
      <c r="Y5" s="1265"/>
      <c r="Z5" s="1265"/>
      <c r="AA5" s="1265"/>
      <c r="AB5" s="1265"/>
      <c r="AC5" s="1265"/>
      <c r="AD5" s="213"/>
      <c r="AE5" s="213"/>
      <c r="AF5" s="213"/>
      <c r="AG5" s="213"/>
      <c r="AH5" s="213"/>
    </row>
    <row r="6" spans="2:41" ht="38.85" customHeight="1" x14ac:dyDescent="0.25">
      <c r="B6" s="1265"/>
      <c r="C6" s="1265"/>
      <c r="D6" s="1265"/>
      <c r="E6" s="1265"/>
      <c r="F6" s="1265"/>
      <c r="G6" s="1265"/>
      <c r="H6" s="1265"/>
      <c r="I6" s="1265"/>
      <c r="J6" s="1265"/>
      <c r="K6" s="1265"/>
      <c r="L6" s="1265"/>
      <c r="M6" s="1265"/>
      <c r="N6" s="1265"/>
      <c r="O6" s="1265"/>
      <c r="P6" s="1265"/>
      <c r="Q6" s="1265"/>
      <c r="R6" s="1265"/>
      <c r="S6" s="1265"/>
      <c r="T6" s="1265"/>
      <c r="U6" s="1265"/>
      <c r="V6" s="1265"/>
      <c r="W6" s="1265"/>
      <c r="X6" s="1265"/>
      <c r="Y6" s="1265"/>
      <c r="Z6" s="1265"/>
      <c r="AA6" s="1265"/>
      <c r="AB6" s="1265"/>
      <c r="AC6" s="1265"/>
      <c r="AD6" s="213"/>
      <c r="AE6" s="213"/>
      <c r="AF6" s="213"/>
      <c r="AG6" s="213"/>
      <c r="AH6" s="213"/>
    </row>
    <row r="7" spans="2:41" x14ac:dyDescent="0.25">
      <c r="B7" s="258"/>
      <c r="C7" s="258"/>
      <c r="D7" s="258"/>
      <c r="E7" s="258"/>
      <c r="F7" s="258"/>
      <c r="G7" s="258"/>
      <c r="H7" s="259"/>
      <c r="I7" s="259"/>
      <c r="J7" s="259"/>
      <c r="K7" s="259"/>
      <c r="L7" s="259"/>
      <c r="M7" s="259"/>
      <c r="N7" s="259"/>
      <c r="O7" s="259"/>
      <c r="P7" s="259"/>
      <c r="Q7" s="259"/>
      <c r="R7" s="259"/>
      <c r="S7" s="259"/>
      <c r="T7" s="259"/>
      <c r="U7" s="259"/>
      <c r="V7" s="259"/>
    </row>
    <row r="8" spans="2:41" ht="14.85" customHeight="1" x14ac:dyDescent="0.25">
      <c r="B8" s="1269" t="s">
        <v>278</v>
      </c>
      <c r="C8" s="1270"/>
      <c r="D8" s="1279" t="s">
        <v>279</v>
      </c>
      <c r="E8" s="1279"/>
      <c r="F8" s="1279"/>
      <c r="G8" s="1279"/>
      <c r="H8" s="1279"/>
      <c r="I8" s="1279"/>
      <c r="J8" s="1279"/>
      <c r="K8" s="1279"/>
      <c r="L8" s="1279"/>
      <c r="M8" s="1279"/>
      <c r="N8" s="1279"/>
      <c r="O8" s="1279"/>
      <c r="P8" s="1279"/>
      <c r="Q8" s="1279"/>
      <c r="R8" s="1279"/>
      <c r="S8" s="1279"/>
      <c r="T8" s="1279"/>
      <c r="U8" s="1279"/>
      <c r="V8" s="1279"/>
      <c r="W8" s="1279"/>
      <c r="X8" s="1279"/>
      <c r="Y8" s="1279"/>
      <c r="Z8" s="1279"/>
      <c r="AA8" s="1279"/>
      <c r="AB8" s="1279"/>
      <c r="AC8" s="1277" t="s">
        <v>280</v>
      </c>
      <c r="AD8" s="1277"/>
      <c r="AE8" s="1277"/>
      <c r="AF8" s="1277"/>
      <c r="AG8" s="1277"/>
      <c r="AH8" s="1277"/>
      <c r="AI8" s="1277"/>
      <c r="AJ8" s="1277"/>
      <c r="AK8" s="1277"/>
      <c r="AL8" s="1277"/>
      <c r="AM8" s="1277"/>
      <c r="AN8" s="1278"/>
    </row>
    <row r="9" spans="2:41" ht="12.75" customHeight="1" x14ac:dyDescent="0.25">
      <c r="B9" s="1271"/>
      <c r="C9" s="1272"/>
      <c r="D9" s="214">
        <v>2018</v>
      </c>
      <c r="E9" s="1266">
        <v>2019</v>
      </c>
      <c r="F9" s="1267"/>
      <c r="G9" s="1267"/>
      <c r="H9" s="1268"/>
      <c r="I9" s="1266">
        <v>2020</v>
      </c>
      <c r="J9" s="1267"/>
      <c r="K9" s="1267"/>
      <c r="L9" s="1268"/>
      <c r="M9" s="1266">
        <v>2021</v>
      </c>
      <c r="N9" s="1267"/>
      <c r="O9" s="1267"/>
      <c r="P9" s="1268"/>
      <c r="Q9" s="1266">
        <v>2022</v>
      </c>
      <c r="R9" s="1267"/>
      <c r="S9" s="1267"/>
      <c r="T9" s="1268"/>
      <c r="U9" s="1266">
        <v>2023</v>
      </c>
      <c r="V9" s="1267"/>
      <c r="W9" s="1267"/>
      <c r="X9" s="1268"/>
      <c r="Y9" s="282"/>
      <c r="Z9" s="220">
        <v>2024</v>
      </c>
      <c r="AA9" s="220"/>
      <c r="AB9" s="219"/>
      <c r="AC9" s="1275">
        <v>2025</v>
      </c>
      <c r="AD9" s="1276"/>
      <c r="AE9" s="1276"/>
      <c r="AF9" s="1276"/>
      <c r="AG9" s="1275">
        <v>2026</v>
      </c>
      <c r="AH9" s="1276"/>
      <c r="AI9" s="1276"/>
      <c r="AJ9" s="1280"/>
      <c r="AK9" s="1275">
        <v>2027</v>
      </c>
      <c r="AL9" s="1276"/>
      <c r="AM9" s="1276"/>
      <c r="AN9" s="1280"/>
    </row>
    <row r="10" spans="2:41" ht="14.85" customHeight="1" x14ac:dyDescent="0.25">
      <c r="B10" s="1273"/>
      <c r="C10" s="1274"/>
      <c r="D10" s="214" t="s">
        <v>281</v>
      </c>
      <c r="E10" s="214" t="s">
        <v>282</v>
      </c>
      <c r="F10" s="215" t="s">
        <v>283</v>
      </c>
      <c r="G10" s="215" t="s">
        <v>238</v>
      </c>
      <c r="H10" s="221" t="s">
        <v>281</v>
      </c>
      <c r="I10" s="215" t="s">
        <v>282</v>
      </c>
      <c r="J10" s="215" t="s">
        <v>283</v>
      </c>
      <c r="K10" s="215" t="s">
        <v>238</v>
      </c>
      <c r="L10" s="215" t="s">
        <v>281</v>
      </c>
      <c r="M10" s="275" t="s">
        <v>282</v>
      </c>
      <c r="N10" s="276" t="s">
        <v>283</v>
      </c>
      <c r="O10" s="276" t="s">
        <v>238</v>
      </c>
      <c r="P10" s="274" t="s">
        <v>281</v>
      </c>
      <c r="Q10" s="275" t="s">
        <v>282</v>
      </c>
      <c r="R10" s="276" t="s">
        <v>283</v>
      </c>
      <c r="S10" s="276" t="s">
        <v>238</v>
      </c>
      <c r="T10" s="274" t="s">
        <v>281</v>
      </c>
      <c r="U10" s="275" t="s">
        <v>282</v>
      </c>
      <c r="V10" s="276" t="s">
        <v>283</v>
      </c>
      <c r="W10" s="276" t="s">
        <v>238</v>
      </c>
      <c r="X10" s="274" t="s">
        <v>281</v>
      </c>
      <c r="Y10" s="275" t="s">
        <v>282</v>
      </c>
      <c r="Z10" s="281" t="s">
        <v>283</v>
      </c>
      <c r="AA10" s="276" t="s">
        <v>238</v>
      </c>
      <c r="AB10" s="274" t="s">
        <v>281</v>
      </c>
      <c r="AC10" s="275" t="s">
        <v>282</v>
      </c>
      <c r="AD10" s="260" t="s">
        <v>283</v>
      </c>
      <c r="AE10" s="262" t="s">
        <v>238</v>
      </c>
      <c r="AF10" s="262" t="s">
        <v>281</v>
      </c>
      <c r="AG10" s="225" t="s">
        <v>282</v>
      </c>
      <c r="AH10" s="260" t="s">
        <v>283</v>
      </c>
      <c r="AI10" s="260" t="s">
        <v>238</v>
      </c>
      <c r="AJ10" s="279" t="s">
        <v>281</v>
      </c>
      <c r="AK10" s="225" t="s">
        <v>282</v>
      </c>
      <c r="AL10" s="260" t="s">
        <v>283</v>
      </c>
      <c r="AM10" s="260" t="s">
        <v>238</v>
      </c>
      <c r="AN10" s="279" t="s">
        <v>281</v>
      </c>
    </row>
    <row r="11" spans="2:41" x14ac:dyDescent="0.25">
      <c r="B11" s="247" t="s">
        <v>102</v>
      </c>
      <c r="C11" s="263" t="s">
        <v>284</v>
      </c>
      <c r="D11" s="249">
        <f>'Haver Pivoted'!GO14</f>
        <v>27.1</v>
      </c>
      <c r="E11" s="277">
        <f>'Haver Pivoted'!GP14</f>
        <v>29.6</v>
      </c>
      <c r="F11" s="277">
        <f>'Haver Pivoted'!GQ14</f>
        <v>27.3</v>
      </c>
      <c r="G11" s="277">
        <f>'Haver Pivoted'!GR14</f>
        <v>26.4</v>
      </c>
      <c r="H11" s="277">
        <f>'Haver Pivoted'!GS14</f>
        <v>26.7</v>
      </c>
      <c r="I11" s="277">
        <f>'Haver Pivoted'!GT14</f>
        <v>40.1</v>
      </c>
      <c r="J11" s="277">
        <f>'Haver Pivoted'!GU14</f>
        <v>951.5</v>
      </c>
      <c r="K11" s="277">
        <f>'Haver Pivoted'!GV14</f>
        <v>800</v>
      </c>
      <c r="L11" s="277">
        <f>'Haver Pivoted'!GW14</f>
        <v>322.7</v>
      </c>
      <c r="M11" s="277">
        <f>'Haver Pivoted'!GX14</f>
        <v>583.79999999999995</v>
      </c>
      <c r="N11" s="277">
        <f>'Haver Pivoted'!GY14</f>
        <v>440.8</v>
      </c>
      <c r="O11" s="277">
        <f>'Haver Pivoted'!GZ14</f>
        <v>212.8</v>
      </c>
      <c r="P11" s="277">
        <f>'Haver Pivoted'!HA14</f>
        <v>31.8</v>
      </c>
      <c r="Q11" s="222">
        <f>'Haver Pivoted'!HB14</f>
        <v>24.5</v>
      </c>
      <c r="R11" s="222">
        <f>'Haver Pivoted'!HC14</f>
        <v>21.7</v>
      </c>
      <c r="S11" s="215">
        <f>'Haver Pivoted'!HD14</f>
        <v>23.1</v>
      </c>
      <c r="T11" s="215">
        <f>'Haver Pivoted'!HE14</f>
        <v>25.9</v>
      </c>
      <c r="U11" s="215">
        <f>'Haver Pivoted'!HF14</f>
        <v>30.1</v>
      </c>
      <c r="V11" s="215">
        <f>'Haver Pivoted'!HG14</f>
        <v>32.700000000000003</v>
      </c>
      <c r="W11" s="215">
        <f>'Haver Pivoted'!HH14</f>
        <v>34.700000000000003</v>
      </c>
      <c r="X11" s="215">
        <f>'Haver Pivoted'!HI14</f>
        <v>35.299999999999997</v>
      </c>
      <c r="Y11" s="215">
        <f>'Haver Pivoted'!HJ14</f>
        <v>34.9</v>
      </c>
      <c r="Z11" s="215">
        <f>'Haver Pivoted'!HK14</f>
        <v>34.9</v>
      </c>
      <c r="AA11" s="215">
        <f>'Haver Pivoted'!HL14</f>
        <v>35.700000000000003</v>
      </c>
      <c r="AB11" s="215">
        <f>'Haver Pivoted'!HM14</f>
        <v>36.1</v>
      </c>
      <c r="AC11" s="215">
        <f>'Haver Pivoted'!HN14</f>
        <v>35.799999999999997</v>
      </c>
      <c r="AD11" s="268">
        <f t="shared" ref="AD11:AG11" si="0">AD13+AD14+AD21</f>
        <v>35.700000000000003</v>
      </c>
      <c r="AE11" s="268">
        <f t="shared" si="0"/>
        <v>35.700000000000003</v>
      </c>
      <c r="AF11" s="268">
        <f t="shared" si="0"/>
        <v>35.700000000000003</v>
      </c>
      <c r="AG11" s="224">
        <f t="shared" si="0"/>
        <v>35.700000000000003</v>
      </c>
      <c r="AH11" s="224">
        <f>AH13+AH14+AH21</f>
        <v>35.700000000000003</v>
      </c>
      <c r="AI11" s="224">
        <f t="shared" ref="AI11:AN11" si="1">AI13+AI14+AI21</f>
        <v>35.700000000000003</v>
      </c>
      <c r="AJ11" s="224">
        <f t="shared" si="1"/>
        <v>35.700000000000003</v>
      </c>
      <c r="AK11" s="224">
        <f t="shared" si="1"/>
        <v>36.700000000000003</v>
      </c>
      <c r="AL11" s="224">
        <f t="shared" si="1"/>
        <v>37.700000000000003</v>
      </c>
      <c r="AM11" s="224">
        <f t="shared" si="1"/>
        <v>38.700000000000003</v>
      </c>
      <c r="AN11" s="224">
        <f t="shared" si="1"/>
        <v>39.700000000000003</v>
      </c>
      <c r="AO11" s="238" t="s">
        <v>285</v>
      </c>
    </row>
    <row r="12" spans="2:41" x14ac:dyDescent="0.25">
      <c r="B12" s="280" t="s">
        <v>1952</v>
      </c>
      <c r="C12" s="223"/>
      <c r="D12" s="265"/>
      <c r="E12" s="222"/>
      <c r="F12" s="222"/>
      <c r="G12" s="222"/>
      <c r="H12" s="222"/>
      <c r="I12" s="222"/>
      <c r="J12" s="222"/>
      <c r="K12" s="222"/>
      <c r="L12" s="222"/>
      <c r="M12" s="222"/>
      <c r="N12" s="222"/>
      <c r="O12" s="222"/>
      <c r="P12" s="222"/>
      <c r="Q12" s="222"/>
      <c r="R12" s="222"/>
      <c r="S12" s="215"/>
      <c r="T12" s="215"/>
      <c r="U12" s="215"/>
      <c r="V12" s="215"/>
      <c r="W12" s="215"/>
      <c r="X12" s="215"/>
      <c r="Y12" s="215"/>
      <c r="Z12" s="215"/>
      <c r="AA12" s="215"/>
      <c r="AB12" s="215"/>
      <c r="AC12" s="215"/>
      <c r="AD12" s="224"/>
      <c r="AE12" s="224"/>
      <c r="AF12" s="224"/>
      <c r="AG12" s="224"/>
      <c r="AH12" s="224"/>
      <c r="AI12" s="224"/>
      <c r="AJ12" s="224"/>
      <c r="AK12" s="224"/>
      <c r="AL12" s="224"/>
      <c r="AM12" s="224"/>
      <c r="AN12" s="224"/>
    </row>
    <row r="13" spans="2:41" x14ac:dyDescent="0.25">
      <c r="B13" s="257" t="s">
        <v>286</v>
      </c>
      <c r="C13" s="250" t="s">
        <v>287</v>
      </c>
      <c r="D13" s="265">
        <f>'Haver Pivoted'!GO63</f>
        <v>0</v>
      </c>
      <c r="E13" s="222">
        <f>'Haver Pivoted'!GP63</f>
        <v>0</v>
      </c>
      <c r="F13" s="222">
        <f>'Haver Pivoted'!GQ63</f>
        <v>0</v>
      </c>
      <c r="G13" s="222">
        <f>'Haver Pivoted'!GR63</f>
        <v>0</v>
      </c>
      <c r="H13" s="222">
        <f>'Haver Pivoted'!GS63</f>
        <v>0</v>
      </c>
      <c r="I13" s="222">
        <f>'Haver Pivoted'!GT63</f>
        <v>0</v>
      </c>
      <c r="J13" s="222">
        <f>'Haver Pivoted'!GU63</f>
        <v>0.1</v>
      </c>
      <c r="K13" s="222">
        <f>'Haver Pivoted'!GV63</f>
        <v>3.7</v>
      </c>
      <c r="L13" s="222">
        <f>'Haver Pivoted'!GW63</f>
        <v>12.9</v>
      </c>
      <c r="M13" s="222">
        <f>'Haver Pivoted'!GX63</f>
        <v>25.5</v>
      </c>
      <c r="N13" s="222">
        <f>'Haver Pivoted'!GY63</f>
        <v>3.8</v>
      </c>
      <c r="O13" s="222">
        <f>'Haver Pivoted'!GZ63</f>
        <v>1.8</v>
      </c>
      <c r="P13" s="222">
        <f>'Haver Pivoted'!HA63</f>
        <v>0.6</v>
      </c>
      <c r="Q13" s="222">
        <f>'Haver Pivoted'!HB63</f>
        <v>0.2</v>
      </c>
      <c r="R13" s="222">
        <f>'Haver Pivoted'!HC63</f>
        <v>0.1</v>
      </c>
      <c r="S13" s="215">
        <f>'Haver Pivoted'!HD63</f>
        <v>0</v>
      </c>
      <c r="T13" s="215">
        <f>'Haver Pivoted'!HE63</f>
        <v>0</v>
      </c>
      <c r="U13" s="215">
        <f>'Haver Pivoted'!HF63</f>
        <v>0</v>
      </c>
      <c r="V13" s="215">
        <f>'Haver Pivoted'!HG63</f>
        <v>0</v>
      </c>
      <c r="W13" s="215">
        <f>'Haver Pivoted'!HH63</f>
        <v>0</v>
      </c>
      <c r="X13" s="215">
        <f>'Haver Pivoted'!HI63</f>
        <v>0</v>
      </c>
      <c r="Y13" s="215">
        <f>'Haver Pivoted'!HJ63</f>
        <v>0</v>
      </c>
      <c r="Z13" s="215">
        <f>'Haver Pivoted'!HK63</f>
        <v>0</v>
      </c>
      <c r="AA13" s="215">
        <f>'Haver Pivoted'!HL63</f>
        <v>0</v>
      </c>
      <c r="AB13" s="215">
        <f>'Haver Pivoted'!HM63</f>
        <v>0</v>
      </c>
      <c r="AC13" s="215">
        <f>'Haver Pivoted'!HN63</f>
        <v>0</v>
      </c>
      <c r="AD13" s="224">
        <f t="shared" ref="AD13:AH13" si="2">AC13*AD24/AC24</f>
        <v>0</v>
      </c>
      <c r="AE13" s="224">
        <f t="shared" si="2"/>
        <v>0</v>
      </c>
      <c r="AF13" s="224">
        <f t="shared" si="2"/>
        <v>0</v>
      </c>
      <c r="AG13" s="224">
        <f t="shared" si="2"/>
        <v>0</v>
      </c>
      <c r="AH13" s="224">
        <f t="shared" si="2"/>
        <v>0</v>
      </c>
      <c r="AI13" s="224">
        <f t="shared" ref="AI13" si="3">AH13*AI24/AH24</f>
        <v>0</v>
      </c>
      <c r="AJ13" s="224">
        <f>AI13*AJ24/AI24</f>
        <v>0</v>
      </c>
      <c r="AK13" s="224">
        <f t="shared" ref="AK13:AN13" si="4">AJ13*AK24/AJ24</f>
        <v>0</v>
      </c>
      <c r="AL13" s="224">
        <f t="shared" si="4"/>
        <v>0</v>
      </c>
      <c r="AM13" s="224">
        <f t="shared" si="4"/>
        <v>0</v>
      </c>
      <c r="AN13" s="224">
        <f t="shared" si="4"/>
        <v>0</v>
      </c>
    </row>
    <row r="14" spans="2:41" x14ac:dyDescent="0.25">
      <c r="B14" s="257" t="s">
        <v>288</v>
      </c>
      <c r="C14" s="250"/>
      <c r="D14" s="265"/>
      <c r="E14" s="222"/>
      <c r="F14" s="222"/>
      <c r="G14" s="222"/>
      <c r="H14" s="230">
        <f>SUM(H15:H18)</f>
        <v>0</v>
      </c>
      <c r="I14" s="230">
        <f t="shared" ref="I14:M14" si="5">SUM(I15:I18)</f>
        <v>0</v>
      </c>
      <c r="J14" s="230">
        <f t="shared" si="5"/>
        <v>779.7</v>
      </c>
      <c r="K14" s="230">
        <f t="shared" si="5"/>
        <v>582.6</v>
      </c>
      <c r="L14" s="230">
        <f t="shared" si="5"/>
        <v>216.5</v>
      </c>
      <c r="M14" s="230">
        <f t="shared" si="5"/>
        <v>497.6</v>
      </c>
      <c r="N14" s="235">
        <f>SUM(N15:N18)</f>
        <v>401.5</v>
      </c>
      <c r="O14" s="235">
        <f t="shared" ref="O14:AC14" si="6">SUM(O15:O18)</f>
        <v>207.4</v>
      </c>
      <c r="P14" s="235">
        <f t="shared" si="6"/>
        <v>5.5</v>
      </c>
      <c r="Q14" s="235">
        <v>0</v>
      </c>
      <c r="R14" s="235">
        <f t="shared" si="6"/>
        <v>1</v>
      </c>
      <c r="S14" s="235">
        <f t="shared" si="6"/>
        <v>0.5</v>
      </c>
      <c r="T14" s="235">
        <f t="shared" si="6"/>
        <v>0.30000000000000004</v>
      </c>
      <c r="U14" s="235">
        <f t="shared" si="6"/>
        <v>0</v>
      </c>
      <c r="V14" s="230">
        <f t="shared" si="6"/>
        <v>0</v>
      </c>
      <c r="W14" s="230">
        <f t="shared" si="6"/>
        <v>0</v>
      </c>
      <c r="X14" s="224">
        <f>SUM(X15:X18)</f>
        <v>0</v>
      </c>
      <c r="Y14" s="224">
        <f t="shared" si="6"/>
        <v>0</v>
      </c>
      <c r="Z14" s="224">
        <f t="shared" si="6"/>
        <v>0</v>
      </c>
      <c r="AA14" s="224">
        <f t="shared" si="6"/>
        <v>0</v>
      </c>
      <c r="AB14" s="224">
        <f t="shared" si="6"/>
        <v>0</v>
      </c>
      <c r="AC14" s="224">
        <f t="shared" si="6"/>
        <v>0</v>
      </c>
      <c r="AD14" s="224">
        <f t="shared" ref="AD14:AG14" si="7">SUM(AD15:AD18)</f>
        <v>0</v>
      </c>
      <c r="AE14" s="224">
        <f t="shared" si="7"/>
        <v>0</v>
      </c>
      <c r="AF14" s="224">
        <f t="shared" si="7"/>
        <v>0</v>
      </c>
      <c r="AG14" s="224">
        <f t="shared" si="7"/>
        <v>0</v>
      </c>
      <c r="AH14" s="224">
        <f t="shared" ref="AH14:AI14" si="8">SUM(AH15:AH18)</f>
        <v>0</v>
      </c>
      <c r="AI14" s="224">
        <f t="shared" si="8"/>
        <v>0</v>
      </c>
      <c r="AJ14" s="224">
        <f>SUM(AJ15:AJ18)</f>
        <v>0</v>
      </c>
      <c r="AK14" s="224">
        <f t="shared" ref="AK14:AN14" si="9">SUM(AK15:AK18)</f>
        <v>0</v>
      </c>
      <c r="AL14" s="224">
        <f t="shared" si="9"/>
        <v>0</v>
      </c>
      <c r="AM14" s="224">
        <f t="shared" si="9"/>
        <v>0</v>
      </c>
      <c r="AN14" s="224">
        <f t="shared" si="9"/>
        <v>0</v>
      </c>
    </row>
    <row r="15" spans="2:41" ht="18" customHeight="1" x14ac:dyDescent="0.25">
      <c r="B15" s="243" t="s">
        <v>289</v>
      </c>
      <c r="C15" s="244" t="s">
        <v>287</v>
      </c>
      <c r="D15" s="264">
        <f>'Haver Pivoted'!GO63</f>
        <v>0</v>
      </c>
      <c r="E15" s="234">
        <f>'Haver Pivoted'!GP63</f>
        <v>0</v>
      </c>
      <c r="F15" s="234">
        <f>'Haver Pivoted'!GQ63</f>
        <v>0</v>
      </c>
      <c r="G15" s="234">
        <f>'Haver Pivoted'!GR63</f>
        <v>0</v>
      </c>
      <c r="H15" s="234">
        <f>'Haver Pivoted'!GS63</f>
        <v>0</v>
      </c>
      <c r="I15" s="234">
        <f>'Haver Pivoted'!GT63</f>
        <v>0</v>
      </c>
      <c r="J15" s="234">
        <f>'Haver Pivoted'!GU63</f>
        <v>0.1</v>
      </c>
      <c r="K15" s="234">
        <f>'Haver Pivoted'!GV63</f>
        <v>3.7</v>
      </c>
      <c r="L15" s="234">
        <f>'Haver Pivoted'!GW63</f>
        <v>12.9</v>
      </c>
      <c r="M15" s="234">
        <f>'Haver Pivoted'!GX63</f>
        <v>25.5</v>
      </c>
      <c r="N15" s="234">
        <f>'Haver Pivoted'!GY63</f>
        <v>3.8</v>
      </c>
      <c r="O15" s="234">
        <f>'Haver Pivoted'!GZ63</f>
        <v>1.8</v>
      </c>
      <c r="P15" s="234">
        <f>'Haver Pivoted'!HA63</f>
        <v>0.6</v>
      </c>
      <c r="Q15" s="234">
        <f>'Haver Pivoted'!HB63</f>
        <v>0.2</v>
      </c>
      <c r="R15" s="234">
        <f>'Haver Pivoted'!HC63</f>
        <v>0.1</v>
      </c>
      <c r="S15" s="236">
        <f>'Haver Pivoted'!HD63</f>
        <v>0</v>
      </c>
      <c r="T15" s="236">
        <f>'Haver Pivoted'!HE63</f>
        <v>0</v>
      </c>
      <c r="U15" s="236">
        <f>'Haver Pivoted'!HF63</f>
        <v>0</v>
      </c>
      <c r="V15" s="236">
        <f>'Haver Pivoted'!HG63</f>
        <v>0</v>
      </c>
      <c r="W15" s="236">
        <f>'Haver Pivoted'!HH63</f>
        <v>0</v>
      </c>
      <c r="X15" s="236">
        <f>'Haver Pivoted'!HI63</f>
        <v>0</v>
      </c>
      <c r="Y15" s="236">
        <f>'Haver Pivoted'!HJ63</f>
        <v>0</v>
      </c>
      <c r="Z15" s="236">
        <f>'Haver Pivoted'!HK63</f>
        <v>0</v>
      </c>
      <c r="AA15" s="236">
        <f>'Haver Pivoted'!HL63</f>
        <v>0</v>
      </c>
      <c r="AB15" s="236">
        <f>'Haver Pivoted'!HM63</f>
        <v>0</v>
      </c>
      <c r="AC15" s="236">
        <f>'Haver Pivoted'!HN63</f>
        <v>0</v>
      </c>
      <c r="AD15" s="224">
        <f t="shared" ref="AD15:AG15" si="10">AD13</f>
        <v>0</v>
      </c>
      <c r="AE15" s="224">
        <f t="shared" si="10"/>
        <v>0</v>
      </c>
      <c r="AF15" s="224">
        <f>AF13</f>
        <v>0</v>
      </c>
      <c r="AG15" s="224">
        <f t="shared" si="10"/>
        <v>0</v>
      </c>
      <c r="AH15" s="224">
        <f t="shared" ref="AH15:AJ15" si="11">AH13</f>
        <v>0</v>
      </c>
      <c r="AI15" s="224">
        <f t="shared" si="11"/>
        <v>0</v>
      </c>
      <c r="AJ15" s="224">
        <f t="shared" si="11"/>
        <v>0</v>
      </c>
      <c r="AK15" s="224">
        <f t="shared" ref="AK15:AN15" si="12">AK13</f>
        <v>0</v>
      </c>
      <c r="AL15" s="224">
        <f t="shared" si="12"/>
        <v>0</v>
      </c>
      <c r="AM15" s="224">
        <f t="shared" si="12"/>
        <v>0</v>
      </c>
      <c r="AN15" s="224">
        <f t="shared" si="12"/>
        <v>0</v>
      </c>
    </row>
    <row r="16" spans="2:41" ht="18" customHeight="1" x14ac:dyDescent="0.25">
      <c r="B16" s="243" t="s">
        <v>290</v>
      </c>
      <c r="C16" s="244" t="s">
        <v>291</v>
      </c>
      <c r="D16" s="264">
        <f>'Haver Pivoted'!GO59</f>
        <v>0</v>
      </c>
      <c r="E16" s="234">
        <f>'Haver Pivoted'!GP59</f>
        <v>0</v>
      </c>
      <c r="F16" s="234">
        <f>'Haver Pivoted'!GQ59</f>
        <v>0</v>
      </c>
      <c r="G16" s="234">
        <f>'Haver Pivoted'!GR59</f>
        <v>0</v>
      </c>
      <c r="H16" s="234">
        <f>'Haver Pivoted'!GS59</f>
        <v>0</v>
      </c>
      <c r="I16" s="234">
        <f>'Haver Pivoted'!GT59</f>
        <v>0</v>
      </c>
      <c r="J16" s="234">
        <f>'Haver Pivoted'!GU59</f>
        <v>6.3</v>
      </c>
      <c r="K16" s="234">
        <f>'Haver Pivoted'!GV59</f>
        <v>26.7</v>
      </c>
      <c r="L16" s="234">
        <f>'Haver Pivoted'!GW59</f>
        <v>82.1</v>
      </c>
      <c r="M16" s="234">
        <f>'Haver Pivoted'!GX59</f>
        <v>94.7</v>
      </c>
      <c r="N16" s="234">
        <f>'Haver Pivoted'!GY59</f>
        <v>92.1</v>
      </c>
      <c r="O16" s="234">
        <f>'Haver Pivoted'!GZ59</f>
        <v>51.6</v>
      </c>
      <c r="P16" s="234">
        <f>'Haver Pivoted'!HA59</f>
        <v>2.8</v>
      </c>
      <c r="Q16" s="234">
        <f>'Haver Pivoted'!HB59</f>
        <v>0.8</v>
      </c>
      <c r="R16" s="234">
        <f>'Haver Pivoted'!HC59</f>
        <v>0.5</v>
      </c>
      <c r="S16" s="236">
        <f>'Haver Pivoted'!HD59</f>
        <v>0.3</v>
      </c>
      <c r="T16" s="236">
        <f>'Haver Pivoted'!HE59</f>
        <v>0.2</v>
      </c>
      <c r="U16" s="236">
        <f>'Haver Pivoted'!HF59</f>
        <v>0</v>
      </c>
      <c r="V16" s="236">
        <f>'Haver Pivoted'!HG59</f>
        <v>0</v>
      </c>
      <c r="W16" s="236">
        <f>'Haver Pivoted'!HH59</f>
        <v>0</v>
      </c>
      <c r="X16" s="236">
        <f>'Haver Pivoted'!HI59</f>
        <v>0</v>
      </c>
      <c r="Y16" s="236">
        <f>'Haver Pivoted'!HJ59</f>
        <v>0</v>
      </c>
      <c r="Z16" s="236">
        <f>'Haver Pivoted'!HK59</f>
        <v>0</v>
      </c>
      <c r="AA16" s="236">
        <f>'Haver Pivoted'!HL59</f>
        <v>0</v>
      </c>
      <c r="AB16" s="236">
        <f>'Haver Pivoted'!HM59</f>
        <v>0</v>
      </c>
      <c r="AC16" s="236">
        <f>'Haver Pivoted'!HN59</f>
        <v>0</v>
      </c>
      <c r="AD16" s="224">
        <f t="shared" ref="AD16:AH18" si="13">AC16*AD$24/AC$24</f>
        <v>0</v>
      </c>
      <c r="AE16" s="224">
        <f t="shared" si="13"/>
        <v>0</v>
      </c>
      <c r="AF16" s="224">
        <f t="shared" si="13"/>
        <v>0</v>
      </c>
      <c r="AG16" s="224">
        <f t="shared" si="13"/>
        <v>0</v>
      </c>
      <c r="AH16" s="224">
        <f t="shared" si="13"/>
        <v>0</v>
      </c>
      <c r="AI16" s="224">
        <f t="shared" ref="AI16:AI18" si="14">AH16*AI$24/AH$24</f>
        <v>0</v>
      </c>
      <c r="AJ16" s="224">
        <f t="shared" ref="AJ16:AJ18" si="15">AI16*AJ$24/AI$24</f>
        <v>0</v>
      </c>
      <c r="AK16" s="224">
        <f t="shared" ref="AK16:AK18" si="16">AJ16*AK$24/AJ$24</f>
        <v>0</v>
      </c>
      <c r="AL16" s="224">
        <f t="shared" ref="AL16:AL18" si="17">AK16*AL$24/AK$24</f>
        <v>0</v>
      </c>
      <c r="AM16" s="224">
        <f t="shared" ref="AM16:AM18" si="18">AL16*AM$24/AL$24</f>
        <v>0</v>
      </c>
      <c r="AN16" s="224">
        <f t="shared" ref="AN16:AN18" si="19">AM16*AN$24/AM$24</f>
        <v>0</v>
      </c>
    </row>
    <row r="17" spans="2:69" ht="18" customHeight="1" x14ac:dyDescent="0.25">
      <c r="B17" s="243" t="s">
        <v>292</v>
      </c>
      <c r="C17" s="244" t="s">
        <v>293</v>
      </c>
      <c r="D17" s="264">
        <f>'Haver Pivoted'!GO60</f>
        <v>0</v>
      </c>
      <c r="E17" s="234">
        <f>'Haver Pivoted'!GP60</f>
        <v>0</v>
      </c>
      <c r="F17" s="234">
        <f>'Haver Pivoted'!GQ60</f>
        <v>0</v>
      </c>
      <c r="G17" s="234">
        <f>'Haver Pivoted'!GR60</f>
        <v>0</v>
      </c>
      <c r="H17" s="234">
        <f>'Haver Pivoted'!GS60</f>
        <v>0</v>
      </c>
      <c r="I17" s="234">
        <f>'Haver Pivoted'!GT60</f>
        <v>0</v>
      </c>
      <c r="J17" s="234">
        <f>'Haver Pivoted'!GU60</f>
        <v>74.400000000000006</v>
      </c>
      <c r="K17" s="234">
        <f>'Haver Pivoted'!GV60</f>
        <v>138.30000000000001</v>
      </c>
      <c r="L17" s="234">
        <f>'Haver Pivoted'!GW60</f>
        <v>106.8</v>
      </c>
      <c r="M17" s="234">
        <f>'Haver Pivoted'!GX60</f>
        <v>89.2</v>
      </c>
      <c r="N17" s="234">
        <f>'Haver Pivoted'!GY60</f>
        <v>72.3</v>
      </c>
      <c r="O17" s="234">
        <f>'Haver Pivoted'!GZ60</f>
        <v>43.5</v>
      </c>
      <c r="P17" s="234">
        <f>'Haver Pivoted'!HA60</f>
        <v>2.1</v>
      </c>
      <c r="Q17" s="234">
        <f>'Haver Pivoted'!HB60</f>
        <v>0.8</v>
      </c>
      <c r="R17" s="234">
        <f>'Haver Pivoted'!HC60</f>
        <v>0.4</v>
      </c>
      <c r="S17" s="236">
        <f>'Haver Pivoted'!HD60</f>
        <v>0.2</v>
      </c>
      <c r="T17" s="236">
        <f>'Haver Pivoted'!HE60</f>
        <v>0.1</v>
      </c>
      <c r="U17" s="236">
        <f>'Haver Pivoted'!HF60</f>
        <v>0</v>
      </c>
      <c r="V17" s="236">
        <f>'Haver Pivoted'!HG60</f>
        <v>0</v>
      </c>
      <c r="W17" s="236">
        <f>'Haver Pivoted'!HH60</f>
        <v>0</v>
      </c>
      <c r="X17" s="236">
        <f>'Haver Pivoted'!HI60</f>
        <v>0</v>
      </c>
      <c r="Y17" s="236">
        <f>'Haver Pivoted'!HJ60</f>
        <v>0</v>
      </c>
      <c r="Z17" s="236">
        <f>'Haver Pivoted'!HK60</f>
        <v>0</v>
      </c>
      <c r="AA17" s="236">
        <f>'Haver Pivoted'!HL60</f>
        <v>0</v>
      </c>
      <c r="AB17" s="236">
        <f>'Haver Pivoted'!HM60</f>
        <v>0</v>
      </c>
      <c r="AC17" s="236">
        <f>'Haver Pivoted'!HN60</f>
        <v>0</v>
      </c>
      <c r="AD17" s="224">
        <f t="shared" si="13"/>
        <v>0</v>
      </c>
      <c r="AE17" s="224">
        <f t="shared" si="13"/>
        <v>0</v>
      </c>
      <c r="AF17" s="224">
        <f t="shared" si="13"/>
        <v>0</v>
      </c>
      <c r="AG17" s="224">
        <f t="shared" si="13"/>
        <v>0</v>
      </c>
      <c r="AH17" s="224">
        <f t="shared" si="13"/>
        <v>0</v>
      </c>
      <c r="AI17" s="224">
        <f t="shared" si="14"/>
        <v>0</v>
      </c>
      <c r="AJ17" s="224">
        <f t="shared" si="15"/>
        <v>0</v>
      </c>
      <c r="AK17" s="224">
        <f t="shared" si="16"/>
        <v>0</v>
      </c>
      <c r="AL17" s="224">
        <f t="shared" si="17"/>
        <v>0</v>
      </c>
      <c r="AM17" s="224">
        <f t="shared" si="18"/>
        <v>0</v>
      </c>
      <c r="AN17" s="224">
        <f t="shared" si="19"/>
        <v>0</v>
      </c>
    </row>
    <row r="18" spans="2:69" ht="18" customHeight="1" x14ac:dyDescent="0.25">
      <c r="B18" s="243" t="s">
        <v>294</v>
      </c>
      <c r="C18" s="244" t="s">
        <v>295</v>
      </c>
      <c r="D18" s="264">
        <f>'Haver Pivoted'!GO61</f>
        <v>0</v>
      </c>
      <c r="E18" s="234">
        <f>'Haver Pivoted'!GP61</f>
        <v>0</v>
      </c>
      <c r="F18" s="234">
        <f>'Haver Pivoted'!GQ61</f>
        <v>0</v>
      </c>
      <c r="G18" s="234">
        <f>'Haver Pivoted'!GR61</f>
        <v>0</v>
      </c>
      <c r="H18" s="234">
        <f>'Haver Pivoted'!GS61</f>
        <v>0</v>
      </c>
      <c r="I18" s="234">
        <f>'Haver Pivoted'!GT61</f>
        <v>0</v>
      </c>
      <c r="J18" s="234">
        <f>'Haver Pivoted'!GU61</f>
        <v>698.9</v>
      </c>
      <c r="K18" s="234">
        <f>'Haver Pivoted'!GV61</f>
        <v>413.9</v>
      </c>
      <c r="L18" s="234">
        <f>'Haver Pivoted'!GW61</f>
        <v>14.7</v>
      </c>
      <c r="M18" s="234">
        <f>'Haver Pivoted'!GX61</f>
        <v>288.2</v>
      </c>
      <c r="N18" s="234">
        <f>'Haver Pivoted'!GY61</f>
        <v>233.3</v>
      </c>
      <c r="O18" s="234">
        <f>'Haver Pivoted'!GZ61</f>
        <v>110.5</v>
      </c>
      <c r="P18" s="234">
        <f>'Haver Pivoted'!HA61</f>
        <v>0</v>
      </c>
      <c r="Q18" s="234">
        <f>'Haver Pivoted'!HB61</f>
        <v>0</v>
      </c>
      <c r="R18" s="234">
        <f>'Haver Pivoted'!HC61</f>
        <v>0</v>
      </c>
      <c r="S18" s="236">
        <f>'Haver Pivoted'!HD61</f>
        <v>0</v>
      </c>
      <c r="T18" s="236">
        <f>'Haver Pivoted'!HE61</f>
        <v>0</v>
      </c>
      <c r="U18" s="236">
        <f>'Haver Pivoted'!HF61</f>
        <v>0</v>
      </c>
      <c r="V18" s="236">
        <f>'Haver Pivoted'!HG61</f>
        <v>0</v>
      </c>
      <c r="W18" s="236">
        <f>'Haver Pivoted'!HH61</f>
        <v>0</v>
      </c>
      <c r="X18" s="236">
        <f>'Haver Pivoted'!HI61</f>
        <v>0</v>
      </c>
      <c r="Y18" s="236">
        <f>'Haver Pivoted'!HJ61</f>
        <v>0</v>
      </c>
      <c r="Z18" s="236">
        <f>'Haver Pivoted'!HK61</f>
        <v>0</v>
      </c>
      <c r="AA18" s="236">
        <f>'Haver Pivoted'!HL61</f>
        <v>0</v>
      </c>
      <c r="AB18" s="236">
        <f>'Haver Pivoted'!HM61</f>
        <v>0</v>
      </c>
      <c r="AC18" s="236">
        <f>'Haver Pivoted'!HN61</f>
        <v>0</v>
      </c>
      <c r="AD18" s="224">
        <f t="shared" si="13"/>
        <v>0</v>
      </c>
      <c r="AE18" s="224">
        <f t="shared" si="13"/>
        <v>0</v>
      </c>
      <c r="AF18" s="224">
        <f t="shared" si="13"/>
        <v>0</v>
      </c>
      <c r="AG18" s="224">
        <f t="shared" si="13"/>
        <v>0</v>
      </c>
      <c r="AH18" s="224">
        <f t="shared" si="13"/>
        <v>0</v>
      </c>
      <c r="AI18" s="224">
        <f t="shared" si="14"/>
        <v>0</v>
      </c>
      <c r="AJ18" s="224">
        <f t="shared" si="15"/>
        <v>0</v>
      </c>
      <c r="AK18" s="224">
        <f t="shared" si="16"/>
        <v>0</v>
      </c>
      <c r="AL18" s="224">
        <f t="shared" si="17"/>
        <v>0</v>
      </c>
      <c r="AM18" s="224">
        <f t="shared" si="18"/>
        <v>0</v>
      </c>
      <c r="AN18" s="224">
        <f t="shared" si="19"/>
        <v>0</v>
      </c>
    </row>
    <row r="19" spans="2:69" x14ac:dyDescent="0.25">
      <c r="B19" s="245" t="s">
        <v>158</v>
      </c>
      <c r="C19" s="238" t="s">
        <v>296</v>
      </c>
      <c r="D19" s="265">
        <f>'Haver Pivoted'!GO64</f>
        <v>0</v>
      </c>
      <c r="E19" s="222">
        <f>'Haver Pivoted'!GP64</f>
        <v>0</v>
      </c>
      <c r="F19" s="222">
        <f>'Haver Pivoted'!GQ64</f>
        <v>0</v>
      </c>
      <c r="G19" s="222">
        <f>'Haver Pivoted'!GR64</f>
        <v>0</v>
      </c>
      <c r="H19" s="222">
        <f>'Haver Pivoted'!GS64</f>
        <v>0</v>
      </c>
      <c r="I19" s="222">
        <f>'Haver Pivoted'!GT64</f>
        <v>0</v>
      </c>
      <c r="J19" s="222">
        <f>'Haver Pivoted'!GU64</f>
        <v>0</v>
      </c>
      <c r="K19" s="222">
        <f>'Haver Pivoted'!GV64</f>
        <v>106.2</v>
      </c>
      <c r="L19" s="222">
        <f>'Haver Pivoted'!GW64</f>
        <v>35.9</v>
      </c>
      <c r="M19" s="222">
        <f>'Haver Pivoted'!GX64</f>
        <v>1.6</v>
      </c>
      <c r="N19" s="222">
        <f>'Haver Pivoted'!GY64</f>
        <v>0.6</v>
      </c>
      <c r="O19" s="222">
        <f>'Haver Pivoted'!GZ64</f>
        <v>0.1</v>
      </c>
      <c r="P19" s="222">
        <f>'Haver Pivoted'!HA64</f>
        <v>0</v>
      </c>
      <c r="Q19" s="234">
        <f>'Haver Pivoted'!HB64</f>
        <v>0</v>
      </c>
      <c r="R19" s="234">
        <f>'Haver Pivoted'!HC64</f>
        <v>0</v>
      </c>
      <c r="S19" s="236">
        <f>'Haver Pivoted'!HD64</f>
        <v>0</v>
      </c>
      <c r="T19" s="236">
        <f>'Haver Pivoted'!HE64</f>
        <v>0</v>
      </c>
      <c r="U19" s="236">
        <f>'Haver Pivoted'!HF64</f>
        <v>0</v>
      </c>
      <c r="V19" s="236">
        <f>'Haver Pivoted'!HG64</f>
        <v>0</v>
      </c>
      <c r="W19" s="236">
        <f>'Haver Pivoted'!HH64</f>
        <v>0</v>
      </c>
      <c r="X19" s="236">
        <f>'Haver Pivoted'!HI64</f>
        <v>0</v>
      </c>
      <c r="Y19" s="236">
        <f>'Haver Pivoted'!HJ64</f>
        <v>0</v>
      </c>
      <c r="Z19" s="236">
        <f>'Haver Pivoted'!HK64</f>
        <v>0</v>
      </c>
      <c r="AA19" s="236">
        <f>'Haver Pivoted'!HL64</f>
        <v>0</v>
      </c>
      <c r="AB19" s="236">
        <f>'Haver Pivoted'!HM64</f>
        <v>0</v>
      </c>
      <c r="AC19" s="236">
        <f>'Haver Pivoted'!HN64</f>
        <v>0</v>
      </c>
      <c r="AD19" s="224"/>
      <c r="AE19" s="224"/>
      <c r="AF19" s="224"/>
      <c r="AG19" s="224"/>
      <c r="AH19" s="224"/>
      <c r="AI19" s="224"/>
      <c r="AJ19" s="224"/>
      <c r="AK19" s="224"/>
      <c r="AL19" s="224"/>
      <c r="AM19" s="224"/>
      <c r="AN19" s="224"/>
    </row>
    <row r="20" spans="2:69" ht="14.85" customHeight="1" x14ac:dyDescent="0.25">
      <c r="B20" s="261" t="s">
        <v>297</v>
      </c>
      <c r="C20" s="251"/>
      <c r="D20" s="255">
        <f t="shared" ref="D20:U20" si="20">D11-D21</f>
        <v>0</v>
      </c>
      <c r="E20" s="232">
        <f t="shared" si="20"/>
        <v>0</v>
      </c>
      <c r="F20" s="232">
        <f t="shared" si="20"/>
        <v>0</v>
      </c>
      <c r="G20" s="232">
        <f t="shared" si="20"/>
        <v>0</v>
      </c>
      <c r="H20" s="232">
        <f t="shared" si="20"/>
        <v>0</v>
      </c>
      <c r="I20" s="232">
        <f t="shared" si="20"/>
        <v>0</v>
      </c>
      <c r="J20" s="232">
        <f t="shared" si="20"/>
        <v>779.80000000000007</v>
      </c>
      <c r="K20" s="232">
        <f t="shared" si="20"/>
        <v>586.29999999999995</v>
      </c>
      <c r="L20" s="232">
        <f t="shared" si="20"/>
        <v>229.4</v>
      </c>
      <c r="M20" s="232">
        <f t="shared" si="20"/>
        <v>523.1</v>
      </c>
      <c r="N20" s="233">
        <f t="shared" si="20"/>
        <v>405.3</v>
      </c>
      <c r="O20" s="233">
        <f t="shared" si="20"/>
        <v>209.20000000000002</v>
      </c>
      <c r="P20" s="233">
        <f t="shared" si="20"/>
        <v>6.1000000000000014</v>
      </c>
      <c r="Q20" s="233">
        <f t="shared" si="20"/>
        <v>0.19999999999999929</v>
      </c>
      <c r="R20" s="233">
        <f t="shared" si="20"/>
        <v>1.1000000000000014</v>
      </c>
      <c r="S20" s="233">
        <f t="shared" si="20"/>
        <v>0.5</v>
      </c>
      <c r="T20" s="233">
        <f t="shared" si="20"/>
        <v>0.30000000000000071</v>
      </c>
      <c r="U20" s="233">
        <f t="shared" si="20"/>
        <v>0</v>
      </c>
      <c r="V20" s="232">
        <v>0</v>
      </c>
      <c r="W20" s="232">
        <v>0</v>
      </c>
      <c r="X20" s="237">
        <f t="shared" ref="X20:AH20" si="21">X11-X21</f>
        <v>4.632399999999997</v>
      </c>
      <c r="Y20" s="237">
        <f t="shared" si="21"/>
        <v>3.0799999999999947</v>
      </c>
      <c r="Z20" s="237">
        <f t="shared" si="21"/>
        <v>0</v>
      </c>
      <c r="AA20" s="237">
        <f t="shared" si="21"/>
        <v>0</v>
      </c>
      <c r="AB20" s="237">
        <f t="shared" si="21"/>
        <v>0.39999999999999858</v>
      </c>
      <c r="AC20" s="237">
        <f t="shared" si="21"/>
        <v>9.9999999999994316E-2</v>
      </c>
      <c r="AD20" s="237">
        <f t="shared" si="21"/>
        <v>0</v>
      </c>
      <c r="AE20" s="237">
        <f t="shared" si="21"/>
        <v>0</v>
      </c>
      <c r="AF20" s="237">
        <f t="shared" si="21"/>
        <v>0</v>
      </c>
      <c r="AG20" s="237">
        <f t="shared" si="21"/>
        <v>0</v>
      </c>
      <c r="AH20" s="237">
        <f t="shared" si="21"/>
        <v>0</v>
      </c>
      <c r="AI20" s="237">
        <f t="shared" ref="AI20:AJ20" si="22">AI11-AI21</f>
        <v>0</v>
      </c>
      <c r="AJ20" s="237">
        <f t="shared" si="22"/>
        <v>0</v>
      </c>
      <c r="AK20" s="237">
        <f t="shared" ref="AK20:AN20" si="23">AK11-AK21</f>
        <v>0</v>
      </c>
      <c r="AL20" s="237">
        <f t="shared" si="23"/>
        <v>0</v>
      </c>
      <c r="AM20" s="237">
        <f t="shared" si="23"/>
        <v>0</v>
      </c>
      <c r="AN20" s="237">
        <f t="shared" si="23"/>
        <v>0</v>
      </c>
    </row>
    <row r="21" spans="2:69" ht="14.85" customHeight="1" x14ac:dyDescent="0.25">
      <c r="B21" s="261" t="s">
        <v>298</v>
      </c>
      <c r="C21" s="251"/>
      <c r="D21" s="255">
        <f t="shared" ref="D21:I21" si="24">D11</f>
        <v>27.1</v>
      </c>
      <c r="E21" s="232">
        <f t="shared" si="24"/>
        <v>29.6</v>
      </c>
      <c r="F21" s="232">
        <f t="shared" si="24"/>
        <v>27.3</v>
      </c>
      <c r="G21" s="232">
        <f t="shared" si="24"/>
        <v>26.4</v>
      </c>
      <c r="H21" s="232">
        <f t="shared" si="24"/>
        <v>26.7</v>
      </c>
      <c r="I21" s="232">
        <f t="shared" si="24"/>
        <v>40.1</v>
      </c>
      <c r="J21" s="232">
        <f>J11-J14-J13</f>
        <v>171.69999999999996</v>
      </c>
      <c r="K21" s="232">
        <f>K11-K14-K13</f>
        <v>213.7</v>
      </c>
      <c r="L21" s="232">
        <f>L11-L14-L13</f>
        <v>93.299999999999983</v>
      </c>
      <c r="M21" s="232">
        <f>M11-M14-M13</f>
        <v>60.699999999999932</v>
      </c>
      <c r="N21" s="233">
        <f t="shared" ref="N21:U21" si="25">N11-N13-N14</f>
        <v>35.5</v>
      </c>
      <c r="O21" s="233">
        <f t="shared" si="25"/>
        <v>3.5999999999999943</v>
      </c>
      <c r="P21" s="233">
        <f t="shared" si="25"/>
        <v>25.7</v>
      </c>
      <c r="Q21" s="234">
        <f t="shared" si="25"/>
        <v>24.3</v>
      </c>
      <c r="R21" s="234">
        <f t="shared" si="25"/>
        <v>20.599999999999998</v>
      </c>
      <c r="S21" s="234">
        <f t="shared" si="25"/>
        <v>22.6</v>
      </c>
      <c r="T21" s="234">
        <f t="shared" si="25"/>
        <v>25.599999999999998</v>
      </c>
      <c r="U21" s="234">
        <f t="shared" si="25"/>
        <v>30.1</v>
      </c>
      <c r="V21" s="232">
        <f>U21*V24/U24</f>
        <v>30.960000000000004</v>
      </c>
      <c r="W21" s="232">
        <f>V21*W24/V24</f>
        <v>30.960000000000004</v>
      </c>
      <c r="X21" s="237">
        <f t="shared" ref="X21:Y21" si="26">W21*X24/W24</f>
        <v>30.6676</v>
      </c>
      <c r="Y21" s="237">
        <f t="shared" si="26"/>
        <v>31.820000000000004</v>
      </c>
      <c r="Z21" s="237">
        <v>34.9</v>
      </c>
      <c r="AA21" s="237">
        <v>35.700000000000003</v>
      </c>
      <c r="AB21" s="237">
        <v>35.700000000000003</v>
      </c>
      <c r="AC21" s="237">
        <v>35.700000000000003</v>
      </c>
      <c r="AD21" s="237">
        <v>35.700000000000003</v>
      </c>
      <c r="AE21" s="237">
        <v>35.700000000000003</v>
      </c>
      <c r="AF21" s="237">
        <v>35.700000000000003</v>
      </c>
      <c r="AG21" s="237">
        <v>35.700000000000003</v>
      </c>
      <c r="AH21" s="237">
        <v>35.700000000000003</v>
      </c>
      <c r="AI21" s="237">
        <v>35.700000000000003</v>
      </c>
      <c r="AJ21" s="237">
        <v>35.700000000000003</v>
      </c>
      <c r="AK21" s="237">
        <v>36.700000000000003</v>
      </c>
      <c r="AL21" s="237">
        <v>37.700000000000003</v>
      </c>
      <c r="AM21" s="237">
        <v>38.700000000000003</v>
      </c>
      <c r="AN21" s="237">
        <v>39.700000000000003</v>
      </c>
      <c r="AO21" s="256" t="s">
        <v>299</v>
      </c>
    </row>
    <row r="22" spans="2:69" x14ac:dyDescent="0.25">
      <c r="B22" s="245"/>
      <c r="C22" s="246"/>
      <c r="D22" s="264"/>
      <c r="E22" s="234"/>
      <c r="F22" s="234"/>
      <c r="G22" s="234"/>
      <c r="H22" s="230"/>
      <c r="I22" s="230"/>
      <c r="J22" s="230"/>
      <c r="K22" s="230"/>
      <c r="L22" s="230"/>
      <c r="M22" s="230"/>
      <c r="N22" s="230"/>
      <c r="O22" s="230"/>
      <c r="P22" s="230"/>
      <c r="Q22" s="230"/>
      <c r="R22" s="230"/>
      <c r="S22" s="230"/>
      <c r="T22" s="248"/>
      <c r="U22" s="230"/>
      <c r="V22" s="230"/>
      <c r="W22" s="224"/>
      <c r="X22" s="224"/>
      <c r="Y22" s="224"/>
      <c r="Z22" s="224"/>
      <c r="AA22" s="224"/>
      <c r="AB22" s="224"/>
      <c r="AC22" s="224"/>
      <c r="AD22" s="224"/>
      <c r="AE22" s="224"/>
      <c r="AF22" s="224"/>
      <c r="AG22" s="224"/>
      <c r="AH22" s="224"/>
      <c r="AI22" s="218"/>
      <c r="AJ22" s="218"/>
      <c r="AK22" s="218"/>
      <c r="AL22" s="218"/>
      <c r="AM22" s="218"/>
      <c r="AN22" s="218"/>
    </row>
    <row r="23" spans="2:69" x14ac:dyDescent="0.25">
      <c r="B23" s="278" t="s">
        <v>1960</v>
      </c>
      <c r="C23" s="246"/>
      <c r="D23" s="234"/>
      <c r="E23" s="234"/>
      <c r="F23" s="234"/>
      <c r="G23" s="234"/>
      <c r="H23" s="230"/>
      <c r="I23" s="230"/>
      <c r="J23" s="230"/>
      <c r="K23" s="230"/>
      <c r="L23" s="230"/>
      <c r="M23" s="230">
        <v>6.2329999999999997</v>
      </c>
      <c r="N23" s="230">
        <v>5.9329999999999998</v>
      </c>
      <c r="O23" s="230">
        <v>5.0659999999999998</v>
      </c>
      <c r="P23" s="230">
        <v>4.1660000000000004</v>
      </c>
      <c r="Q23" s="230">
        <v>3.8</v>
      </c>
      <c r="R23" s="230">
        <v>3.633</v>
      </c>
      <c r="S23" s="230">
        <v>3.5329999999999999</v>
      </c>
      <c r="T23" s="248">
        <v>3.5659999999999998</v>
      </c>
      <c r="U23" s="227">
        <v>3.5</v>
      </c>
      <c r="V23" s="227">
        <v>3.5659999999999998</v>
      </c>
      <c r="W23" s="226">
        <v>3.7</v>
      </c>
      <c r="X23" s="226">
        <v>3.7330000000000001</v>
      </c>
      <c r="Y23" s="226">
        <v>3.8</v>
      </c>
      <c r="Z23" s="226">
        <v>3.8809999999999998</v>
      </c>
      <c r="AA23" s="226">
        <v>3.915</v>
      </c>
      <c r="AB23" s="226">
        <v>3.9319999999999999</v>
      </c>
      <c r="AC23" s="226">
        <v>3.9569999999999999</v>
      </c>
      <c r="AD23" s="226">
        <v>3.9569999999999999</v>
      </c>
      <c r="AE23" s="226">
        <v>3.9750000000000001</v>
      </c>
      <c r="AF23" s="226">
        <v>4.0039999999999996</v>
      </c>
      <c r="AG23" s="226">
        <v>4.0780000000000003</v>
      </c>
      <c r="AH23" s="226">
        <v>4.1369999999999996</v>
      </c>
      <c r="AI23" s="283">
        <v>4.1870000000000003</v>
      </c>
      <c r="AJ23" s="283">
        <v>4.2279999999999998</v>
      </c>
      <c r="AK23" s="283">
        <v>4.2699999999999996</v>
      </c>
      <c r="AL23" s="283">
        <v>4.3049999999999997</v>
      </c>
      <c r="AM23" s="283">
        <v>4.34</v>
      </c>
      <c r="AN23" s="283">
        <v>4.3719999999999999</v>
      </c>
      <c r="AO23" s="238">
        <v>4.399</v>
      </c>
      <c r="AP23" s="238">
        <v>4.4189999999999996</v>
      </c>
      <c r="AQ23" s="238">
        <v>4.4359999999999999</v>
      </c>
      <c r="AR23" s="238">
        <v>4.4489999999999998</v>
      </c>
      <c r="AS23" s="238">
        <v>4.4630000000000001</v>
      </c>
      <c r="AT23" s="238">
        <v>4.4710000000000001</v>
      </c>
      <c r="AU23" s="238">
        <v>4.476</v>
      </c>
      <c r="AV23" s="238">
        <v>4.4790000000000001</v>
      </c>
      <c r="AW23" s="238">
        <v>4.484</v>
      </c>
      <c r="AX23" s="238">
        <v>4.4850000000000003</v>
      </c>
      <c r="AY23" s="238">
        <v>4.484</v>
      </c>
      <c r="AZ23" s="238">
        <v>4.4829999999999997</v>
      </c>
      <c r="BA23" s="238">
        <v>4.4829999999999997</v>
      </c>
      <c r="BB23" s="238">
        <v>4.4809999999999999</v>
      </c>
      <c r="BC23" s="238">
        <v>4.4779999999999998</v>
      </c>
      <c r="BD23" s="238">
        <v>4.4749999999999996</v>
      </c>
      <c r="BE23" s="238">
        <v>4.4749999999999996</v>
      </c>
      <c r="BF23" s="238">
        <v>4.4710000000000001</v>
      </c>
      <c r="BG23" s="238">
        <v>4.4669999999999996</v>
      </c>
      <c r="BH23" s="238">
        <v>4.4619999999999997</v>
      </c>
      <c r="BI23" s="238">
        <v>4.4589999999999996</v>
      </c>
      <c r="BJ23" s="238">
        <v>4.4539999999999997</v>
      </c>
      <c r="BK23" s="238">
        <v>4.4480000000000004</v>
      </c>
      <c r="BL23" s="238">
        <v>4.4429999999999996</v>
      </c>
      <c r="BM23" s="238">
        <v>4.4379999999999997</v>
      </c>
      <c r="BN23" s="238">
        <v>4.4329999999999998</v>
      </c>
      <c r="BO23" s="238">
        <v>4.4279999999999999</v>
      </c>
      <c r="BP23" s="238">
        <v>4.4219999999999997</v>
      </c>
      <c r="BQ23" s="238">
        <v>4.4219999999999997</v>
      </c>
    </row>
    <row r="24" spans="2:69" x14ac:dyDescent="0.25">
      <c r="B24" s="245" t="s">
        <v>1822</v>
      </c>
      <c r="C24" s="238"/>
      <c r="D24" s="265"/>
      <c r="E24" s="222"/>
      <c r="F24" s="222"/>
      <c r="G24" s="222"/>
      <c r="H24" s="230"/>
      <c r="I24" s="230"/>
      <c r="J24" s="230"/>
      <c r="K24" s="230"/>
      <c r="L24" s="230"/>
      <c r="M24" s="230">
        <f t="shared" ref="M24:U24" si="27">GETPIVOTDATA("Monthly UR",$E$30,"Quarters",M25,"Years",M26)</f>
        <v>6.166666666666667</v>
      </c>
      <c r="N24" s="230">
        <f t="shared" si="27"/>
        <v>5.7666666666666657</v>
      </c>
      <c r="O24" s="230">
        <f t="shared" si="27"/>
        <v>5.1333333333333337</v>
      </c>
      <c r="P24" s="230">
        <f t="shared" si="27"/>
        <v>4.2333333333333334</v>
      </c>
      <c r="Q24" s="230">
        <f t="shared" si="27"/>
        <v>3.8000000000000003</v>
      </c>
      <c r="R24" s="230">
        <f t="shared" si="27"/>
        <v>3.6</v>
      </c>
      <c r="S24" s="230">
        <f t="shared" si="27"/>
        <v>3.5666666666666664</v>
      </c>
      <c r="T24" s="230">
        <f t="shared" si="27"/>
        <v>3.6</v>
      </c>
      <c r="U24" s="231">
        <f t="shared" si="27"/>
        <v>3.5</v>
      </c>
      <c r="V24" s="239">
        <v>3.6</v>
      </c>
      <c r="W24" s="239">
        <v>3.6</v>
      </c>
      <c r="X24" s="239">
        <f>V23</f>
        <v>3.5659999999999998</v>
      </c>
      <c r="Y24" s="239">
        <f t="shared" ref="Y24:AC24" si="28">W23</f>
        <v>3.7</v>
      </c>
      <c r="Z24" s="239">
        <f t="shared" si="28"/>
        <v>3.7330000000000001</v>
      </c>
      <c r="AA24" s="239">
        <f t="shared" si="28"/>
        <v>3.8</v>
      </c>
      <c r="AB24" s="239">
        <f t="shared" si="28"/>
        <v>3.8809999999999998</v>
      </c>
      <c r="AC24" s="239">
        <f t="shared" si="28"/>
        <v>3.915</v>
      </c>
      <c r="AD24" s="239">
        <f>AB23</f>
        <v>3.9319999999999999</v>
      </c>
      <c r="AE24" s="239">
        <f t="shared" ref="AE24:AN24" si="29">AE23</f>
        <v>3.9750000000000001</v>
      </c>
      <c r="AF24" s="239">
        <f t="shared" si="29"/>
        <v>4.0039999999999996</v>
      </c>
      <c r="AG24" s="239">
        <f t="shared" si="29"/>
        <v>4.0780000000000003</v>
      </c>
      <c r="AH24" s="239">
        <f t="shared" si="29"/>
        <v>4.1369999999999996</v>
      </c>
      <c r="AI24" s="239">
        <f t="shared" si="29"/>
        <v>4.1870000000000003</v>
      </c>
      <c r="AJ24" s="239">
        <f t="shared" si="29"/>
        <v>4.2279999999999998</v>
      </c>
      <c r="AK24" s="239">
        <f t="shared" si="29"/>
        <v>4.2699999999999996</v>
      </c>
      <c r="AL24" s="239">
        <f t="shared" si="29"/>
        <v>4.3049999999999997</v>
      </c>
      <c r="AM24" s="239">
        <f t="shared" si="29"/>
        <v>4.34</v>
      </c>
      <c r="AN24" s="239">
        <f t="shared" si="29"/>
        <v>4.3719999999999999</v>
      </c>
    </row>
    <row r="25" spans="2:69" ht="15.75" customHeight="1" x14ac:dyDescent="0.25">
      <c r="B25" s="240" t="s">
        <v>1815</v>
      </c>
      <c r="C25" s="241"/>
      <c r="D25" s="242"/>
      <c r="E25" s="242"/>
      <c r="F25" s="242"/>
      <c r="G25" s="242"/>
      <c r="H25" s="242"/>
      <c r="I25" s="242"/>
      <c r="J25" s="242"/>
      <c r="K25" s="242"/>
      <c r="L25" s="242"/>
      <c r="M25" s="242">
        <v>1</v>
      </c>
      <c r="N25" s="242">
        <v>2</v>
      </c>
      <c r="O25" s="242">
        <v>3</v>
      </c>
      <c r="P25" s="242">
        <v>4</v>
      </c>
      <c r="Q25" s="242">
        <v>1</v>
      </c>
      <c r="R25" s="242">
        <v>2</v>
      </c>
      <c r="S25" s="242">
        <v>3</v>
      </c>
      <c r="T25" s="242">
        <v>4</v>
      </c>
      <c r="U25" s="242">
        <v>1</v>
      </c>
      <c r="V25" s="242">
        <v>2</v>
      </c>
      <c r="W25" s="242">
        <v>3</v>
      </c>
      <c r="X25" s="242">
        <v>4</v>
      </c>
      <c r="Y25" s="242">
        <v>1</v>
      </c>
      <c r="Z25" s="242">
        <v>2</v>
      </c>
      <c r="AA25" s="242">
        <v>3</v>
      </c>
      <c r="AB25" s="242">
        <v>4</v>
      </c>
      <c r="AC25" s="242">
        <v>1</v>
      </c>
      <c r="AD25" s="242">
        <v>2</v>
      </c>
      <c r="AE25" s="242">
        <v>3</v>
      </c>
      <c r="AF25" s="242">
        <v>4</v>
      </c>
      <c r="AG25" s="242">
        <v>1</v>
      </c>
      <c r="AH25" s="242">
        <v>2</v>
      </c>
      <c r="AI25" s="242">
        <v>3</v>
      </c>
      <c r="AJ25" s="242">
        <v>4</v>
      </c>
      <c r="AK25" s="242">
        <v>1</v>
      </c>
      <c r="AL25" s="242">
        <v>2</v>
      </c>
      <c r="AM25" s="242">
        <v>3</v>
      </c>
      <c r="AN25" s="242">
        <v>4</v>
      </c>
    </row>
    <row r="26" spans="2:69" x14ac:dyDescent="0.25">
      <c r="B26" s="252" t="s">
        <v>1816</v>
      </c>
      <c r="C26" s="253"/>
      <c r="D26" s="254"/>
      <c r="E26" s="254"/>
      <c r="F26" s="254"/>
      <c r="G26" s="254"/>
      <c r="H26" s="254"/>
      <c r="I26" s="254"/>
      <c r="J26" s="254"/>
      <c r="K26" s="254"/>
      <c r="L26" s="254"/>
      <c r="M26" s="254">
        <v>2021</v>
      </c>
      <c r="N26" s="254">
        <v>2021</v>
      </c>
      <c r="O26" s="254">
        <v>2021</v>
      </c>
      <c r="P26" s="254">
        <v>2021</v>
      </c>
      <c r="Q26" s="254">
        <v>2022</v>
      </c>
      <c r="R26" s="254">
        <v>2022</v>
      </c>
      <c r="S26" s="254">
        <v>2022</v>
      </c>
      <c r="T26" s="254">
        <v>2022</v>
      </c>
      <c r="U26" s="254">
        <v>2023</v>
      </c>
      <c r="V26" s="254">
        <v>2023</v>
      </c>
      <c r="W26" s="254">
        <v>2023</v>
      </c>
      <c r="X26" s="254">
        <v>2023</v>
      </c>
      <c r="Y26" s="254">
        <v>2024</v>
      </c>
      <c r="Z26" s="254">
        <v>2024</v>
      </c>
      <c r="AA26" s="254">
        <v>2024</v>
      </c>
      <c r="AB26" s="254">
        <v>2024</v>
      </c>
      <c r="AC26" s="254">
        <v>2025</v>
      </c>
      <c r="AD26" s="254">
        <v>2025</v>
      </c>
      <c r="AE26" s="254">
        <v>2025</v>
      </c>
      <c r="AF26" s="254">
        <v>2025</v>
      </c>
      <c r="AG26" s="254">
        <v>2026</v>
      </c>
      <c r="AH26" s="254">
        <v>2026</v>
      </c>
      <c r="AI26" s="254">
        <v>2026</v>
      </c>
      <c r="AJ26" s="254">
        <v>2026</v>
      </c>
      <c r="AK26" s="254">
        <v>2027</v>
      </c>
      <c r="AL26" s="254">
        <v>2027</v>
      </c>
      <c r="AM26" s="254">
        <v>2027</v>
      </c>
      <c r="AN26" s="254">
        <v>2027</v>
      </c>
    </row>
    <row r="27" spans="2:69" x14ac:dyDescent="0.25">
      <c r="B27" s="56"/>
      <c r="C27" s="238"/>
      <c r="D27" s="222"/>
      <c r="E27" s="222"/>
      <c r="F27" s="222"/>
      <c r="G27" s="222"/>
      <c r="H27" s="222"/>
      <c r="I27" s="222"/>
      <c r="J27" s="222"/>
      <c r="K27" s="222"/>
      <c r="L27" s="222"/>
      <c r="M27" s="222"/>
      <c r="N27" s="222"/>
      <c r="O27" s="222"/>
      <c r="P27" s="222"/>
      <c r="Q27" s="222"/>
      <c r="R27" s="222"/>
      <c r="S27" s="222"/>
      <c r="T27" s="222"/>
      <c r="U27" s="222"/>
      <c r="V27" s="222"/>
      <c r="W27" s="222"/>
      <c r="X27" s="222"/>
      <c r="Y27" s="222"/>
      <c r="Z27" s="222"/>
      <c r="AA27" s="222"/>
      <c r="AB27" s="222"/>
      <c r="AC27" s="222"/>
      <c r="AD27" s="222"/>
      <c r="AE27" s="222"/>
      <c r="AF27" s="222"/>
      <c r="AG27" s="222"/>
      <c r="AH27" s="222"/>
      <c r="AI27" s="227"/>
    </row>
    <row r="28" spans="2:69" x14ac:dyDescent="0.25">
      <c r="C28" s="238"/>
      <c r="D28" s="222"/>
      <c r="E28" s="222"/>
      <c r="F28" s="222"/>
      <c r="G28" s="222"/>
      <c r="H28" s="230"/>
      <c r="I28" s="230"/>
      <c r="J28" s="230"/>
      <c r="K28" s="230"/>
      <c r="L28" s="230"/>
      <c r="M28" s="230"/>
      <c r="N28" s="230"/>
      <c r="O28" s="230"/>
      <c r="P28" s="230"/>
      <c r="AI28" s="227"/>
    </row>
    <row r="29" spans="2:69" x14ac:dyDescent="0.25">
      <c r="M29" s="238"/>
      <c r="N29" s="238"/>
      <c r="O29" s="238"/>
    </row>
    <row r="30" spans="2:69" ht="45" customHeight="1" x14ac:dyDescent="0.25">
      <c r="B30" s="271" t="s">
        <v>301</v>
      </c>
      <c r="C30" s="272" t="s">
        <v>302</v>
      </c>
      <c r="D30" s="269"/>
      <c r="E30" s="14" t="s">
        <v>1805</v>
      </c>
      <c r="F30" s="14" t="s">
        <v>1810</v>
      </c>
      <c r="G30" s="14"/>
      <c r="H30" s="14"/>
      <c r="I30" s="14"/>
      <c r="J30" s="14"/>
      <c r="O30" s="273"/>
    </row>
    <row r="31" spans="2:69" x14ac:dyDescent="0.25">
      <c r="B31" s="266">
        <v>44197</v>
      </c>
      <c r="C31" s="228">
        <v>6.3</v>
      </c>
      <c r="D31" s="270"/>
      <c r="E31" s="43" t="s">
        <v>1740</v>
      </c>
      <c r="F31" s="56"/>
      <c r="G31" s="56"/>
      <c r="H31" s="75"/>
      <c r="I31" s="56"/>
      <c r="J31" s="75"/>
      <c r="O31" s="238"/>
    </row>
    <row r="32" spans="2:69" x14ac:dyDescent="0.25">
      <c r="B32" s="266">
        <v>44228</v>
      </c>
      <c r="C32" s="228">
        <v>6.2</v>
      </c>
      <c r="D32" s="270"/>
      <c r="E32" s="113" t="s">
        <v>1806</v>
      </c>
      <c r="F32" s="106">
        <v>6.166666666666667</v>
      </c>
      <c r="G32" s="56"/>
      <c r="H32" s="75"/>
      <c r="I32" s="56"/>
      <c r="J32" s="75"/>
      <c r="O32" s="238"/>
    </row>
    <row r="33" spans="1:43" x14ac:dyDescent="0.25">
      <c r="B33" s="266">
        <v>44256</v>
      </c>
      <c r="C33" s="228">
        <v>6</v>
      </c>
      <c r="D33" s="270"/>
      <c r="E33" s="113" t="s">
        <v>1807</v>
      </c>
      <c r="F33" s="106">
        <v>5.7666666666666657</v>
      </c>
      <c r="G33" s="56"/>
      <c r="H33" s="75"/>
      <c r="I33" s="56"/>
      <c r="J33" s="75"/>
      <c r="O33" s="238"/>
    </row>
    <row r="34" spans="1:43" x14ac:dyDescent="0.25">
      <c r="B34" s="266">
        <v>44287</v>
      </c>
      <c r="C34" s="228">
        <v>6.1</v>
      </c>
      <c r="D34" s="270"/>
      <c r="E34" s="113" t="s">
        <v>1808</v>
      </c>
      <c r="F34" s="106">
        <v>5.1333333333333337</v>
      </c>
      <c r="G34" s="56"/>
      <c r="H34" s="75"/>
      <c r="I34" s="56"/>
      <c r="J34" s="75"/>
      <c r="O34" s="238"/>
    </row>
    <row r="35" spans="1:43" x14ac:dyDescent="0.25">
      <c r="A35" s="56"/>
      <c r="B35" s="266">
        <v>44317</v>
      </c>
      <c r="C35" s="228">
        <v>5.8</v>
      </c>
      <c r="D35" s="270"/>
      <c r="E35" s="113" t="s">
        <v>1809</v>
      </c>
      <c r="F35" s="106">
        <v>4.2333333333333334</v>
      </c>
      <c r="G35" s="56"/>
      <c r="H35" s="75"/>
      <c r="I35" s="56"/>
      <c r="J35" s="75"/>
      <c r="O35" s="238"/>
    </row>
    <row r="36" spans="1:43" x14ac:dyDescent="0.25">
      <c r="A36" s="56"/>
      <c r="B36" s="266">
        <v>44348</v>
      </c>
      <c r="C36" s="228">
        <v>5.4</v>
      </c>
      <c r="D36" s="270"/>
      <c r="E36" s="43" t="s">
        <v>1729</v>
      </c>
      <c r="F36" s="106"/>
      <c r="G36" s="56"/>
      <c r="H36" s="75"/>
      <c r="I36" s="56"/>
      <c r="J36" s="75"/>
      <c r="O36" s="238"/>
    </row>
    <row r="37" spans="1:43" x14ac:dyDescent="0.25">
      <c r="A37" s="56"/>
      <c r="B37" s="266">
        <v>44378</v>
      </c>
      <c r="C37" s="228">
        <v>5.4</v>
      </c>
      <c r="D37" s="270"/>
      <c r="E37" s="113" t="s">
        <v>1806</v>
      </c>
      <c r="F37" s="106">
        <v>3.8000000000000003</v>
      </c>
      <c r="G37" s="56"/>
      <c r="H37" s="75"/>
      <c r="I37" s="56"/>
      <c r="J37" s="75"/>
      <c r="O37" s="238"/>
    </row>
    <row r="38" spans="1:43" x14ac:dyDescent="0.25">
      <c r="A38" s="56"/>
      <c r="B38" s="266">
        <v>44409</v>
      </c>
      <c r="C38" s="228">
        <v>5.2</v>
      </c>
      <c r="D38" s="270"/>
      <c r="E38" s="113" t="s">
        <v>1807</v>
      </c>
      <c r="F38" s="106">
        <v>3.6</v>
      </c>
      <c r="G38" s="56"/>
      <c r="H38" s="75"/>
      <c r="I38" s="56"/>
      <c r="J38" s="75"/>
      <c r="O38" s="238"/>
    </row>
    <row r="39" spans="1:43" x14ac:dyDescent="0.25">
      <c r="A39" s="56"/>
      <c r="B39" s="266">
        <v>44440</v>
      </c>
      <c r="C39" s="228">
        <v>4.8</v>
      </c>
      <c r="D39" s="270"/>
      <c r="E39" s="113" t="s">
        <v>1808</v>
      </c>
      <c r="F39" s="106">
        <v>3.5666666666666664</v>
      </c>
      <c r="G39" s="56"/>
      <c r="H39" s="75"/>
      <c r="I39" s="56"/>
      <c r="J39" s="75"/>
      <c r="O39" s="238"/>
    </row>
    <row r="40" spans="1:43" x14ac:dyDescent="0.25">
      <c r="A40" s="56"/>
      <c r="B40" s="266">
        <v>44470</v>
      </c>
      <c r="C40" s="228">
        <v>4.5999999999999996</v>
      </c>
      <c r="D40" s="270"/>
      <c r="E40" s="113" t="s">
        <v>1809</v>
      </c>
      <c r="F40" s="106">
        <v>3.6</v>
      </c>
      <c r="G40" s="56"/>
      <c r="H40" s="75"/>
      <c r="I40" s="56"/>
      <c r="J40" s="75"/>
      <c r="O40" s="238"/>
    </row>
    <row r="41" spans="1:43" x14ac:dyDescent="0.25">
      <c r="A41" s="56"/>
      <c r="B41" s="266">
        <v>44501</v>
      </c>
      <c r="C41" s="228">
        <v>4.2</v>
      </c>
      <c r="D41" s="270"/>
      <c r="E41" s="43" t="s">
        <v>1811</v>
      </c>
      <c r="F41" s="106"/>
      <c r="G41" s="56"/>
      <c r="H41" s="75"/>
      <c r="I41" s="56"/>
      <c r="J41" s="75"/>
      <c r="O41" s="238"/>
      <c r="AI41" s="238"/>
      <c r="AJ41" s="238"/>
      <c r="AK41" s="238"/>
      <c r="AL41" s="238"/>
      <c r="AM41" s="238"/>
      <c r="AN41" s="238"/>
      <c r="AO41" s="238"/>
      <c r="AP41" s="238"/>
      <c r="AQ41" s="238"/>
    </row>
    <row r="42" spans="1:43" x14ac:dyDescent="0.25">
      <c r="A42" s="56"/>
      <c r="B42" s="266">
        <v>44531</v>
      </c>
      <c r="C42" s="228">
        <v>3.9</v>
      </c>
      <c r="D42" s="270"/>
      <c r="E42" s="113" t="s">
        <v>1806</v>
      </c>
      <c r="F42" s="106">
        <v>3.5</v>
      </c>
      <c r="G42" s="56"/>
      <c r="H42" s="75"/>
      <c r="I42" s="56"/>
      <c r="J42" s="75"/>
      <c r="O42" s="238"/>
      <c r="AI42" s="238"/>
      <c r="AJ42" s="238"/>
      <c r="AK42" s="238"/>
      <c r="AL42" s="238"/>
      <c r="AM42" s="238"/>
      <c r="AN42" s="238"/>
      <c r="AO42" s="238"/>
      <c r="AP42" s="238"/>
      <c r="AQ42" s="238"/>
    </row>
    <row r="43" spans="1:43" x14ac:dyDescent="0.25">
      <c r="A43" s="56"/>
      <c r="B43" s="266">
        <v>44562</v>
      </c>
      <c r="C43" s="228">
        <v>4</v>
      </c>
      <c r="D43" s="56"/>
      <c r="E43" s="113" t="s">
        <v>1807</v>
      </c>
      <c r="F43" s="106"/>
      <c r="G43" s="56"/>
      <c r="H43" s="75"/>
      <c r="I43" s="56"/>
      <c r="J43" s="75"/>
      <c r="O43" s="238"/>
    </row>
    <row r="44" spans="1:43" x14ac:dyDescent="0.25">
      <c r="A44" s="56"/>
      <c r="B44" s="266">
        <v>44593</v>
      </c>
      <c r="C44" s="228">
        <v>3.8</v>
      </c>
      <c r="D44" s="56"/>
      <c r="E44" s="113" t="s">
        <v>1808</v>
      </c>
      <c r="F44" s="106"/>
      <c r="G44" s="56"/>
      <c r="H44" s="75"/>
      <c r="I44" s="56"/>
      <c r="J44" s="75"/>
    </row>
    <row r="45" spans="1:43" x14ac:dyDescent="0.25">
      <c r="A45" s="56"/>
      <c r="B45" s="266">
        <v>44621</v>
      </c>
      <c r="C45" s="228">
        <v>3.6</v>
      </c>
      <c r="D45" s="56"/>
      <c r="E45" s="113" t="s">
        <v>1809</v>
      </c>
      <c r="F45" s="106"/>
      <c r="G45" s="56"/>
      <c r="H45" s="75"/>
      <c r="I45" s="56"/>
      <c r="J45" s="75"/>
    </row>
    <row r="46" spans="1:43" x14ac:dyDescent="0.25">
      <c r="A46" s="56"/>
      <c r="B46" s="266">
        <v>44652</v>
      </c>
      <c r="C46" s="228">
        <v>3.6</v>
      </c>
      <c r="D46" s="56"/>
      <c r="E46" s="43" t="s">
        <v>1812</v>
      </c>
      <c r="F46" s="106"/>
      <c r="G46" s="56"/>
      <c r="H46" s="75"/>
      <c r="I46" s="56"/>
      <c r="J46" s="75"/>
    </row>
    <row r="47" spans="1:43" x14ac:dyDescent="0.25">
      <c r="A47" s="56"/>
      <c r="B47" s="266">
        <v>44682</v>
      </c>
      <c r="C47" s="228">
        <v>3.6</v>
      </c>
      <c r="D47" s="56"/>
      <c r="E47" s="113" t="s">
        <v>1806</v>
      </c>
      <c r="F47" s="106"/>
      <c r="G47" s="56"/>
      <c r="H47" s="75"/>
      <c r="I47" s="56"/>
      <c r="J47" s="75"/>
    </row>
    <row r="48" spans="1:43" x14ac:dyDescent="0.25">
      <c r="A48" s="56"/>
      <c r="B48" s="266">
        <v>44713</v>
      </c>
      <c r="C48" s="228">
        <v>3.6</v>
      </c>
      <c r="D48" s="56"/>
      <c r="E48" s="113" t="s">
        <v>1807</v>
      </c>
      <c r="F48" s="106"/>
      <c r="G48" s="56"/>
      <c r="H48" s="75"/>
      <c r="I48" s="56"/>
      <c r="J48" s="75"/>
    </row>
    <row r="49" spans="1:10" x14ac:dyDescent="0.25">
      <c r="A49" s="56"/>
      <c r="B49" s="266">
        <v>44743</v>
      </c>
      <c r="C49" s="228">
        <v>3.5</v>
      </c>
      <c r="D49" s="56"/>
      <c r="E49" s="113" t="s">
        <v>1808</v>
      </c>
      <c r="F49" s="106"/>
      <c r="G49" s="56"/>
      <c r="H49" s="75"/>
      <c r="I49" s="56"/>
      <c r="J49" s="75"/>
    </row>
    <row r="50" spans="1:10" x14ac:dyDescent="0.25">
      <c r="A50" s="56"/>
      <c r="B50" s="266">
        <v>44774</v>
      </c>
      <c r="C50" s="228">
        <v>3.7</v>
      </c>
      <c r="D50" s="56"/>
      <c r="E50" s="113" t="s">
        <v>1809</v>
      </c>
      <c r="F50" s="106"/>
      <c r="G50" s="56"/>
      <c r="H50" s="75"/>
      <c r="I50" s="56"/>
      <c r="J50" s="75"/>
    </row>
    <row r="51" spans="1:10" x14ac:dyDescent="0.25">
      <c r="A51" s="56"/>
      <c r="B51" s="266">
        <v>44805</v>
      </c>
      <c r="C51" s="228">
        <v>3.5</v>
      </c>
      <c r="D51" s="56"/>
      <c r="E51" s="43" t="s">
        <v>1813</v>
      </c>
      <c r="F51" s="106"/>
      <c r="G51" s="56"/>
      <c r="H51" s="56"/>
      <c r="I51" s="56"/>
      <c r="J51" s="56"/>
    </row>
    <row r="52" spans="1:10" x14ac:dyDescent="0.25">
      <c r="A52" s="56"/>
      <c r="B52" s="266">
        <v>44835</v>
      </c>
      <c r="C52" s="228">
        <v>3.7</v>
      </c>
      <c r="D52" s="56"/>
      <c r="E52" s="113" t="s">
        <v>1806</v>
      </c>
      <c r="F52" s="106"/>
      <c r="G52" s="56"/>
      <c r="H52" s="56"/>
      <c r="I52" s="56"/>
      <c r="J52" s="56"/>
    </row>
    <row r="53" spans="1:10" x14ac:dyDescent="0.25">
      <c r="A53" s="56"/>
      <c r="B53" s="266">
        <v>44866</v>
      </c>
      <c r="C53" s="228">
        <v>3.6</v>
      </c>
      <c r="D53" s="56"/>
      <c r="E53" s="113" t="s">
        <v>1807</v>
      </c>
      <c r="F53" s="106"/>
      <c r="G53" s="56"/>
      <c r="H53" s="56"/>
      <c r="I53" s="56"/>
      <c r="J53" s="56"/>
    </row>
    <row r="54" spans="1:10" x14ac:dyDescent="0.25">
      <c r="A54" s="56"/>
      <c r="B54" s="266">
        <v>44896</v>
      </c>
      <c r="C54" s="228">
        <v>3.5</v>
      </c>
      <c r="D54" s="56"/>
      <c r="E54" s="113" t="s">
        <v>1808</v>
      </c>
      <c r="F54" s="106"/>
      <c r="G54" s="56"/>
      <c r="H54" s="56"/>
      <c r="I54" s="56"/>
      <c r="J54" s="56"/>
    </row>
    <row r="55" spans="1:10" x14ac:dyDescent="0.25">
      <c r="B55" s="266">
        <v>44927</v>
      </c>
      <c r="C55" s="228">
        <v>3.4</v>
      </c>
      <c r="D55" s="56"/>
      <c r="E55" s="113" t="s">
        <v>1809</v>
      </c>
      <c r="F55" s="106"/>
      <c r="G55" s="56"/>
      <c r="H55" s="56"/>
      <c r="I55" s="56"/>
      <c r="J55" s="56"/>
    </row>
    <row r="56" spans="1:10" x14ac:dyDescent="0.25">
      <c r="B56" s="266">
        <v>44958</v>
      </c>
      <c r="C56" s="228">
        <v>3.6</v>
      </c>
      <c r="D56" s="56"/>
      <c r="E56" s="43" t="s">
        <v>1814</v>
      </c>
      <c r="F56" s="106"/>
      <c r="G56" s="56"/>
      <c r="H56" s="56"/>
      <c r="I56" s="56"/>
      <c r="J56" s="56"/>
    </row>
    <row r="57" spans="1:10" x14ac:dyDescent="0.25">
      <c r="B57" s="266">
        <v>44986</v>
      </c>
      <c r="C57" s="228">
        <v>3.5</v>
      </c>
      <c r="D57" s="56"/>
      <c r="E57" s="113" t="s">
        <v>1806</v>
      </c>
      <c r="F57" s="106"/>
      <c r="G57" s="56"/>
      <c r="H57" s="56"/>
      <c r="I57" s="56"/>
      <c r="J57" s="56"/>
    </row>
    <row r="58" spans="1:10" x14ac:dyDescent="0.25">
      <c r="B58" s="266">
        <v>45017</v>
      </c>
      <c r="C58" s="228"/>
      <c r="D58" s="56"/>
      <c r="E58" s="113" t="s">
        <v>1807</v>
      </c>
      <c r="F58" s="106"/>
      <c r="G58" s="56"/>
      <c r="H58" s="56"/>
      <c r="I58" s="56"/>
      <c r="J58" s="56"/>
    </row>
    <row r="59" spans="1:10" x14ac:dyDescent="0.25">
      <c r="B59" s="266">
        <v>45047</v>
      </c>
      <c r="C59" s="228"/>
      <c r="D59" s="56"/>
      <c r="E59" s="113" t="s">
        <v>1808</v>
      </c>
      <c r="F59" s="106"/>
      <c r="G59" s="56"/>
      <c r="H59" s="56"/>
      <c r="I59" s="56"/>
      <c r="J59" s="56"/>
    </row>
    <row r="60" spans="1:10" x14ac:dyDescent="0.25">
      <c r="B60" s="266">
        <v>45078</v>
      </c>
      <c r="C60" s="228"/>
      <c r="D60" s="56"/>
      <c r="E60" s="113" t="s">
        <v>1809</v>
      </c>
      <c r="F60" s="106"/>
      <c r="G60" s="56"/>
      <c r="H60" s="56"/>
      <c r="I60" s="56"/>
      <c r="J60" s="56"/>
    </row>
    <row r="61" spans="1:10" x14ac:dyDescent="0.25">
      <c r="B61" s="266">
        <v>45108</v>
      </c>
      <c r="C61" s="228"/>
      <c r="D61" s="56"/>
      <c r="E61" s="56"/>
      <c r="F61" s="56"/>
      <c r="G61" s="56"/>
      <c r="H61" s="56"/>
      <c r="I61" s="56"/>
      <c r="J61" s="56"/>
    </row>
    <row r="62" spans="1:10" x14ac:dyDescent="0.25">
      <c r="B62" s="266">
        <v>45139</v>
      </c>
      <c r="C62" s="228"/>
      <c r="D62" s="56"/>
      <c r="E62" s="56"/>
      <c r="F62" s="56"/>
      <c r="G62" s="56"/>
      <c r="H62" s="56"/>
      <c r="I62" s="56"/>
      <c r="J62" s="56"/>
    </row>
    <row r="63" spans="1:10" x14ac:dyDescent="0.25">
      <c r="B63" s="266">
        <v>45170</v>
      </c>
      <c r="C63" s="228"/>
      <c r="D63" s="56"/>
      <c r="E63" s="56"/>
      <c r="F63" s="56"/>
      <c r="G63" s="56"/>
      <c r="H63" s="56"/>
      <c r="I63" s="56"/>
      <c r="J63" s="56"/>
    </row>
    <row r="64" spans="1:10" x14ac:dyDescent="0.25">
      <c r="B64" s="266">
        <v>45200</v>
      </c>
      <c r="C64" s="228"/>
      <c r="D64" s="56"/>
      <c r="E64" s="56"/>
      <c r="F64" s="56"/>
      <c r="G64" s="56"/>
      <c r="H64" s="56"/>
      <c r="I64" s="56"/>
      <c r="J64" s="56"/>
    </row>
    <row r="65" spans="2:10" x14ac:dyDescent="0.25">
      <c r="B65" s="266">
        <v>45231</v>
      </c>
      <c r="C65" s="228"/>
      <c r="D65" s="56"/>
      <c r="E65" s="56"/>
      <c r="F65" s="56"/>
      <c r="G65" s="56"/>
      <c r="H65" s="56"/>
      <c r="I65" s="56"/>
      <c r="J65" s="56"/>
    </row>
    <row r="66" spans="2:10" x14ac:dyDescent="0.25">
      <c r="B66" s="266">
        <v>45261</v>
      </c>
      <c r="C66" s="228"/>
      <c r="D66" s="56"/>
      <c r="E66" s="56"/>
      <c r="F66" s="56"/>
      <c r="G66" s="56"/>
      <c r="H66" s="56"/>
      <c r="I66" s="56"/>
      <c r="J66" s="56"/>
    </row>
    <row r="67" spans="2:10" x14ac:dyDescent="0.25">
      <c r="B67" s="266">
        <v>45292</v>
      </c>
      <c r="C67" s="228"/>
      <c r="D67" s="56"/>
      <c r="E67" s="56"/>
      <c r="F67" s="56"/>
      <c r="G67" s="56"/>
      <c r="H67" s="56"/>
      <c r="I67" s="56"/>
      <c r="J67" s="56"/>
    </row>
    <row r="68" spans="2:10" x14ac:dyDescent="0.25">
      <c r="B68" s="266">
        <v>45323</v>
      </c>
      <c r="C68" s="228"/>
      <c r="D68" s="56"/>
      <c r="E68" s="56"/>
      <c r="F68" s="56"/>
      <c r="G68" s="56"/>
      <c r="H68" s="56"/>
      <c r="I68" s="56"/>
      <c r="J68" s="56"/>
    </row>
    <row r="69" spans="2:10" x14ac:dyDescent="0.25">
      <c r="B69" s="266">
        <v>45352</v>
      </c>
      <c r="C69" s="228"/>
      <c r="D69" s="56"/>
      <c r="E69" s="56"/>
      <c r="F69" s="56"/>
      <c r="G69" s="56"/>
      <c r="H69" s="56"/>
      <c r="I69" s="56"/>
      <c r="J69" s="56"/>
    </row>
    <row r="70" spans="2:10" x14ac:dyDescent="0.25">
      <c r="B70" s="266">
        <v>45383</v>
      </c>
      <c r="C70" s="228"/>
      <c r="D70" s="56"/>
      <c r="E70" s="56"/>
      <c r="F70" s="56"/>
      <c r="G70" s="56"/>
      <c r="H70" s="56"/>
      <c r="I70" s="56"/>
      <c r="J70" s="56"/>
    </row>
    <row r="71" spans="2:10" x14ac:dyDescent="0.25">
      <c r="B71" s="266">
        <v>45413</v>
      </c>
      <c r="C71" s="228"/>
      <c r="D71" s="56"/>
      <c r="E71" s="56"/>
      <c r="F71" s="56"/>
      <c r="G71" s="56"/>
      <c r="H71" s="56"/>
      <c r="I71" s="56"/>
      <c r="J71" s="56"/>
    </row>
    <row r="72" spans="2:10" x14ac:dyDescent="0.25">
      <c r="B72" s="266">
        <v>45444</v>
      </c>
      <c r="C72" s="228"/>
      <c r="D72" s="56"/>
      <c r="E72" s="56"/>
      <c r="F72" s="56"/>
      <c r="G72" s="56"/>
      <c r="H72" s="56"/>
      <c r="I72" s="56"/>
      <c r="J72" s="56"/>
    </row>
    <row r="73" spans="2:10" x14ac:dyDescent="0.25">
      <c r="B73" s="266">
        <v>45474</v>
      </c>
      <c r="C73" s="228"/>
      <c r="D73" s="56"/>
      <c r="E73" s="56"/>
      <c r="F73" s="56"/>
      <c r="G73" s="56"/>
      <c r="H73" s="56"/>
      <c r="I73" s="56"/>
      <c r="J73" s="56"/>
    </row>
    <row r="74" spans="2:10" x14ac:dyDescent="0.25">
      <c r="B74" s="266">
        <v>45505</v>
      </c>
      <c r="C74" s="228"/>
      <c r="D74" s="56"/>
      <c r="E74" s="56"/>
      <c r="F74" s="56"/>
      <c r="G74" s="56"/>
      <c r="H74" s="56"/>
      <c r="I74" s="56"/>
      <c r="J74" s="56"/>
    </row>
    <row r="75" spans="2:10" x14ac:dyDescent="0.25">
      <c r="B75" s="266">
        <v>45536</v>
      </c>
      <c r="C75" s="228"/>
      <c r="D75" s="56"/>
      <c r="E75" s="56"/>
      <c r="F75" s="56"/>
      <c r="G75" s="56"/>
      <c r="H75" s="56"/>
      <c r="I75" s="56"/>
      <c r="J75" s="56"/>
    </row>
    <row r="76" spans="2:10" x14ac:dyDescent="0.25">
      <c r="B76" s="266">
        <v>45566</v>
      </c>
      <c r="C76" s="228"/>
      <c r="D76" s="56"/>
      <c r="E76" s="56"/>
      <c r="F76" s="56"/>
      <c r="G76" s="56"/>
      <c r="H76" s="56"/>
      <c r="I76" s="56"/>
      <c r="J76" s="56"/>
    </row>
    <row r="77" spans="2:10" x14ac:dyDescent="0.25">
      <c r="B77" s="266">
        <v>45597</v>
      </c>
      <c r="C77" s="228"/>
      <c r="D77" s="56"/>
      <c r="E77" s="56"/>
      <c r="F77" s="56"/>
      <c r="G77" s="56"/>
      <c r="H77" s="56"/>
      <c r="I77" s="56"/>
      <c r="J77" s="56"/>
    </row>
    <row r="78" spans="2:10" x14ac:dyDescent="0.25">
      <c r="B78" s="266">
        <v>45627</v>
      </c>
      <c r="C78" s="228"/>
      <c r="D78" s="56"/>
      <c r="E78" s="56"/>
      <c r="F78" s="56"/>
      <c r="G78" s="56"/>
      <c r="H78" s="56"/>
      <c r="I78" s="56"/>
      <c r="J78" s="56"/>
    </row>
    <row r="79" spans="2:10" x14ac:dyDescent="0.25">
      <c r="B79" s="266">
        <v>45658</v>
      </c>
      <c r="C79" s="228"/>
      <c r="D79" s="56"/>
      <c r="E79" s="56"/>
      <c r="F79" s="56"/>
      <c r="G79" s="56"/>
      <c r="H79" s="56"/>
      <c r="I79" s="56"/>
      <c r="J79" s="56"/>
    </row>
    <row r="80" spans="2:10" x14ac:dyDescent="0.25">
      <c r="B80" s="266">
        <v>45689</v>
      </c>
      <c r="C80" s="228"/>
      <c r="D80" s="56"/>
      <c r="E80" s="56"/>
      <c r="F80" s="56"/>
      <c r="G80" s="56"/>
      <c r="H80" s="56"/>
      <c r="I80" s="56"/>
      <c r="J80" s="56"/>
    </row>
    <row r="81" spans="2:10" x14ac:dyDescent="0.25">
      <c r="B81" s="266">
        <v>45717</v>
      </c>
      <c r="C81" s="228"/>
      <c r="D81" s="56"/>
      <c r="E81" s="56"/>
      <c r="F81" s="56"/>
      <c r="G81" s="56"/>
      <c r="H81" s="56"/>
      <c r="I81" s="56"/>
      <c r="J81" s="56"/>
    </row>
    <row r="82" spans="2:10" x14ac:dyDescent="0.25">
      <c r="B82" s="266">
        <v>45748</v>
      </c>
      <c r="C82" s="228"/>
      <c r="D82" s="56"/>
      <c r="E82" s="56"/>
      <c r="F82" s="56"/>
      <c r="G82" s="56"/>
      <c r="H82" s="56"/>
      <c r="I82" s="56"/>
      <c r="J82" s="56"/>
    </row>
    <row r="83" spans="2:10" x14ac:dyDescent="0.25">
      <c r="B83" s="266">
        <v>45778</v>
      </c>
      <c r="C83" s="228"/>
      <c r="D83" s="56"/>
      <c r="E83" s="56"/>
      <c r="F83" s="56"/>
      <c r="G83" s="56"/>
      <c r="H83" s="56"/>
      <c r="I83" s="56"/>
      <c r="J83" s="56"/>
    </row>
    <row r="84" spans="2:10" x14ac:dyDescent="0.25">
      <c r="B84" s="266">
        <v>45809</v>
      </c>
      <c r="C84" s="228"/>
      <c r="D84" s="56"/>
      <c r="E84" s="56"/>
      <c r="F84" s="56"/>
      <c r="G84" s="56"/>
      <c r="H84" s="56"/>
      <c r="I84" s="56"/>
      <c r="J84" s="56"/>
    </row>
    <row r="85" spans="2:10" x14ac:dyDescent="0.25">
      <c r="B85" s="266">
        <v>45839</v>
      </c>
      <c r="C85" s="228"/>
      <c r="D85" s="56"/>
      <c r="E85" s="56"/>
      <c r="F85" s="56"/>
      <c r="G85" s="56"/>
      <c r="H85" s="56"/>
      <c r="I85" s="56"/>
      <c r="J85" s="56"/>
    </row>
    <row r="86" spans="2:10" x14ac:dyDescent="0.25">
      <c r="B86" s="266">
        <v>45870</v>
      </c>
      <c r="C86" s="228"/>
      <c r="D86" s="56"/>
      <c r="E86" s="56"/>
      <c r="F86" s="56"/>
      <c r="G86" s="56"/>
      <c r="H86" s="56"/>
      <c r="I86" s="56"/>
      <c r="J86" s="56"/>
    </row>
    <row r="87" spans="2:10" x14ac:dyDescent="0.25">
      <c r="B87" s="266">
        <v>45901</v>
      </c>
      <c r="C87" s="228"/>
      <c r="D87" s="56"/>
      <c r="E87" s="56"/>
      <c r="F87" s="56"/>
      <c r="G87" s="56"/>
      <c r="H87" s="56"/>
      <c r="I87" s="56"/>
      <c r="J87" s="56"/>
    </row>
    <row r="88" spans="2:10" x14ac:dyDescent="0.25">
      <c r="B88" s="266">
        <v>45931</v>
      </c>
      <c r="C88" s="228"/>
      <c r="D88" s="56"/>
      <c r="E88" s="56"/>
      <c r="F88" s="56"/>
      <c r="G88" s="56"/>
      <c r="H88" s="56"/>
      <c r="I88" s="56"/>
      <c r="J88" s="56"/>
    </row>
    <row r="89" spans="2:10" x14ac:dyDescent="0.25">
      <c r="B89" s="266">
        <v>45962</v>
      </c>
      <c r="C89" s="228"/>
      <c r="D89" s="56"/>
      <c r="E89" s="56"/>
      <c r="F89" s="56"/>
      <c r="G89" s="56"/>
      <c r="H89" s="56"/>
      <c r="I89" s="56"/>
      <c r="J89" s="56"/>
    </row>
    <row r="90" spans="2:10" x14ac:dyDescent="0.25">
      <c r="B90" s="266">
        <v>45992</v>
      </c>
      <c r="C90" s="228"/>
      <c r="D90" s="56"/>
      <c r="E90" s="56"/>
      <c r="F90" s="56"/>
      <c r="G90" s="56"/>
      <c r="H90" s="56"/>
      <c r="I90" s="56"/>
      <c r="J90" s="56"/>
    </row>
    <row r="91" spans="2:10" x14ac:dyDescent="0.25">
      <c r="B91" s="266">
        <v>46023</v>
      </c>
      <c r="C91" s="228"/>
      <c r="D91" s="56"/>
      <c r="E91" s="56"/>
      <c r="F91" s="56"/>
      <c r="G91" s="56"/>
      <c r="H91" s="56"/>
      <c r="I91" s="56"/>
      <c r="J91" s="56"/>
    </row>
    <row r="92" spans="2:10" x14ac:dyDescent="0.25">
      <c r="B92" s="266">
        <v>46054</v>
      </c>
      <c r="C92" s="228"/>
      <c r="D92" s="56"/>
      <c r="E92" s="56"/>
      <c r="F92" s="56"/>
      <c r="G92" s="56"/>
      <c r="H92" s="56"/>
      <c r="I92" s="56"/>
      <c r="J92" s="56"/>
    </row>
    <row r="93" spans="2:10" x14ac:dyDescent="0.25">
      <c r="B93" s="266">
        <v>46082</v>
      </c>
      <c r="C93" s="228"/>
      <c r="D93" s="56"/>
      <c r="E93" s="56"/>
      <c r="F93" s="56"/>
      <c r="G93" s="56"/>
      <c r="H93" s="56"/>
      <c r="I93" s="56"/>
      <c r="J93" s="56"/>
    </row>
    <row r="94" spans="2:10" x14ac:dyDescent="0.25">
      <c r="B94" s="266">
        <v>46113</v>
      </c>
      <c r="C94" s="228"/>
      <c r="D94" s="56"/>
      <c r="E94" s="56"/>
      <c r="F94" s="56"/>
      <c r="G94" s="56"/>
      <c r="H94" s="56"/>
      <c r="I94" s="56"/>
      <c r="J94" s="56"/>
    </row>
    <row r="95" spans="2:10" x14ac:dyDescent="0.25">
      <c r="B95" s="266">
        <v>46143</v>
      </c>
      <c r="C95" s="228"/>
      <c r="D95" s="56"/>
      <c r="E95" s="56"/>
      <c r="F95" s="56"/>
      <c r="G95" s="56"/>
      <c r="H95" s="56"/>
      <c r="I95" s="56"/>
      <c r="J95" s="56"/>
    </row>
    <row r="96" spans="2:10" x14ac:dyDescent="0.25">
      <c r="B96" s="266">
        <v>46174</v>
      </c>
      <c r="C96" s="228"/>
      <c r="D96" s="56"/>
      <c r="E96" s="56"/>
      <c r="F96" s="56"/>
      <c r="G96" s="56"/>
      <c r="H96" s="56"/>
      <c r="I96" s="56"/>
      <c r="J96" s="56"/>
    </row>
    <row r="97" spans="2:10" x14ac:dyDescent="0.25">
      <c r="B97" s="266">
        <v>46204</v>
      </c>
      <c r="C97" s="228"/>
      <c r="D97" s="56"/>
      <c r="E97" s="56"/>
      <c r="F97" s="56"/>
      <c r="G97" s="56"/>
      <c r="H97" s="56"/>
      <c r="I97" s="56"/>
      <c r="J97" s="56"/>
    </row>
    <row r="98" spans="2:10" x14ac:dyDescent="0.25">
      <c r="B98" s="266">
        <v>46235</v>
      </c>
      <c r="C98" s="228"/>
      <c r="D98" s="56"/>
      <c r="E98" s="56"/>
      <c r="F98" s="56"/>
      <c r="G98" s="56"/>
      <c r="H98" s="56"/>
      <c r="I98" s="56"/>
      <c r="J98" s="56"/>
    </row>
    <row r="99" spans="2:10" x14ac:dyDescent="0.25">
      <c r="B99" s="266">
        <v>46266</v>
      </c>
      <c r="C99" s="228"/>
      <c r="D99" s="56"/>
      <c r="E99" s="56"/>
      <c r="F99" s="56"/>
      <c r="G99" s="56"/>
      <c r="H99" s="56"/>
      <c r="I99" s="56"/>
      <c r="J99" s="56"/>
    </row>
    <row r="100" spans="2:10" x14ac:dyDescent="0.25">
      <c r="B100" s="266">
        <v>46296</v>
      </c>
      <c r="C100" s="228"/>
      <c r="D100" s="56"/>
      <c r="E100" s="56"/>
      <c r="F100" s="56"/>
      <c r="G100" s="56"/>
      <c r="H100" s="56"/>
      <c r="I100" s="56"/>
      <c r="J100" s="56"/>
    </row>
    <row r="101" spans="2:10" x14ac:dyDescent="0.25">
      <c r="B101" s="266">
        <v>46327</v>
      </c>
      <c r="C101" s="228"/>
      <c r="D101" s="56"/>
      <c r="E101" s="56"/>
      <c r="F101" s="56"/>
      <c r="G101" s="56"/>
      <c r="H101" s="56"/>
      <c r="I101" s="56"/>
      <c r="J101" s="56"/>
    </row>
    <row r="102" spans="2:10" x14ac:dyDescent="0.25">
      <c r="B102" s="267">
        <v>46357</v>
      </c>
      <c r="C102" s="229"/>
      <c r="D102" s="56"/>
      <c r="E102" s="56"/>
      <c r="F102" s="56"/>
      <c r="G102" s="56"/>
      <c r="H102" s="56"/>
      <c r="I102" s="56"/>
      <c r="J102" s="56"/>
    </row>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L100"/>
  <sheetViews>
    <sheetView zoomScale="90" zoomScaleNormal="90" workbookViewId="0">
      <selection activeCell="L34" sqref="L34"/>
    </sheetView>
  </sheetViews>
  <sheetFormatPr defaultColWidth="10.85546875" defaultRowHeight="15" x14ac:dyDescent="0.25"/>
  <cols>
    <col min="2" max="2" width="52.42578125" customWidth="1"/>
    <col min="3" max="4" width="11.42578125" customWidth="1"/>
    <col min="5" max="5" width="12.85546875" customWidth="1"/>
    <col min="6" max="6" width="10.85546875" customWidth="1"/>
    <col min="7" max="7" width="11.42578125" customWidth="1"/>
    <col min="8" max="8" width="12.140625" customWidth="1"/>
    <col min="9" max="9" width="8.42578125" customWidth="1"/>
    <col min="10" max="10" width="10.42578125" customWidth="1"/>
    <col min="11" max="11" width="8.42578125" customWidth="1"/>
    <col min="12" max="12" width="12.85546875" customWidth="1"/>
    <col min="13" max="13" width="20.42578125" customWidth="1"/>
    <col min="14" max="20" width="9.42578125" customWidth="1"/>
    <col min="21" max="25" width="10.85546875" customWidth="1"/>
    <col min="26" max="26" width="11.140625" customWidth="1"/>
    <col min="27" max="32" width="9.42578125" customWidth="1"/>
    <col min="33" max="36" width="8.42578125" customWidth="1"/>
  </cols>
  <sheetData>
    <row r="1" spans="2:30" x14ac:dyDescent="0.25">
      <c r="B1" s="1264" t="s">
        <v>53</v>
      </c>
      <c r="C1" s="1264"/>
      <c r="D1" s="1264"/>
      <c r="E1" s="1264"/>
      <c r="F1" s="1264"/>
      <c r="G1" s="1264"/>
      <c r="H1" s="1264"/>
      <c r="I1" s="1264"/>
      <c r="J1" s="1264"/>
      <c r="K1" s="1264"/>
      <c r="L1" s="1264"/>
      <c r="M1" s="1264"/>
      <c r="N1" s="1264"/>
      <c r="O1" s="1264"/>
      <c r="P1" s="1264"/>
      <c r="Q1" s="1264"/>
      <c r="R1" s="1264"/>
      <c r="S1" s="1264"/>
      <c r="T1" s="1264"/>
      <c r="U1" s="1264"/>
      <c r="V1" s="1264"/>
      <c r="W1" s="1264"/>
      <c r="X1" s="1264"/>
      <c r="Y1" s="1264"/>
      <c r="Z1" s="1264"/>
      <c r="AA1" s="1264"/>
      <c r="AB1" s="1264"/>
      <c r="AC1" s="1264"/>
    </row>
    <row r="2" spans="2:30" ht="14.25" customHeight="1" x14ac:dyDescent="0.25">
      <c r="B2" s="1265" t="s">
        <v>277</v>
      </c>
      <c r="C2" s="1265"/>
      <c r="D2" s="1265"/>
      <c r="E2" s="1265"/>
      <c r="F2" s="1265"/>
      <c r="G2" s="1265"/>
      <c r="H2" s="1265"/>
      <c r="I2" s="1265"/>
      <c r="J2" s="1265"/>
      <c r="K2" s="1265"/>
      <c r="L2" s="1265"/>
      <c r="M2" s="1265"/>
      <c r="N2" s="1265"/>
      <c r="O2" s="1265"/>
      <c r="P2" s="1265"/>
      <c r="Q2" s="1265"/>
      <c r="R2" s="1265"/>
      <c r="S2" s="1265"/>
      <c r="T2" s="1265"/>
      <c r="U2" s="1265"/>
      <c r="V2" s="1265"/>
      <c r="W2" s="1265"/>
      <c r="X2" s="1265"/>
      <c r="Y2" s="1265"/>
      <c r="Z2" s="1265"/>
      <c r="AA2" s="1265"/>
      <c r="AB2" s="1265"/>
      <c r="AC2" s="1265"/>
    </row>
    <row r="3" spans="2:30" x14ac:dyDescent="0.25">
      <c r="B3" s="1265"/>
      <c r="C3" s="1265"/>
      <c r="D3" s="1265"/>
      <c r="E3" s="1265"/>
      <c r="F3" s="1265"/>
      <c r="G3" s="1265"/>
      <c r="H3" s="1265"/>
      <c r="I3" s="1265"/>
      <c r="J3" s="1265"/>
      <c r="K3" s="1265"/>
      <c r="L3" s="1265"/>
      <c r="M3" s="1265"/>
      <c r="N3" s="1265"/>
      <c r="O3" s="1265"/>
      <c r="P3" s="1265"/>
      <c r="Q3" s="1265"/>
      <c r="R3" s="1265"/>
      <c r="S3" s="1265"/>
      <c r="T3" s="1265"/>
      <c r="U3" s="1265"/>
      <c r="V3" s="1265"/>
      <c r="W3" s="1265"/>
      <c r="X3" s="1265"/>
      <c r="Y3" s="1265"/>
      <c r="Z3" s="1265"/>
      <c r="AA3" s="1265"/>
      <c r="AB3" s="1265"/>
      <c r="AC3" s="1265"/>
    </row>
    <row r="4" spans="2:30" x14ac:dyDescent="0.25">
      <c r="B4" s="1265"/>
      <c r="C4" s="1265"/>
      <c r="D4" s="1265"/>
      <c r="E4" s="1265"/>
      <c r="F4" s="1265"/>
      <c r="G4" s="1265"/>
      <c r="H4" s="1265"/>
      <c r="I4" s="1265"/>
      <c r="J4" s="1265"/>
      <c r="K4" s="1265"/>
      <c r="L4" s="1265"/>
      <c r="M4" s="1265"/>
      <c r="N4" s="1265"/>
      <c r="O4" s="1265"/>
      <c r="P4" s="1265"/>
      <c r="Q4" s="1265"/>
      <c r="R4" s="1265"/>
      <c r="S4" s="1265"/>
      <c r="T4" s="1265"/>
      <c r="U4" s="1265"/>
      <c r="V4" s="1265"/>
      <c r="W4" s="1265"/>
      <c r="X4" s="1265"/>
      <c r="Y4" s="1265"/>
      <c r="Z4" s="1265"/>
      <c r="AA4" s="1265"/>
      <c r="AB4" s="1265"/>
      <c r="AC4" s="1265"/>
    </row>
    <row r="5" spans="2:30" x14ac:dyDescent="0.25">
      <c r="B5" s="1265"/>
      <c r="C5" s="1265"/>
      <c r="D5" s="1265"/>
      <c r="E5" s="1265"/>
      <c r="F5" s="1265"/>
      <c r="G5" s="1265"/>
      <c r="H5" s="1265"/>
      <c r="I5" s="1265"/>
      <c r="J5" s="1265"/>
      <c r="K5" s="1265"/>
      <c r="L5" s="1265"/>
      <c r="M5" s="1265"/>
      <c r="N5" s="1265"/>
      <c r="O5" s="1265"/>
      <c r="P5" s="1265"/>
      <c r="Q5" s="1265"/>
      <c r="R5" s="1265"/>
      <c r="S5" s="1265"/>
      <c r="T5" s="1265"/>
      <c r="U5" s="1265"/>
      <c r="V5" s="1265"/>
      <c r="W5" s="1265"/>
      <c r="X5" s="1265"/>
      <c r="Y5" s="1265"/>
      <c r="Z5" s="1265"/>
      <c r="AA5" s="1265"/>
      <c r="AB5" s="1265"/>
      <c r="AC5" s="1265"/>
    </row>
    <row r="6" spans="2:30" ht="38.85" customHeight="1" x14ac:dyDescent="0.25">
      <c r="B6" s="1265"/>
      <c r="C6" s="1265"/>
      <c r="D6" s="1265"/>
      <c r="E6" s="1265"/>
      <c r="F6" s="1265"/>
      <c r="G6" s="1265"/>
      <c r="H6" s="1265"/>
      <c r="I6" s="1265"/>
      <c r="J6" s="1265"/>
      <c r="K6" s="1265"/>
      <c r="L6" s="1265"/>
      <c r="M6" s="1265"/>
      <c r="N6" s="1265"/>
      <c r="O6" s="1265"/>
      <c r="P6" s="1265"/>
      <c r="Q6" s="1265"/>
      <c r="R6" s="1265"/>
      <c r="S6" s="1265"/>
      <c r="T6" s="1265"/>
      <c r="U6" s="1265"/>
      <c r="V6" s="1265"/>
      <c r="W6" s="1265"/>
      <c r="X6" s="1265"/>
      <c r="Y6" s="1265"/>
      <c r="Z6" s="1265"/>
      <c r="AA6" s="1265"/>
      <c r="AB6" s="1265"/>
      <c r="AC6" s="1265"/>
    </row>
    <row r="7" spans="2:30" x14ac:dyDescent="0.25">
      <c r="B7" s="258"/>
      <c r="C7" s="258"/>
      <c r="D7" s="258"/>
      <c r="E7" s="258"/>
      <c r="F7" s="258"/>
      <c r="G7" s="258"/>
      <c r="H7" s="259"/>
      <c r="I7" s="259"/>
      <c r="J7" s="259"/>
      <c r="K7" s="259"/>
      <c r="L7" s="259"/>
      <c r="M7" s="259"/>
      <c r="N7" s="259"/>
      <c r="O7" s="259"/>
      <c r="P7" s="259"/>
      <c r="Q7" s="259"/>
      <c r="R7" s="259"/>
      <c r="S7" s="259"/>
      <c r="T7" s="259"/>
      <c r="U7" s="259"/>
      <c r="V7" s="259"/>
      <c r="W7" s="259"/>
      <c r="X7" s="259"/>
      <c r="Y7" s="259"/>
    </row>
    <row r="8" spans="2:30" ht="14.85" customHeight="1" x14ac:dyDescent="0.25">
      <c r="B8" s="1269" t="s">
        <v>278</v>
      </c>
      <c r="C8" s="1270"/>
      <c r="D8" s="1282" t="s">
        <v>279</v>
      </c>
      <c r="E8" s="1283"/>
      <c r="F8" s="1283"/>
      <c r="G8" s="1283"/>
      <c r="H8" s="1283"/>
      <c r="I8" s="1283"/>
      <c r="J8" s="1283"/>
      <c r="K8" s="1283"/>
      <c r="L8" s="1283"/>
      <c r="M8" s="1283"/>
      <c r="N8" s="1283"/>
      <c r="O8" s="1283"/>
      <c r="P8" s="1283"/>
      <c r="Q8" s="1283"/>
      <c r="R8" s="1283"/>
      <c r="S8" s="1283"/>
      <c r="T8" s="1284"/>
      <c r="U8" s="1285" t="s">
        <v>280</v>
      </c>
      <c r="V8" s="1286"/>
      <c r="W8" s="1286"/>
      <c r="X8" s="1286"/>
      <c r="Y8" s="1286"/>
      <c r="Z8" s="1286"/>
      <c r="AA8" s="1286"/>
      <c r="AB8" s="1286"/>
      <c r="AC8" s="1287"/>
    </row>
    <row r="9" spans="2:30" ht="12.75" customHeight="1" x14ac:dyDescent="0.25">
      <c r="B9" s="1271"/>
      <c r="C9" s="1272"/>
      <c r="D9" s="285">
        <v>2018</v>
      </c>
      <c r="E9" s="1288">
        <v>2019</v>
      </c>
      <c r="F9" s="1289"/>
      <c r="G9" s="1289"/>
      <c r="H9" s="1290"/>
      <c r="I9" s="1289">
        <v>2020</v>
      </c>
      <c r="J9" s="1289"/>
      <c r="K9" s="1289"/>
      <c r="L9" s="1289"/>
      <c r="M9" s="1288">
        <v>2021</v>
      </c>
      <c r="N9" s="1289"/>
      <c r="O9" s="1289"/>
      <c r="P9" s="1289"/>
      <c r="Q9" s="1291">
        <v>2022</v>
      </c>
      <c r="R9" s="1292"/>
      <c r="S9" s="291"/>
      <c r="T9" s="298"/>
      <c r="U9" s="1276">
        <v>2023</v>
      </c>
      <c r="V9" s="1281"/>
      <c r="W9" s="1281"/>
      <c r="X9" s="1280"/>
      <c r="Y9" s="1275">
        <v>2024</v>
      </c>
      <c r="Z9" s="1281"/>
      <c r="AA9" s="1281"/>
      <c r="AB9" s="1281"/>
      <c r="AC9" s="293">
        <v>2025</v>
      </c>
    </row>
    <row r="10" spans="2:30" ht="14.85" customHeight="1" x14ac:dyDescent="0.25">
      <c r="B10" s="1271"/>
      <c r="C10" s="1272"/>
      <c r="D10" s="214" t="s">
        <v>281</v>
      </c>
      <c r="E10" s="214" t="s">
        <v>282</v>
      </c>
      <c r="F10" s="215" t="s">
        <v>283</v>
      </c>
      <c r="G10" s="215" t="s">
        <v>238</v>
      </c>
      <c r="H10" s="221" t="s">
        <v>281</v>
      </c>
      <c r="I10" s="215" t="s">
        <v>282</v>
      </c>
      <c r="J10" s="215" t="s">
        <v>283</v>
      </c>
      <c r="K10" s="215" t="s">
        <v>238</v>
      </c>
      <c r="L10" s="215" t="s">
        <v>281</v>
      </c>
      <c r="M10" s="214" t="s">
        <v>282</v>
      </c>
      <c r="N10" s="215" t="s">
        <v>283</v>
      </c>
      <c r="O10" s="215" t="s">
        <v>238</v>
      </c>
      <c r="P10" s="215" t="s">
        <v>281</v>
      </c>
      <c r="Q10" s="214" t="s">
        <v>282</v>
      </c>
      <c r="R10" s="215" t="s">
        <v>283</v>
      </c>
      <c r="S10" s="215" t="s">
        <v>238</v>
      </c>
      <c r="T10" s="221" t="s">
        <v>281</v>
      </c>
      <c r="U10" s="262" t="s">
        <v>282</v>
      </c>
      <c r="V10" s="262" t="s">
        <v>283</v>
      </c>
      <c r="W10" s="262" t="s">
        <v>238</v>
      </c>
      <c r="X10" s="290" t="s">
        <v>281</v>
      </c>
      <c r="Y10" s="288" t="s">
        <v>282</v>
      </c>
      <c r="Z10" s="260" t="s">
        <v>283</v>
      </c>
      <c r="AA10" s="262" t="s">
        <v>238</v>
      </c>
      <c r="AB10" s="262" t="s">
        <v>281</v>
      </c>
      <c r="AC10" s="294" t="s">
        <v>282</v>
      </c>
    </row>
    <row r="11" spans="2:30" x14ac:dyDescent="0.25">
      <c r="B11" s="247" t="s">
        <v>102</v>
      </c>
      <c r="C11" s="263" t="s">
        <v>284</v>
      </c>
      <c r="D11" s="249">
        <f>'Haver Pivoted'!GO14</f>
        <v>27.1</v>
      </c>
      <c r="E11" s="309">
        <f>'Haver Pivoted'!GP14</f>
        <v>29.6</v>
      </c>
      <c r="F11" s="309">
        <f>'Haver Pivoted'!GQ14</f>
        <v>27.3</v>
      </c>
      <c r="G11" s="309">
        <f>'Haver Pivoted'!GR14</f>
        <v>26.4</v>
      </c>
      <c r="H11" s="309">
        <f>'Haver Pivoted'!GS14</f>
        <v>26.7</v>
      </c>
      <c r="I11" s="309">
        <f>'Haver Pivoted'!GT14</f>
        <v>40.1</v>
      </c>
      <c r="J11" s="309">
        <f>'Haver Pivoted'!GU14</f>
        <v>951.5</v>
      </c>
      <c r="K11" s="309">
        <f>'Haver Pivoted'!GV14</f>
        <v>800</v>
      </c>
      <c r="L11" s="309">
        <f>'Haver Pivoted'!GW14</f>
        <v>322.7</v>
      </c>
      <c r="M11" s="309">
        <f>'Haver Pivoted'!GX14</f>
        <v>583.79999999999995</v>
      </c>
      <c r="N11" s="309">
        <f>'Haver Pivoted'!GY14</f>
        <v>440.8</v>
      </c>
      <c r="O11" s="309">
        <f>'Haver Pivoted'!GZ14</f>
        <v>212.8</v>
      </c>
      <c r="P11" s="309">
        <f>'Haver Pivoted'!HA14</f>
        <v>31.8</v>
      </c>
      <c r="Q11" s="309">
        <f>'Haver Pivoted'!HB14</f>
        <v>24.5</v>
      </c>
      <c r="R11" s="309">
        <f>'Haver Pivoted'!HC14</f>
        <v>21.7</v>
      </c>
      <c r="S11" s="289">
        <f>'Haver Pivoted'!HD14</f>
        <v>23.1</v>
      </c>
      <c r="T11" s="287">
        <f>'Haver Pivoted'!HE14</f>
        <v>25.9</v>
      </c>
      <c r="U11" s="287">
        <f>'Haver Pivoted'!HF14</f>
        <v>30.1</v>
      </c>
      <c r="V11" s="268">
        <f t="shared" ref="V11:AC11" si="0">V12+V13+V20</f>
        <v>39.551400000000001</v>
      </c>
      <c r="W11" s="268">
        <f t="shared" si="0"/>
        <v>42.131399999999999</v>
      </c>
      <c r="X11" s="268">
        <f t="shared" si="0"/>
        <v>43.980399999999996</v>
      </c>
      <c r="Y11" s="268">
        <f t="shared" si="0"/>
        <v>43.851399999999998</v>
      </c>
      <c r="Z11" s="268">
        <f t="shared" si="0"/>
        <v>42.509799999999991</v>
      </c>
      <c r="AA11" s="268">
        <f t="shared" si="0"/>
        <v>41.787399999999991</v>
      </c>
      <c r="AB11" s="268">
        <f t="shared" si="0"/>
        <v>41.271399999999993</v>
      </c>
      <c r="AC11" s="297">
        <f t="shared" si="0"/>
        <v>41.073599999999992</v>
      </c>
      <c r="AD11" s="238" t="s">
        <v>285</v>
      </c>
    </row>
    <row r="12" spans="2:30" x14ac:dyDescent="0.25">
      <c r="B12" s="257" t="s">
        <v>286</v>
      </c>
      <c r="C12" s="250" t="s">
        <v>287</v>
      </c>
      <c r="D12" s="265">
        <f>'Haver Pivoted'!GO63</f>
        <v>0</v>
      </c>
      <c r="E12" s="222">
        <f>'Haver Pivoted'!GP63</f>
        <v>0</v>
      </c>
      <c r="F12" s="222">
        <f>'Haver Pivoted'!GQ63</f>
        <v>0</v>
      </c>
      <c r="G12" s="222">
        <f>'Haver Pivoted'!GR63</f>
        <v>0</v>
      </c>
      <c r="H12" s="222">
        <f>'Haver Pivoted'!GS63</f>
        <v>0</v>
      </c>
      <c r="I12" s="222">
        <f>'Haver Pivoted'!GT63</f>
        <v>0</v>
      </c>
      <c r="J12" s="222">
        <f>'Haver Pivoted'!GU63</f>
        <v>0.1</v>
      </c>
      <c r="K12" s="222">
        <f>'Haver Pivoted'!GV63</f>
        <v>3.7</v>
      </c>
      <c r="L12" s="222">
        <f>'Haver Pivoted'!GW63</f>
        <v>12.9</v>
      </c>
      <c r="M12" s="222">
        <f>'Haver Pivoted'!GX63</f>
        <v>25.5</v>
      </c>
      <c r="N12" s="222">
        <f>'Haver Pivoted'!GY63</f>
        <v>3.8</v>
      </c>
      <c r="O12" s="222">
        <f>'Haver Pivoted'!GZ63</f>
        <v>1.8</v>
      </c>
      <c r="P12" s="222">
        <f>'Haver Pivoted'!HA63</f>
        <v>0.6</v>
      </c>
      <c r="Q12" s="222">
        <f>'Haver Pivoted'!HB63</f>
        <v>0.2</v>
      </c>
      <c r="R12" s="222">
        <f>'Haver Pivoted'!HC63</f>
        <v>0.1</v>
      </c>
      <c r="S12" s="215">
        <f>'Haver Pivoted'!HD63</f>
        <v>0</v>
      </c>
      <c r="T12" s="221">
        <f>'Haver Pivoted'!HE63</f>
        <v>0</v>
      </c>
      <c r="U12" s="221">
        <f>'Haver Pivoted'!HF63</f>
        <v>0</v>
      </c>
      <c r="V12" s="224">
        <f>U12*V23/U23</f>
        <v>0</v>
      </c>
      <c r="W12" s="224">
        <f t="shared" ref="W12:AB12" si="1">V12*W23/V23</f>
        <v>0</v>
      </c>
      <c r="X12" s="224">
        <f t="shared" si="1"/>
        <v>0</v>
      </c>
      <c r="Y12" s="224">
        <f t="shared" si="1"/>
        <v>0</v>
      </c>
      <c r="Z12" s="224">
        <f t="shared" si="1"/>
        <v>0</v>
      </c>
      <c r="AA12" s="224">
        <f t="shared" si="1"/>
        <v>0</v>
      </c>
      <c r="AB12" s="224">
        <f t="shared" si="1"/>
        <v>0</v>
      </c>
      <c r="AC12" s="303">
        <f>AB12*AC23/AB23</f>
        <v>0</v>
      </c>
    </row>
    <row r="13" spans="2:30" x14ac:dyDescent="0.25">
      <c r="B13" s="257" t="s">
        <v>288</v>
      </c>
      <c r="C13" s="250"/>
      <c r="D13" s="265"/>
      <c r="E13" s="222"/>
      <c r="F13" s="222"/>
      <c r="G13" s="222"/>
      <c r="H13" s="230">
        <f>SUM(H14:H17)</f>
        <v>0</v>
      </c>
      <c r="I13" s="230">
        <f t="shared" ref="I13:M13" si="2">SUM(I14:I17)</f>
        <v>0</v>
      </c>
      <c r="J13" s="230">
        <f t="shared" si="2"/>
        <v>779.7</v>
      </c>
      <c r="K13" s="230">
        <f t="shared" si="2"/>
        <v>582.6</v>
      </c>
      <c r="L13" s="230">
        <f t="shared" si="2"/>
        <v>216.5</v>
      </c>
      <c r="M13" s="230">
        <f t="shared" si="2"/>
        <v>497.6</v>
      </c>
      <c r="N13" s="235">
        <f>SUM(N14:N17)</f>
        <v>401.5</v>
      </c>
      <c r="O13" s="235">
        <f t="shared" ref="O13:AC13" si="3">SUM(O14:O17)</f>
        <v>207.4</v>
      </c>
      <c r="P13" s="235">
        <f t="shared" si="3"/>
        <v>5.5</v>
      </c>
      <c r="Q13" s="235">
        <v>0</v>
      </c>
      <c r="R13" s="235">
        <f t="shared" si="3"/>
        <v>1</v>
      </c>
      <c r="S13" s="295">
        <f t="shared" si="3"/>
        <v>0.5</v>
      </c>
      <c r="T13" s="304">
        <f t="shared" si="3"/>
        <v>0.30000000000000004</v>
      </c>
      <c r="U13" s="304">
        <f t="shared" si="3"/>
        <v>0</v>
      </c>
      <c r="V13" s="224">
        <f t="shared" si="3"/>
        <v>0</v>
      </c>
      <c r="W13" s="224">
        <f t="shared" si="3"/>
        <v>0</v>
      </c>
      <c r="X13" s="224">
        <f t="shared" si="3"/>
        <v>0</v>
      </c>
      <c r="Y13" s="224">
        <f t="shared" si="3"/>
        <v>0</v>
      </c>
      <c r="Z13" s="224">
        <f t="shared" si="3"/>
        <v>0</v>
      </c>
      <c r="AA13" s="224">
        <f t="shared" si="3"/>
        <v>0</v>
      </c>
      <c r="AB13" s="224">
        <f t="shared" si="3"/>
        <v>0</v>
      </c>
      <c r="AC13" s="303">
        <f t="shared" si="3"/>
        <v>0</v>
      </c>
    </row>
    <row r="14" spans="2:30" ht="18" customHeight="1" x14ac:dyDescent="0.25">
      <c r="B14" s="243" t="s">
        <v>289</v>
      </c>
      <c r="C14" s="244" t="s">
        <v>287</v>
      </c>
      <c r="D14" s="264">
        <f>'Haver Pivoted'!GO63</f>
        <v>0</v>
      </c>
      <c r="E14" s="234">
        <f>'Haver Pivoted'!GP63</f>
        <v>0</v>
      </c>
      <c r="F14" s="234">
        <f>'Haver Pivoted'!GQ63</f>
        <v>0</v>
      </c>
      <c r="G14" s="234">
        <f>'Haver Pivoted'!GR63</f>
        <v>0</v>
      </c>
      <c r="H14" s="234">
        <f>'Haver Pivoted'!GS63</f>
        <v>0</v>
      </c>
      <c r="I14" s="234">
        <f>'Haver Pivoted'!GT63</f>
        <v>0</v>
      </c>
      <c r="J14" s="234">
        <f>'Haver Pivoted'!GU63</f>
        <v>0.1</v>
      </c>
      <c r="K14" s="234">
        <f>'Haver Pivoted'!GV63</f>
        <v>3.7</v>
      </c>
      <c r="L14" s="234">
        <f>'Haver Pivoted'!GW63</f>
        <v>12.9</v>
      </c>
      <c r="M14" s="234">
        <f>'Haver Pivoted'!GX63</f>
        <v>25.5</v>
      </c>
      <c r="N14" s="234">
        <f>'Haver Pivoted'!GY63</f>
        <v>3.8</v>
      </c>
      <c r="O14" s="234">
        <f>'Haver Pivoted'!GZ63</f>
        <v>1.8</v>
      </c>
      <c r="P14" s="234">
        <f>'Haver Pivoted'!HA63</f>
        <v>0.6</v>
      </c>
      <c r="Q14" s="234">
        <f>'Haver Pivoted'!HB63</f>
        <v>0.2</v>
      </c>
      <c r="R14" s="234">
        <f>'Haver Pivoted'!HC63</f>
        <v>0.1</v>
      </c>
      <c r="S14" s="236">
        <f>'Haver Pivoted'!HD63</f>
        <v>0</v>
      </c>
      <c r="T14" s="302">
        <f>'Haver Pivoted'!HE63</f>
        <v>0</v>
      </c>
      <c r="U14" s="302">
        <f>'Haver Pivoted'!HF63</f>
        <v>0</v>
      </c>
      <c r="V14" s="224">
        <f t="shared" ref="V14:X14" si="4">V12</f>
        <v>0</v>
      </c>
      <c r="W14" s="224">
        <f t="shared" si="4"/>
        <v>0</v>
      </c>
      <c r="X14" s="224">
        <f t="shared" si="4"/>
        <v>0</v>
      </c>
      <c r="Y14" s="224">
        <f>Y12</f>
        <v>0</v>
      </c>
      <c r="Z14" s="224">
        <f t="shared" ref="Z14:AC14" si="5">Z12</f>
        <v>0</v>
      </c>
      <c r="AA14" s="224">
        <f t="shared" si="5"/>
        <v>0</v>
      </c>
      <c r="AB14" s="224">
        <f t="shared" si="5"/>
        <v>0</v>
      </c>
      <c r="AC14" s="303">
        <f t="shared" si="5"/>
        <v>0</v>
      </c>
    </row>
    <row r="15" spans="2:30" ht="18" customHeight="1" x14ac:dyDescent="0.25">
      <c r="B15" s="243" t="s">
        <v>290</v>
      </c>
      <c r="C15" s="244" t="s">
        <v>291</v>
      </c>
      <c r="D15" s="264">
        <f>'Haver Pivoted'!GO59</f>
        <v>0</v>
      </c>
      <c r="E15" s="234">
        <f>'Haver Pivoted'!GP59</f>
        <v>0</v>
      </c>
      <c r="F15" s="234">
        <f>'Haver Pivoted'!GQ59</f>
        <v>0</v>
      </c>
      <c r="G15" s="234">
        <f>'Haver Pivoted'!GR59</f>
        <v>0</v>
      </c>
      <c r="H15" s="234">
        <f>'Haver Pivoted'!GS59</f>
        <v>0</v>
      </c>
      <c r="I15" s="234">
        <f>'Haver Pivoted'!GT59</f>
        <v>0</v>
      </c>
      <c r="J15" s="234">
        <f>'Haver Pivoted'!GU59</f>
        <v>6.3</v>
      </c>
      <c r="K15" s="234">
        <f>'Haver Pivoted'!GV59</f>
        <v>26.7</v>
      </c>
      <c r="L15" s="234">
        <f>'Haver Pivoted'!GW59</f>
        <v>82.1</v>
      </c>
      <c r="M15" s="234">
        <f>'Haver Pivoted'!GX59</f>
        <v>94.7</v>
      </c>
      <c r="N15" s="234">
        <f>'Haver Pivoted'!GY59</f>
        <v>92.1</v>
      </c>
      <c r="O15" s="234">
        <f>'Haver Pivoted'!GZ59</f>
        <v>51.6</v>
      </c>
      <c r="P15" s="234">
        <f>'Haver Pivoted'!HA59</f>
        <v>2.8</v>
      </c>
      <c r="Q15" s="234">
        <f>'Haver Pivoted'!HB59</f>
        <v>0.8</v>
      </c>
      <c r="R15" s="234">
        <f>'Haver Pivoted'!HC59</f>
        <v>0.5</v>
      </c>
      <c r="S15" s="236">
        <f>'Haver Pivoted'!HD59</f>
        <v>0.3</v>
      </c>
      <c r="T15" s="302">
        <f>'Haver Pivoted'!HE59</f>
        <v>0.2</v>
      </c>
      <c r="U15" s="302">
        <f>'Haver Pivoted'!HF59</f>
        <v>0</v>
      </c>
      <c r="V15" s="224">
        <f t="shared" ref="V15:AB17" si="6">U15*V$23/U$23</f>
        <v>0</v>
      </c>
      <c r="W15" s="224">
        <f t="shared" si="6"/>
        <v>0</v>
      </c>
      <c r="X15" s="224">
        <f t="shared" si="6"/>
        <v>0</v>
      </c>
      <c r="Y15" s="224">
        <f t="shared" si="6"/>
        <v>0</v>
      </c>
      <c r="Z15" s="224">
        <f t="shared" si="6"/>
        <v>0</v>
      </c>
      <c r="AA15" s="224">
        <f t="shared" si="6"/>
        <v>0</v>
      </c>
      <c r="AB15" s="224">
        <f t="shared" si="6"/>
        <v>0</v>
      </c>
      <c r="AC15" s="303">
        <f>AB15*AC$23/AB$23</f>
        <v>0</v>
      </c>
    </row>
    <row r="16" spans="2:30" ht="18" customHeight="1" x14ac:dyDescent="0.25">
      <c r="B16" s="243" t="s">
        <v>292</v>
      </c>
      <c r="C16" s="244" t="s">
        <v>293</v>
      </c>
      <c r="D16" s="264">
        <f>'Haver Pivoted'!GO60</f>
        <v>0</v>
      </c>
      <c r="E16" s="234">
        <f>'Haver Pivoted'!GP60</f>
        <v>0</v>
      </c>
      <c r="F16" s="234">
        <f>'Haver Pivoted'!GQ60</f>
        <v>0</v>
      </c>
      <c r="G16" s="234">
        <f>'Haver Pivoted'!GR60</f>
        <v>0</v>
      </c>
      <c r="H16" s="234">
        <f>'Haver Pivoted'!GS60</f>
        <v>0</v>
      </c>
      <c r="I16" s="234">
        <f>'Haver Pivoted'!GT60</f>
        <v>0</v>
      </c>
      <c r="J16" s="234">
        <f>'Haver Pivoted'!GU60</f>
        <v>74.400000000000006</v>
      </c>
      <c r="K16" s="234">
        <f>'Haver Pivoted'!GV60</f>
        <v>138.30000000000001</v>
      </c>
      <c r="L16" s="234">
        <f>'Haver Pivoted'!GW60</f>
        <v>106.8</v>
      </c>
      <c r="M16" s="234">
        <f>'Haver Pivoted'!GX60</f>
        <v>89.2</v>
      </c>
      <c r="N16" s="234">
        <f>'Haver Pivoted'!GY60</f>
        <v>72.3</v>
      </c>
      <c r="O16" s="234">
        <f>'Haver Pivoted'!GZ60</f>
        <v>43.5</v>
      </c>
      <c r="P16" s="234">
        <f>'Haver Pivoted'!HA60</f>
        <v>2.1</v>
      </c>
      <c r="Q16" s="234">
        <f>'Haver Pivoted'!HB60</f>
        <v>0.8</v>
      </c>
      <c r="R16" s="234">
        <f>'Haver Pivoted'!HC60</f>
        <v>0.4</v>
      </c>
      <c r="S16" s="236">
        <f>'Haver Pivoted'!HD60</f>
        <v>0.2</v>
      </c>
      <c r="T16" s="302">
        <f>'Haver Pivoted'!HE60</f>
        <v>0.1</v>
      </c>
      <c r="U16" s="302">
        <f>'Haver Pivoted'!HF60</f>
        <v>0</v>
      </c>
      <c r="V16" s="224">
        <f t="shared" si="6"/>
        <v>0</v>
      </c>
      <c r="W16" s="224">
        <f t="shared" si="6"/>
        <v>0</v>
      </c>
      <c r="X16" s="224">
        <f t="shared" si="6"/>
        <v>0</v>
      </c>
      <c r="Y16" s="224">
        <f t="shared" si="6"/>
        <v>0</v>
      </c>
      <c r="Z16" s="224">
        <f t="shared" si="6"/>
        <v>0</v>
      </c>
      <c r="AA16" s="224">
        <f t="shared" si="6"/>
        <v>0</v>
      </c>
      <c r="AB16" s="224">
        <f t="shared" si="6"/>
        <v>0</v>
      </c>
      <c r="AC16" s="303">
        <f>AB16*AC$23/AB$23</f>
        <v>0</v>
      </c>
    </row>
    <row r="17" spans="1:32" ht="18" customHeight="1" x14ac:dyDescent="0.25">
      <c r="B17" s="243" t="s">
        <v>294</v>
      </c>
      <c r="C17" s="244" t="s">
        <v>295</v>
      </c>
      <c r="D17" s="264">
        <f>'Haver Pivoted'!GO61</f>
        <v>0</v>
      </c>
      <c r="E17" s="234">
        <f>'Haver Pivoted'!GP61</f>
        <v>0</v>
      </c>
      <c r="F17" s="234">
        <f>'Haver Pivoted'!GQ61</f>
        <v>0</v>
      </c>
      <c r="G17" s="234">
        <f>'Haver Pivoted'!GR61</f>
        <v>0</v>
      </c>
      <c r="H17" s="234">
        <f>'Haver Pivoted'!GS61</f>
        <v>0</v>
      </c>
      <c r="I17" s="234">
        <f>'Haver Pivoted'!GT61</f>
        <v>0</v>
      </c>
      <c r="J17" s="234">
        <f>'Haver Pivoted'!GU61</f>
        <v>698.9</v>
      </c>
      <c r="K17" s="234">
        <f>'Haver Pivoted'!GV61</f>
        <v>413.9</v>
      </c>
      <c r="L17" s="234">
        <f>'Haver Pivoted'!GW61</f>
        <v>14.7</v>
      </c>
      <c r="M17" s="234">
        <f>'Haver Pivoted'!GX61</f>
        <v>288.2</v>
      </c>
      <c r="N17" s="234">
        <f>'Haver Pivoted'!GY61</f>
        <v>233.3</v>
      </c>
      <c r="O17" s="234">
        <f>'Haver Pivoted'!GZ61</f>
        <v>110.5</v>
      </c>
      <c r="P17" s="234">
        <f>'Haver Pivoted'!HA61</f>
        <v>0</v>
      </c>
      <c r="Q17" s="234">
        <f>'Haver Pivoted'!HB61</f>
        <v>0</v>
      </c>
      <c r="R17" s="234">
        <f>'Haver Pivoted'!HC61</f>
        <v>0</v>
      </c>
      <c r="S17" s="236">
        <f>'Haver Pivoted'!HD61</f>
        <v>0</v>
      </c>
      <c r="T17" s="302">
        <f>'Haver Pivoted'!HE61</f>
        <v>0</v>
      </c>
      <c r="U17" s="302">
        <f>'Haver Pivoted'!HF61</f>
        <v>0</v>
      </c>
      <c r="V17" s="224">
        <f t="shared" si="6"/>
        <v>0</v>
      </c>
      <c r="W17" s="224">
        <f t="shared" si="6"/>
        <v>0</v>
      </c>
      <c r="X17" s="224">
        <f t="shared" si="6"/>
        <v>0</v>
      </c>
      <c r="Y17" s="224">
        <f t="shared" si="6"/>
        <v>0</v>
      </c>
      <c r="Z17" s="224">
        <f t="shared" si="6"/>
        <v>0</v>
      </c>
      <c r="AA17" s="224">
        <f t="shared" si="6"/>
        <v>0</v>
      </c>
      <c r="AB17" s="224">
        <f t="shared" si="6"/>
        <v>0</v>
      </c>
      <c r="AC17" s="303">
        <f>AB17*AC$23/AB$23</f>
        <v>0</v>
      </c>
    </row>
    <row r="18" spans="1:32" x14ac:dyDescent="0.25">
      <c r="B18" s="245" t="s">
        <v>158</v>
      </c>
      <c r="C18" s="238" t="s">
        <v>296</v>
      </c>
      <c r="D18" s="265">
        <f>'Haver Pivoted'!GO64</f>
        <v>0</v>
      </c>
      <c r="E18" s="222">
        <f>'Haver Pivoted'!GP64</f>
        <v>0</v>
      </c>
      <c r="F18" s="222">
        <f>'Haver Pivoted'!GQ64</f>
        <v>0</v>
      </c>
      <c r="G18" s="222">
        <f>'Haver Pivoted'!GR64</f>
        <v>0</v>
      </c>
      <c r="H18" s="222">
        <f>'Haver Pivoted'!GS64</f>
        <v>0</v>
      </c>
      <c r="I18" s="222">
        <f>'Haver Pivoted'!GT64</f>
        <v>0</v>
      </c>
      <c r="J18" s="222">
        <f>'Haver Pivoted'!GU64</f>
        <v>0</v>
      </c>
      <c r="K18" s="222">
        <f>'Haver Pivoted'!GV64</f>
        <v>106.2</v>
      </c>
      <c r="L18" s="222">
        <f>'Haver Pivoted'!GW64</f>
        <v>35.9</v>
      </c>
      <c r="M18" s="222">
        <f>'Haver Pivoted'!GX64</f>
        <v>1.6</v>
      </c>
      <c r="N18" s="222">
        <f>'Haver Pivoted'!GY64</f>
        <v>0.6</v>
      </c>
      <c r="O18" s="222">
        <f>'Haver Pivoted'!GZ64</f>
        <v>0.1</v>
      </c>
      <c r="P18" s="222">
        <f>'Haver Pivoted'!HA64</f>
        <v>0</v>
      </c>
      <c r="Q18" s="234">
        <f>'Haver Pivoted'!HB64</f>
        <v>0</v>
      </c>
      <c r="R18" s="234">
        <f>'Haver Pivoted'!HC64</f>
        <v>0</v>
      </c>
      <c r="S18" s="236">
        <f>'Haver Pivoted'!HD64</f>
        <v>0</v>
      </c>
      <c r="T18" s="302">
        <f>'Haver Pivoted'!HE64</f>
        <v>0</v>
      </c>
      <c r="U18" s="302">
        <f>'Haver Pivoted'!HF64</f>
        <v>0</v>
      </c>
      <c r="V18" s="224"/>
      <c r="W18" s="224"/>
      <c r="X18" s="224"/>
      <c r="Y18" s="224"/>
      <c r="Z18" s="224"/>
      <c r="AA18" s="224"/>
      <c r="AB18" s="224"/>
      <c r="AC18" s="303"/>
    </row>
    <row r="19" spans="1:32" ht="14.85" customHeight="1" x14ac:dyDescent="0.25">
      <c r="B19" s="261" t="s">
        <v>297</v>
      </c>
      <c r="C19" s="251"/>
      <c r="D19" s="255">
        <f t="shared" ref="D19:N19" si="7">D11-D20</f>
        <v>0</v>
      </c>
      <c r="E19" s="232">
        <f t="shared" si="7"/>
        <v>0</v>
      </c>
      <c r="F19" s="232">
        <f t="shared" si="7"/>
        <v>0</v>
      </c>
      <c r="G19" s="232">
        <f t="shared" si="7"/>
        <v>0</v>
      </c>
      <c r="H19" s="232">
        <f t="shared" si="7"/>
        <v>0</v>
      </c>
      <c r="I19" s="232">
        <f t="shared" si="7"/>
        <v>0</v>
      </c>
      <c r="J19" s="232">
        <f t="shared" si="7"/>
        <v>779.80000000000007</v>
      </c>
      <c r="K19" s="232">
        <f t="shared" si="7"/>
        <v>586.29999999999995</v>
      </c>
      <c r="L19" s="232">
        <f t="shared" si="7"/>
        <v>229.4</v>
      </c>
      <c r="M19" s="232">
        <f t="shared" si="7"/>
        <v>523.1</v>
      </c>
      <c r="N19" s="233">
        <f t="shared" si="7"/>
        <v>405.3</v>
      </c>
      <c r="O19" s="233">
        <f>O11-O20</f>
        <v>209.20000000000002</v>
      </c>
      <c r="P19" s="233">
        <f t="shared" ref="P19" si="8">P11-P20</f>
        <v>6.1000000000000014</v>
      </c>
      <c r="Q19" s="233">
        <f>Q11-Q20</f>
        <v>0.19999999999999929</v>
      </c>
      <c r="R19" s="233">
        <f>R11-R20</f>
        <v>1.1000000000000014</v>
      </c>
      <c r="S19" s="296">
        <f>S11-S20</f>
        <v>0.5</v>
      </c>
      <c r="T19" s="301">
        <f>T11-T20</f>
        <v>0.30000000000000071</v>
      </c>
      <c r="U19" s="301">
        <f>U11-U20</f>
        <v>0</v>
      </c>
      <c r="V19" s="237">
        <f t="shared" ref="V19:AC19" si="9">V11-V20</f>
        <v>0</v>
      </c>
      <c r="W19" s="237">
        <f t="shared" si="9"/>
        <v>0</v>
      </c>
      <c r="X19" s="237">
        <f t="shared" si="9"/>
        <v>0</v>
      </c>
      <c r="Y19" s="237">
        <f t="shared" si="9"/>
        <v>0</v>
      </c>
      <c r="Z19" s="237">
        <f t="shared" si="9"/>
        <v>0</v>
      </c>
      <c r="AA19" s="237">
        <f t="shared" si="9"/>
        <v>0</v>
      </c>
      <c r="AB19" s="237">
        <f t="shared" si="9"/>
        <v>0</v>
      </c>
      <c r="AC19" s="237">
        <f t="shared" si="9"/>
        <v>0</v>
      </c>
    </row>
    <row r="20" spans="1:32" ht="14.85" customHeight="1" x14ac:dyDescent="0.25">
      <c r="B20" s="261" t="s">
        <v>298</v>
      </c>
      <c r="C20" s="251"/>
      <c r="D20" s="255">
        <f t="shared" ref="D20:H20" si="10">D11</f>
        <v>27.1</v>
      </c>
      <c r="E20" s="232">
        <f t="shared" si="10"/>
        <v>29.6</v>
      </c>
      <c r="F20" s="232">
        <f t="shared" si="10"/>
        <v>27.3</v>
      </c>
      <c r="G20" s="232">
        <f t="shared" si="10"/>
        <v>26.4</v>
      </c>
      <c r="H20" s="232">
        <f t="shared" si="10"/>
        <v>26.7</v>
      </c>
      <c r="I20" s="232">
        <f>I11</f>
        <v>40.1</v>
      </c>
      <c r="J20" s="232">
        <f>J11-J13-J12</f>
        <v>171.69999999999996</v>
      </c>
      <c r="K20" s="232">
        <f>K11-K13-K12</f>
        <v>213.7</v>
      </c>
      <c r="L20" s="232">
        <f>L11-L13-L12</f>
        <v>93.299999999999983</v>
      </c>
      <c r="M20" s="232">
        <f>M11-M13-M12</f>
        <v>60.699999999999932</v>
      </c>
      <c r="N20" s="233">
        <f t="shared" ref="N20:U20" si="11">N11-N12-N13</f>
        <v>35.5</v>
      </c>
      <c r="O20" s="233">
        <f t="shared" si="11"/>
        <v>3.5999999999999943</v>
      </c>
      <c r="P20" s="233">
        <f t="shared" si="11"/>
        <v>25.7</v>
      </c>
      <c r="Q20" s="234">
        <f t="shared" si="11"/>
        <v>24.3</v>
      </c>
      <c r="R20" s="234">
        <f t="shared" si="11"/>
        <v>20.599999999999998</v>
      </c>
      <c r="S20" s="236">
        <f t="shared" si="11"/>
        <v>22.6</v>
      </c>
      <c r="T20" s="302">
        <f t="shared" si="11"/>
        <v>25.599999999999998</v>
      </c>
      <c r="U20" s="302">
        <f t="shared" si="11"/>
        <v>30.1</v>
      </c>
      <c r="V20" s="237">
        <f t="shared" ref="V20:AB20" si="12">U20*V23/U23</f>
        <v>39.551400000000001</v>
      </c>
      <c r="W20" s="237">
        <f t="shared" si="12"/>
        <v>42.131399999999999</v>
      </c>
      <c r="X20" s="237">
        <f t="shared" si="12"/>
        <v>43.980399999999996</v>
      </c>
      <c r="Y20" s="237">
        <f t="shared" si="12"/>
        <v>43.851399999999998</v>
      </c>
      <c r="Z20" s="237">
        <f t="shared" si="12"/>
        <v>42.509799999999991</v>
      </c>
      <c r="AA20" s="237">
        <f t="shared" si="12"/>
        <v>41.787399999999991</v>
      </c>
      <c r="AB20" s="237">
        <f t="shared" si="12"/>
        <v>41.271399999999993</v>
      </c>
      <c r="AC20" s="300">
        <f>AB20*AC23/AB23</f>
        <v>41.073599999999992</v>
      </c>
      <c r="AD20" s="256" t="s">
        <v>299</v>
      </c>
    </row>
    <row r="21" spans="1:32" x14ac:dyDescent="0.25">
      <c r="B21" s="245"/>
      <c r="C21" s="246"/>
      <c r="D21" s="264"/>
      <c r="E21" s="234"/>
      <c r="F21" s="234"/>
      <c r="G21" s="234"/>
      <c r="H21" s="230"/>
      <c r="I21" s="230"/>
      <c r="J21" s="230"/>
      <c r="K21" s="230"/>
      <c r="L21" s="230"/>
      <c r="M21" s="230"/>
      <c r="N21" s="230"/>
      <c r="O21" s="230"/>
      <c r="P21" s="230"/>
      <c r="Q21" s="230"/>
      <c r="R21" s="230"/>
      <c r="S21" s="230"/>
      <c r="T21" s="312"/>
      <c r="U21" s="230"/>
      <c r="V21" s="224"/>
      <c r="W21" s="224"/>
      <c r="X21" s="224"/>
      <c r="Y21" s="224"/>
      <c r="Z21" s="224"/>
      <c r="AA21" s="224"/>
      <c r="AB21" s="224"/>
      <c r="AC21" s="303"/>
    </row>
    <row r="22" spans="1:32" x14ac:dyDescent="0.25">
      <c r="B22" s="238" t="s">
        <v>1742</v>
      </c>
      <c r="C22" s="246"/>
      <c r="D22" s="234"/>
      <c r="E22" s="234"/>
      <c r="F22" s="234"/>
      <c r="G22" s="234"/>
      <c r="H22" s="230"/>
      <c r="I22" s="230"/>
      <c r="J22" s="230"/>
      <c r="K22" s="230"/>
      <c r="L22" s="230"/>
      <c r="M22" s="230"/>
      <c r="N22" s="230"/>
      <c r="O22" s="230"/>
      <c r="P22" s="230"/>
      <c r="Q22" s="230"/>
      <c r="R22" s="230"/>
      <c r="S22" s="230"/>
      <c r="T22" s="248"/>
      <c r="U22" s="227"/>
      <c r="V22" s="226">
        <v>4.5990000000000002</v>
      </c>
      <c r="W22" s="226">
        <v>4.899</v>
      </c>
      <c r="X22" s="226">
        <v>5.1139999999999999</v>
      </c>
      <c r="Y22" s="226">
        <v>5.0990000000000002</v>
      </c>
      <c r="Z22" s="226">
        <v>4.9429999999999996</v>
      </c>
      <c r="AA22" s="226">
        <v>4.859</v>
      </c>
      <c r="AB22" s="226">
        <v>4.7990000000000004</v>
      </c>
      <c r="AC22" s="226">
        <v>4.7759999999999998</v>
      </c>
    </row>
    <row r="23" spans="1:32" x14ac:dyDescent="0.25">
      <c r="B23" s="245" t="s">
        <v>1801</v>
      </c>
      <c r="C23" s="305"/>
      <c r="D23" s="306"/>
      <c r="E23" s="307"/>
      <c r="F23" s="307"/>
      <c r="G23" s="307"/>
      <c r="H23" s="308"/>
      <c r="I23" s="308"/>
      <c r="J23" s="308"/>
      <c r="K23" s="308"/>
      <c r="L23" s="308"/>
      <c r="M23" s="308">
        <f>GETPIVOTDATA("Monthly UR",$E$28,"Quarters",M24,"Years",M25)</f>
        <v>6.166666666666667</v>
      </c>
      <c r="N23" s="308">
        <f t="shared" ref="N23:U23" si="13">GETPIVOTDATA("Monthly UR",$E$28,"Quarters",N24,"Years",N25)</f>
        <v>5.7666666666666657</v>
      </c>
      <c r="O23" s="308">
        <f t="shared" si="13"/>
        <v>5.1333333333333337</v>
      </c>
      <c r="P23" s="308">
        <f t="shared" si="13"/>
        <v>4.2333333333333334</v>
      </c>
      <c r="Q23" s="308">
        <f t="shared" si="13"/>
        <v>3.8000000000000003</v>
      </c>
      <c r="R23" s="308">
        <f t="shared" si="13"/>
        <v>3.6</v>
      </c>
      <c r="S23" s="308">
        <f t="shared" si="13"/>
        <v>3.5666666666666664</v>
      </c>
      <c r="T23" s="308">
        <f t="shared" si="13"/>
        <v>3.6</v>
      </c>
      <c r="U23" s="308">
        <f t="shared" si="13"/>
        <v>3.5</v>
      </c>
      <c r="V23" s="313">
        <v>4.5990000000000002</v>
      </c>
      <c r="W23" s="313">
        <v>4.899</v>
      </c>
      <c r="X23" s="313">
        <v>5.1139999999999999</v>
      </c>
      <c r="Y23" s="313">
        <v>5.0990000000000002</v>
      </c>
      <c r="Z23" s="313">
        <v>4.9429999999999996</v>
      </c>
      <c r="AA23" s="313">
        <v>4.859</v>
      </c>
      <c r="AB23" s="313">
        <v>4.7990000000000004</v>
      </c>
      <c r="AC23" s="314">
        <v>4.7759999999999998</v>
      </c>
      <c r="AD23" s="227" t="s">
        <v>300</v>
      </c>
    </row>
    <row r="24" spans="1:32" ht="15.75" customHeight="1" x14ac:dyDescent="0.25">
      <c r="B24" s="310" t="s">
        <v>1815</v>
      </c>
      <c r="C24" s="299"/>
      <c r="D24" s="292"/>
      <c r="E24" s="292"/>
      <c r="F24" s="292"/>
      <c r="G24" s="292"/>
      <c r="H24" s="292"/>
      <c r="I24" s="292"/>
      <c r="J24" s="292"/>
      <c r="K24" s="292"/>
      <c r="L24" s="292"/>
      <c r="M24" s="292">
        <v>1</v>
      </c>
      <c r="N24" s="292">
        <v>2</v>
      </c>
      <c r="O24" s="292">
        <v>3</v>
      </c>
      <c r="P24" s="292">
        <v>4</v>
      </c>
      <c r="Q24" s="292">
        <v>1</v>
      </c>
      <c r="R24" s="292">
        <v>2</v>
      </c>
      <c r="S24" s="292">
        <v>3</v>
      </c>
      <c r="T24" s="292">
        <v>4</v>
      </c>
      <c r="U24" s="292">
        <v>1</v>
      </c>
      <c r="V24" s="292">
        <v>2</v>
      </c>
      <c r="W24" s="292">
        <v>3</v>
      </c>
      <c r="X24" s="292">
        <v>4</v>
      </c>
      <c r="Y24" s="292">
        <v>1</v>
      </c>
      <c r="Z24" s="292">
        <v>2</v>
      </c>
      <c r="AA24" s="292">
        <v>3</v>
      </c>
      <c r="AB24" s="292">
        <v>4</v>
      </c>
      <c r="AC24" s="292">
        <v>1</v>
      </c>
      <c r="AD24" s="222">
        <v>2</v>
      </c>
      <c r="AE24" s="222">
        <v>3</v>
      </c>
      <c r="AF24" s="222">
        <v>4</v>
      </c>
    </row>
    <row r="25" spans="1:32" x14ac:dyDescent="0.25">
      <c r="B25" s="311" t="s">
        <v>1816</v>
      </c>
      <c r="C25" s="299"/>
      <c r="D25" s="292"/>
      <c r="E25" s="292"/>
      <c r="F25" s="292"/>
      <c r="G25" s="292"/>
      <c r="H25" s="292"/>
      <c r="I25" s="292"/>
      <c r="J25" s="292"/>
      <c r="K25" s="292"/>
      <c r="L25" s="292"/>
      <c r="M25" s="292">
        <v>2021</v>
      </c>
      <c r="N25" s="292">
        <v>2021</v>
      </c>
      <c r="O25" s="292">
        <v>2021</v>
      </c>
      <c r="P25" s="292">
        <v>2021</v>
      </c>
      <c r="Q25" s="292">
        <v>2022</v>
      </c>
      <c r="R25" s="292">
        <v>2022</v>
      </c>
      <c r="S25" s="292">
        <v>2022</v>
      </c>
      <c r="T25" s="292">
        <v>2022</v>
      </c>
      <c r="U25" s="292">
        <v>2023</v>
      </c>
      <c r="V25" s="292">
        <v>2023</v>
      </c>
      <c r="W25" s="292">
        <v>2023</v>
      </c>
      <c r="X25" s="292">
        <v>2023</v>
      </c>
      <c r="Y25" s="292">
        <v>2024</v>
      </c>
      <c r="Z25" s="292">
        <v>2024</v>
      </c>
      <c r="AA25" s="292">
        <v>2024</v>
      </c>
      <c r="AB25" s="292">
        <v>2024</v>
      </c>
      <c r="AC25" s="292">
        <v>2025</v>
      </c>
      <c r="AD25" s="227"/>
    </row>
    <row r="26" spans="1:32" x14ac:dyDescent="0.25">
      <c r="C26" s="238"/>
      <c r="D26" s="222"/>
      <c r="E26" s="222"/>
      <c r="F26" s="222"/>
      <c r="G26" s="222"/>
      <c r="H26" s="230"/>
      <c r="I26" s="230"/>
      <c r="J26" s="230"/>
      <c r="K26" s="230"/>
      <c r="L26" s="230"/>
      <c r="M26" s="230"/>
      <c r="N26" s="230"/>
      <c r="O26" s="230"/>
      <c r="P26" s="230"/>
      <c r="AD26" s="227"/>
    </row>
    <row r="27" spans="1:32" x14ac:dyDescent="0.25">
      <c r="M27" s="238"/>
      <c r="N27" s="238"/>
      <c r="O27" s="238"/>
    </row>
    <row r="28" spans="1:32" ht="43.5" customHeight="1" x14ac:dyDescent="0.25">
      <c r="B28" s="271" t="s">
        <v>301</v>
      </c>
      <c r="C28" s="272" t="s">
        <v>302</v>
      </c>
      <c r="D28" s="269"/>
      <c r="E28" s="14" t="s">
        <v>1805</v>
      </c>
      <c r="F28" s="14" t="s">
        <v>1810</v>
      </c>
      <c r="G28" s="14"/>
      <c r="H28" s="14"/>
      <c r="I28" s="14"/>
      <c r="J28" s="14"/>
      <c r="O28" s="273"/>
    </row>
    <row r="29" spans="1:32" x14ac:dyDescent="0.25">
      <c r="A29" s="56"/>
      <c r="B29" s="266">
        <v>44197</v>
      </c>
      <c r="C29" s="228">
        <v>6.3</v>
      </c>
      <c r="D29" s="270"/>
      <c r="E29" s="43" t="s">
        <v>1740</v>
      </c>
      <c r="F29" s="56"/>
      <c r="G29" s="56"/>
      <c r="H29" s="75"/>
      <c r="I29" s="56"/>
      <c r="J29" s="75"/>
      <c r="O29" s="238"/>
    </row>
    <row r="30" spans="1:32" x14ac:dyDescent="0.25">
      <c r="A30" s="56"/>
      <c r="B30" s="266">
        <v>44228</v>
      </c>
      <c r="C30" s="228">
        <v>6.2</v>
      </c>
      <c r="D30" s="270"/>
      <c r="E30" s="113" t="s">
        <v>1806</v>
      </c>
      <c r="F30" s="106">
        <v>6.166666666666667</v>
      </c>
      <c r="G30" s="56"/>
      <c r="H30" s="75"/>
      <c r="I30" s="56"/>
      <c r="J30" s="75"/>
      <c r="O30" s="238"/>
    </row>
    <row r="31" spans="1:32" x14ac:dyDescent="0.25">
      <c r="A31" s="56"/>
      <c r="B31" s="266">
        <v>44256</v>
      </c>
      <c r="C31" s="228">
        <v>6</v>
      </c>
      <c r="D31" s="270"/>
      <c r="E31" s="113" t="s">
        <v>1807</v>
      </c>
      <c r="F31" s="106">
        <v>5.7666666666666657</v>
      </c>
      <c r="G31" s="56"/>
      <c r="H31" s="75"/>
      <c r="I31" s="56"/>
      <c r="J31" s="75"/>
      <c r="O31" s="238"/>
    </row>
    <row r="32" spans="1:32" x14ac:dyDescent="0.25">
      <c r="A32" s="56"/>
      <c r="B32" s="266">
        <v>44287</v>
      </c>
      <c r="C32" s="228">
        <v>6.1</v>
      </c>
      <c r="D32" s="270"/>
      <c r="E32" s="113" t="s">
        <v>1808</v>
      </c>
      <c r="F32" s="106">
        <v>5.1333333333333337</v>
      </c>
      <c r="G32" s="56"/>
      <c r="H32" s="75"/>
      <c r="I32" s="56"/>
      <c r="J32" s="75"/>
      <c r="O32" s="238"/>
    </row>
    <row r="33" spans="1:38" x14ac:dyDescent="0.25">
      <c r="A33" s="56"/>
      <c r="B33" s="266">
        <v>44317</v>
      </c>
      <c r="C33" s="228">
        <v>5.8</v>
      </c>
      <c r="D33" s="270"/>
      <c r="E33" s="113" t="s">
        <v>1809</v>
      </c>
      <c r="F33" s="106">
        <v>4.2333333333333334</v>
      </c>
      <c r="G33" s="56"/>
      <c r="H33" s="75"/>
      <c r="I33" s="56"/>
      <c r="J33" s="75"/>
      <c r="O33" s="238"/>
    </row>
    <row r="34" spans="1:38" x14ac:dyDescent="0.25">
      <c r="A34" s="56"/>
      <c r="B34" s="266">
        <v>44348</v>
      </c>
      <c r="C34" s="228">
        <v>5.4</v>
      </c>
      <c r="D34" s="270"/>
      <c r="E34" s="43" t="s">
        <v>1729</v>
      </c>
      <c r="F34" s="106"/>
      <c r="G34" s="56"/>
      <c r="H34" s="75"/>
      <c r="I34" s="56"/>
      <c r="J34" s="75"/>
      <c r="O34" s="238"/>
    </row>
    <row r="35" spans="1:38" x14ac:dyDescent="0.25">
      <c r="A35" s="56"/>
      <c r="B35" s="266">
        <v>44378</v>
      </c>
      <c r="C35" s="228">
        <v>5.4</v>
      </c>
      <c r="D35" s="270"/>
      <c r="E35" s="113" t="s">
        <v>1806</v>
      </c>
      <c r="F35" s="106">
        <v>3.8000000000000003</v>
      </c>
      <c r="G35" s="56"/>
      <c r="H35" s="75"/>
      <c r="I35" s="56"/>
      <c r="J35" s="75"/>
      <c r="O35" s="238"/>
    </row>
    <row r="36" spans="1:38" x14ac:dyDescent="0.25">
      <c r="A36" s="56"/>
      <c r="B36" s="266">
        <v>44409</v>
      </c>
      <c r="C36" s="228">
        <v>5.2</v>
      </c>
      <c r="D36" s="270"/>
      <c r="E36" s="113" t="s">
        <v>1807</v>
      </c>
      <c r="F36" s="106">
        <v>3.6</v>
      </c>
      <c r="G36" s="56"/>
      <c r="H36" s="75"/>
      <c r="I36" s="56"/>
      <c r="J36" s="75"/>
      <c r="O36" s="238"/>
    </row>
    <row r="37" spans="1:38" x14ac:dyDescent="0.25">
      <c r="A37" s="56"/>
      <c r="B37" s="266">
        <v>44440</v>
      </c>
      <c r="C37" s="228">
        <v>4.8</v>
      </c>
      <c r="D37" s="270"/>
      <c r="E37" s="113" t="s">
        <v>1808</v>
      </c>
      <c r="F37" s="106">
        <v>3.5666666666666664</v>
      </c>
      <c r="G37" s="56"/>
      <c r="H37" s="75"/>
      <c r="I37" s="56"/>
      <c r="J37" s="75"/>
      <c r="O37" s="238"/>
    </row>
    <row r="38" spans="1:38" x14ac:dyDescent="0.25">
      <c r="A38" s="56"/>
      <c r="B38" s="266">
        <v>44470</v>
      </c>
      <c r="C38" s="228">
        <v>4.5999999999999996</v>
      </c>
      <c r="D38" s="270"/>
      <c r="E38" s="113" t="s">
        <v>1809</v>
      </c>
      <c r="F38" s="106">
        <v>3.6</v>
      </c>
      <c r="G38" s="56"/>
      <c r="H38" s="75"/>
      <c r="I38" s="56"/>
      <c r="J38" s="75"/>
      <c r="O38" s="238"/>
    </row>
    <row r="39" spans="1:38" x14ac:dyDescent="0.25">
      <c r="A39" s="56"/>
      <c r="B39" s="266">
        <v>44501</v>
      </c>
      <c r="C39" s="228">
        <v>4.2</v>
      </c>
      <c r="D39" s="270"/>
      <c r="E39" s="43" t="s">
        <v>1811</v>
      </c>
      <c r="F39" s="106"/>
      <c r="G39" s="56"/>
      <c r="H39" s="75"/>
      <c r="I39" s="56"/>
      <c r="J39" s="75"/>
      <c r="O39" s="238"/>
      <c r="AD39" s="238"/>
      <c r="AE39" s="238"/>
      <c r="AF39" s="238"/>
      <c r="AG39" s="238"/>
      <c r="AH39" s="238"/>
      <c r="AI39" s="238"/>
      <c r="AJ39" s="238"/>
      <c r="AK39" s="238"/>
      <c r="AL39" s="238"/>
    </row>
    <row r="40" spans="1:38" x14ac:dyDescent="0.25">
      <c r="A40" s="56"/>
      <c r="B40" s="266">
        <v>44531</v>
      </c>
      <c r="C40" s="228">
        <v>3.9</v>
      </c>
      <c r="D40" s="270"/>
      <c r="E40" s="113" t="s">
        <v>1806</v>
      </c>
      <c r="F40" s="106">
        <v>3.5</v>
      </c>
      <c r="G40" s="56"/>
      <c r="H40" s="75"/>
      <c r="I40" s="56"/>
      <c r="J40" s="75"/>
      <c r="O40" s="238"/>
      <c r="AD40" s="238"/>
      <c r="AE40" s="238"/>
      <c r="AF40" s="238"/>
      <c r="AG40" s="238"/>
      <c r="AH40" s="238"/>
      <c r="AI40" s="238"/>
      <c r="AJ40" s="238"/>
      <c r="AK40" s="238"/>
      <c r="AL40" s="238"/>
    </row>
    <row r="41" spans="1:38" x14ac:dyDescent="0.25">
      <c r="A41" s="56"/>
      <c r="B41" s="266">
        <v>44562</v>
      </c>
      <c r="C41" s="228">
        <v>4</v>
      </c>
      <c r="D41" s="56"/>
      <c r="E41" s="113" t="s">
        <v>1807</v>
      </c>
      <c r="F41" s="106"/>
      <c r="G41" s="56"/>
      <c r="H41" s="75"/>
      <c r="I41" s="56"/>
      <c r="J41" s="75"/>
      <c r="O41" s="238"/>
    </row>
    <row r="42" spans="1:38" x14ac:dyDescent="0.25">
      <c r="A42" s="56"/>
      <c r="B42" s="266">
        <v>44593</v>
      </c>
      <c r="C42" s="228">
        <v>3.8</v>
      </c>
      <c r="D42" s="56"/>
      <c r="E42" s="113" t="s">
        <v>1808</v>
      </c>
      <c r="F42" s="106"/>
      <c r="G42" s="56"/>
      <c r="H42" s="75"/>
      <c r="I42" s="56"/>
      <c r="J42" s="75"/>
    </row>
    <row r="43" spans="1:38" x14ac:dyDescent="0.25">
      <c r="A43" s="56"/>
      <c r="B43" s="266">
        <v>44621</v>
      </c>
      <c r="C43" s="228">
        <v>3.6</v>
      </c>
      <c r="D43" s="56"/>
      <c r="E43" s="113" t="s">
        <v>1809</v>
      </c>
      <c r="F43" s="106"/>
      <c r="G43" s="56"/>
      <c r="H43" s="75"/>
      <c r="I43" s="56"/>
      <c r="J43" s="75"/>
    </row>
    <row r="44" spans="1:38" x14ac:dyDescent="0.25">
      <c r="A44" s="56"/>
      <c r="B44" s="266">
        <v>44652</v>
      </c>
      <c r="C44" s="228">
        <v>3.6</v>
      </c>
      <c r="D44" s="56"/>
      <c r="E44" s="43" t="s">
        <v>1812</v>
      </c>
      <c r="F44" s="106"/>
      <c r="G44" s="56"/>
      <c r="H44" s="75"/>
      <c r="I44" s="56"/>
      <c r="J44" s="75"/>
    </row>
    <row r="45" spans="1:38" x14ac:dyDescent="0.25">
      <c r="A45" s="56"/>
      <c r="B45" s="266">
        <v>44682</v>
      </c>
      <c r="C45" s="228">
        <v>3.6</v>
      </c>
      <c r="D45" s="56"/>
      <c r="E45" s="113" t="s">
        <v>1806</v>
      </c>
      <c r="F45" s="106"/>
      <c r="G45" s="56"/>
      <c r="H45" s="75"/>
      <c r="I45" s="56"/>
      <c r="J45" s="75"/>
    </row>
    <row r="46" spans="1:38" x14ac:dyDescent="0.25">
      <c r="A46" s="56"/>
      <c r="B46" s="266">
        <v>44713</v>
      </c>
      <c r="C46" s="228">
        <v>3.6</v>
      </c>
      <c r="D46" s="56"/>
      <c r="E46" s="113" t="s">
        <v>1807</v>
      </c>
      <c r="F46" s="106"/>
      <c r="G46" s="56"/>
      <c r="H46" s="75"/>
      <c r="I46" s="56"/>
      <c r="J46" s="75"/>
    </row>
    <row r="47" spans="1:38" x14ac:dyDescent="0.25">
      <c r="A47" s="56"/>
      <c r="B47" s="266">
        <v>44743</v>
      </c>
      <c r="C47" s="228">
        <v>3.5</v>
      </c>
      <c r="D47" s="56"/>
      <c r="E47" s="113" t="s">
        <v>1808</v>
      </c>
      <c r="F47" s="106"/>
      <c r="G47" s="56"/>
      <c r="H47" s="75"/>
      <c r="I47" s="56"/>
      <c r="J47" s="75"/>
    </row>
    <row r="48" spans="1:38" x14ac:dyDescent="0.25">
      <c r="A48" s="56"/>
      <c r="B48" s="266">
        <v>44774</v>
      </c>
      <c r="C48" s="228">
        <v>3.7</v>
      </c>
      <c r="D48" s="56"/>
      <c r="E48" s="113" t="s">
        <v>1809</v>
      </c>
      <c r="F48" s="106"/>
      <c r="G48" s="56"/>
      <c r="H48" s="75"/>
      <c r="I48" s="56"/>
      <c r="J48" s="75"/>
    </row>
    <row r="49" spans="2:10" x14ac:dyDescent="0.25">
      <c r="B49" s="266">
        <v>44805</v>
      </c>
      <c r="C49" s="228">
        <v>3.5</v>
      </c>
      <c r="D49" s="56"/>
      <c r="E49" s="43" t="s">
        <v>1813</v>
      </c>
      <c r="F49" s="106"/>
      <c r="G49" s="56"/>
      <c r="H49" s="56"/>
      <c r="I49" s="56"/>
      <c r="J49" s="56"/>
    </row>
    <row r="50" spans="2:10" x14ac:dyDescent="0.25">
      <c r="B50" s="266">
        <v>44835</v>
      </c>
      <c r="C50" s="228">
        <v>3.7</v>
      </c>
      <c r="D50" s="56"/>
      <c r="E50" s="113" t="s">
        <v>1806</v>
      </c>
      <c r="F50" s="106"/>
      <c r="G50" s="56"/>
      <c r="H50" s="56"/>
      <c r="I50" s="56"/>
      <c r="J50" s="56"/>
    </row>
    <row r="51" spans="2:10" x14ac:dyDescent="0.25">
      <c r="B51" s="266">
        <v>44866</v>
      </c>
      <c r="C51" s="228">
        <v>3.6</v>
      </c>
      <c r="D51" s="56"/>
      <c r="E51" s="113" t="s">
        <v>1807</v>
      </c>
      <c r="F51" s="106"/>
      <c r="G51" s="56"/>
      <c r="H51" s="56"/>
      <c r="I51" s="56"/>
      <c r="J51" s="56"/>
    </row>
    <row r="52" spans="2:10" x14ac:dyDescent="0.25">
      <c r="B52" s="266">
        <v>44896</v>
      </c>
      <c r="C52" s="228">
        <v>3.5</v>
      </c>
      <c r="D52" s="56"/>
      <c r="E52" s="113" t="s">
        <v>1808</v>
      </c>
      <c r="F52" s="106"/>
      <c r="G52" s="56"/>
      <c r="H52" s="56"/>
      <c r="I52" s="56"/>
      <c r="J52" s="56"/>
    </row>
    <row r="53" spans="2:10" x14ac:dyDescent="0.25">
      <c r="B53" s="266">
        <v>44927</v>
      </c>
      <c r="C53" s="228">
        <v>3.4</v>
      </c>
      <c r="D53" s="56"/>
      <c r="E53" s="113" t="s">
        <v>1809</v>
      </c>
      <c r="F53" s="106"/>
      <c r="G53" s="56"/>
      <c r="H53" s="56"/>
      <c r="I53" s="56"/>
      <c r="J53" s="56"/>
    </row>
    <row r="54" spans="2:10" x14ac:dyDescent="0.25">
      <c r="B54" s="266">
        <v>44958</v>
      </c>
      <c r="C54" s="228">
        <v>3.6</v>
      </c>
      <c r="D54" s="56"/>
      <c r="E54" s="43" t="s">
        <v>1814</v>
      </c>
      <c r="F54" s="106"/>
      <c r="G54" s="56"/>
      <c r="H54" s="56"/>
      <c r="I54" s="56"/>
      <c r="J54" s="56"/>
    </row>
    <row r="55" spans="2:10" x14ac:dyDescent="0.25">
      <c r="B55" s="266">
        <v>44986</v>
      </c>
      <c r="C55" s="228">
        <v>3.5</v>
      </c>
      <c r="D55" s="56"/>
      <c r="E55" s="113" t="s">
        <v>1806</v>
      </c>
      <c r="F55" s="106"/>
      <c r="G55" s="56"/>
      <c r="H55" s="56"/>
      <c r="I55" s="56"/>
      <c r="J55" s="56"/>
    </row>
    <row r="56" spans="2:10" x14ac:dyDescent="0.25">
      <c r="B56" s="266">
        <v>45017</v>
      </c>
      <c r="C56" s="228"/>
      <c r="D56" s="56"/>
      <c r="E56" s="113" t="s">
        <v>1807</v>
      </c>
      <c r="F56" s="106"/>
      <c r="G56" s="56"/>
      <c r="H56" s="56"/>
      <c r="I56" s="56"/>
      <c r="J56" s="56"/>
    </row>
    <row r="57" spans="2:10" x14ac:dyDescent="0.25">
      <c r="B57" s="266">
        <v>45047</v>
      </c>
      <c r="C57" s="228"/>
      <c r="D57" s="56"/>
      <c r="E57" s="113" t="s">
        <v>1808</v>
      </c>
      <c r="F57" s="106"/>
      <c r="G57" s="56"/>
      <c r="H57" s="56"/>
      <c r="I57" s="56"/>
      <c r="J57" s="56"/>
    </row>
    <row r="58" spans="2:10" x14ac:dyDescent="0.25">
      <c r="B58" s="266">
        <v>45078</v>
      </c>
      <c r="C58" s="228"/>
      <c r="D58" s="56"/>
      <c r="E58" s="113" t="s">
        <v>1809</v>
      </c>
      <c r="F58" s="106"/>
      <c r="G58" s="56"/>
      <c r="H58" s="56"/>
      <c r="I58" s="56"/>
      <c r="J58" s="56"/>
    </row>
    <row r="59" spans="2:10" x14ac:dyDescent="0.25">
      <c r="B59" s="266">
        <v>45108</v>
      </c>
      <c r="C59" s="228"/>
      <c r="D59" s="56"/>
      <c r="E59" s="56"/>
      <c r="F59" s="56"/>
      <c r="G59" s="56"/>
      <c r="H59" s="56"/>
      <c r="I59" s="56"/>
      <c r="J59" s="56"/>
    </row>
    <row r="60" spans="2:10" x14ac:dyDescent="0.25">
      <c r="B60" s="266">
        <v>45139</v>
      </c>
      <c r="C60" s="228"/>
      <c r="D60" s="56"/>
      <c r="E60" s="56"/>
      <c r="F60" s="56"/>
      <c r="G60" s="56"/>
      <c r="H60" s="56"/>
      <c r="I60" s="56"/>
      <c r="J60" s="56"/>
    </row>
    <row r="61" spans="2:10" x14ac:dyDescent="0.25">
      <c r="B61" s="266">
        <v>45170</v>
      </c>
      <c r="C61" s="228"/>
      <c r="D61" s="56"/>
      <c r="E61" s="56"/>
      <c r="F61" s="56"/>
      <c r="G61" s="56"/>
      <c r="H61" s="56"/>
      <c r="I61" s="56"/>
      <c r="J61" s="56"/>
    </row>
    <row r="62" spans="2:10" x14ac:dyDescent="0.25">
      <c r="B62" s="266">
        <v>45200</v>
      </c>
      <c r="C62" s="228"/>
      <c r="D62" s="56"/>
      <c r="E62" s="56"/>
      <c r="F62" s="56"/>
      <c r="G62" s="56"/>
      <c r="H62" s="56"/>
      <c r="I62" s="56"/>
      <c r="J62" s="56"/>
    </row>
    <row r="63" spans="2:10" x14ac:dyDescent="0.25">
      <c r="B63" s="266">
        <v>45231</v>
      </c>
      <c r="C63" s="228"/>
      <c r="D63" s="56"/>
      <c r="E63" s="56"/>
      <c r="F63" s="56"/>
      <c r="G63" s="56"/>
      <c r="H63" s="56"/>
      <c r="I63" s="56"/>
      <c r="J63" s="56"/>
    </row>
    <row r="64" spans="2:10" x14ac:dyDescent="0.25">
      <c r="B64" s="266">
        <v>45261</v>
      </c>
      <c r="C64" s="228"/>
      <c r="D64" s="56"/>
      <c r="E64" s="56"/>
      <c r="F64" s="56"/>
      <c r="G64" s="56"/>
      <c r="H64" s="56"/>
      <c r="I64" s="56"/>
      <c r="J64" s="56"/>
    </row>
    <row r="65" spans="2:10" x14ac:dyDescent="0.25">
      <c r="B65" s="266">
        <v>45292</v>
      </c>
      <c r="C65" s="228"/>
      <c r="D65" s="56"/>
      <c r="E65" s="56"/>
      <c r="F65" s="56"/>
      <c r="G65" s="56"/>
      <c r="H65" s="56"/>
      <c r="I65" s="56"/>
      <c r="J65" s="56"/>
    </row>
    <row r="66" spans="2:10" x14ac:dyDescent="0.25">
      <c r="B66" s="266">
        <v>45323</v>
      </c>
      <c r="C66" s="228"/>
      <c r="D66" s="56"/>
      <c r="E66" s="56"/>
      <c r="F66" s="56"/>
      <c r="G66" s="56"/>
      <c r="H66" s="56"/>
      <c r="I66" s="56"/>
      <c r="J66" s="56"/>
    </row>
    <row r="67" spans="2:10" x14ac:dyDescent="0.25">
      <c r="B67" s="266">
        <v>45352</v>
      </c>
      <c r="C67" s="228"/>
      <c r="D67" s="56"/>
      <c r="E67" s="56"/>
      <c r="F67" s="56"/>
      <c r="G67" s="56"/>
      <c r="H67" s="56"/>
      <c r="I67" s="56"/>
      <c r="J67" s="56"/>
    </row>
    <row r="68" spans="2:10" x14ac:dyDescent="0.25">
      <c r="B68" s="266">
        <v>45383</v>
      </c>
      <c r="C68" s="228"/>
      <c r="D68" s="56"/>
      <c r="E68" s="56"/>
      <c r="F68" s="56"/>
      <c r="G68" s="56"/>
      <c r="H68" s="56"/>
      <c r="I68" s="56"/>
      <c r="J68" s="56"/>
    </row>
    <row r="69" spans="2:10" x14ac:dyDescent="0.25">
      <c r="B69" s="266">
        <v>45413</v>
      </c>
      <c r="C69" s="228"/>
      <c r="D69" s="56"/>
      <c r="E69" s="56"/>
      <c r="F69" s="56"/>
      <c r="G69" s="56"/>
      <c r="H69" s="56"/>
      <c r="I69" s="56"/>
      <c r="J69" s="56"/>
    </row>
    <row r="70" spans="2:10" x14ac:dyDescent="0.25">
      <c r="B70" s="266">
        <v>45444</v>
      </c>
      <c r="C70" s="228"/>
      <c r="D70" s="56"/>
      <c r="E70" s="56"/>
      <c r="F70" s="56"/>
      <c r="G70" s="56"/>
      <c r="H70" s="56"/>
      <c r="I70" s="56"/>
      <c r="J70" s="56"/>
    </row>
    <row r="71" spans="2:10" x14ac:dyDescent="0.25">
      <c r="B71" s="266">
        <v>45474</v>
      </c>
      <c r="C71" s="228"/>
      <c r="D71" s="56"/>
      <c r="E71" s="56"/>
      <c r="F71" s="56"/>
      <c r="G71" s="56"/>
      <c r="H71" s="56"/>
      <c r="I71" s="56"/>
      <c r="J71" s="56"/>
    </row>
    <row r="72" spans="2:10" x14ac:dyDescent="0.25">
      <c r="B72" s="266">
        <v>45505</v>
      </c>
      <c r="C72" s="228"/>
      <c r="D72" s="56"/>
      <c r="E72" s="56"/>
      <c r="F72" s="56"/>
      <c r="G72" s="56"/>
      <c r="H72" s="56"/>
      <c r="I72" s="56"/>
      <c r="J72" s="56"/>
    </row>
    <row r="73" spans="2:10" x14ac:dyDescent="0.25">
      <c r="B73" s="266">
        <v>45536</v>
      </c>
      <c r="C73" s="228"/>
      <c r="D73" s="56"/>
      <c r="E73" s="56"/>
      <c r="F73" s="56"/>
      <c r="G73" s="56"/>
      <c r="H73" s="56"/>
      <c r="I73" s="56"/>
      <c r="J73" s="56"/>
    </row>
    <row r="74" spans="2:10" x14ac:dyDescent="0.25">
      <c r="B74" s="266">
        <v>45566</v>
      </c>
      <c r="C74" s="228"/>
      <c r="D74" s="56"/>
      <c r="E74" s="56"/>
      <c r="F74" s="56"/>
      <c r="G74" s="56"/>
      <c r="H74" s="56"/>
      <c r="I74" s="56"/>
      <c r="J74" s="56"/>
    </row>
    <row r="75" spans="2:10" x14ac:dyDescent="0.25">
      <c r="B75" s="266">
        <v>45597</v>
      </c>
      <c r="C75" s="228"/>
      <c r="D75" s="56"/>
      <c r="E75" s="56"/>
      <c r="F75" s="56"/>
      <c r="G75" s="56"/>
      <c r="H75" s="56"/>
      <c r="I75" s="56"/>
      <c r="J75" s="56"/>
    </row>
    <row r="76" spans="2:10" x14ac:dyDescent="0.25">
      <c r="B76" s="266">
        <v>45627</v>
      </c>
      <c r="C76" s="228"/>
      <c r="D76" s="56"/>
      <c r="E76" s="56"/>
      <c r="F76" s="56"/>
      <c r="G76" s="56"/>
      <c r="H76" s="56"/>
      <c r="I76" s="56"/>
      <c r="J76" s="56"/>
    </row>
    <row r="77" spans="2:10" x14ac:dyDescent="0.25">
      <c r="B77" s="266">
        <v>45658</v>
      </c>
      <c r="C77" s="228"/>
      <c r="D77" s="56"/>
      <c r="E77" s="56"/>
      <c r="F77" s="56"/>
      <c r="G77" s="56"/>
      <c r="H77" s="56"/>
      <c r="I77" s="56"/>
      <c r="J77" s="56"/>
    </row>
    <row r="78" spans="2:10" x14ac:dyDescent="0.25">
      <c r="B78" s="266">
        <v>45689</v>
      </c>
      <c r="C78" s="228"/>
      <c r="D78" s="56"/>
      <c r="E78" s="56"/>
      <c r="F78" s="56"/>
      <c r="G78" s="56"/>
      <c r="H78" s="56"/>
      <c r="I78" s="56"/>
      <c r="J78" s="56"/>
    </row>
    <row r="79" spans="2:10" x14ac:dyDescent="0.25">
      <c r="B79" s="266">
        <v>45717</v>
      </c>
      <c r="C79" s="228"/>
      <c r="D79" s="56"/>
      <c r="E79" s="56"/>
      <c r="F79" s="56"/>
      <c r="G79" s="56"/>
      <c r="H79" s="56"/>
      <c r="I79" s="56"/>
      <c r="J79" s="56"/>
    </row>
    <row r="80" spans="2:10" x14ac:dyDescent="0.25">
      <c r="B80" s="266">
        <v>45748</v>
      </c>
      <c r="C80" s="228"/>
      <c r="D80" s="56"/>
      <c r="E80" s="56"/>
      <c r="F80" s="56"/>
      <c r="G80" s="56"/>
      <c r="H80" s="56"/>
      <c r="I80" s="56"/>
      <c r="J80" s="56"/>
    </row>
    <row r="81" spans="2:10" x14ac:dyDescent="0.25">
      <c r="B81" s="266">
        <v>45778</v>
      </c>
      <c r="C81" s="228"/>
      <c r="D81" s="56"/>
      <c r="E81" s="56"/>
      <c r="F81" s="56"/>
      <c r="G81" s="56"/>
      <c r="H81" s="56"/>
      <c r="I81" s="56"/>
      <c r="J81" s="56"/>
    </row>
    <row r="82" spans="2:10" x14ac:dyDescent="0.25">
      <c r="B82" s="266">
        <v>45809</v>
      </c>
      <c r="C82" s="228"/>
      <c r="D82" s="56"/>
      <c r="E82" s="56"/>
      <c r="F82" s="56"/>
      <c r="G82" s="56"/>
      <c r="H82" s="56"/>
      <c r="I82" s="56"/>
      <c r="J82" s="56"/>
    </row>
    <row r="83" spans="2:10" x14ac:dyDescent="0.25">
      <c r="B83" s="266">
        <v>45839</v>
      </c>
      <c r="C83" s="228"/>
      <c r="D83" s="56"/>
      <c r="E83" s="56"/>
      <c r="F83" s="56"/>
      <c r="G83" s="56"/>
      <c r="H83" s="56"/>
      <c r="I83" s="56"/>
      <c r="J83" s="56"/>
    </row>
    <row r="84" spans="2:10" x14ac:dyDescent="0.25">
      <c r="B84" s="266">
        <v>45870</v>
      </c>
      <c r="C84" s="228"/>
      <c r="D84" s="56"/>
      <c r="E84" s="56"/>
      <c r="F84" s="56"/>
      <c r="G84" s="56"/>
      <c r="H84" s="56"/>
      <c r="I84" s="56"/>
      <c r="J84" s="56"/>
    </row>
    <row r="85" spans="2:10" x14ac:dyDescent="0.25">
      <c r="B85" s="266">
        <v>45901</v>
      </c>
      <c r="C85" s="228"/>
      <c r="D85" s="56"/>
      <c r="E85" s="56"/>
      <c r="F85" s="56"/>
      <c r="G85" s="56"/>
      <c r="H85" s="56"/>
      <c r="I85" s="56"/>
      <c r="J85" s="56"/>
    </row>
    <row r="86" spans="2:10" x14ac:dyDescent="0.25">
      <c r="B86" s="266">
        <v>45931</v>
      </c>
      <c r="C86" s="228"/>
      <c r="D86" s="56"/>
      <c r="E86" s="56"/>
      <c r="F86" s="56"/>
      <c r="G86" s="56"/>
      <c r="H86" s="56"/>
      <c r="I86" s="56"/>
      <c r="J86" s="56"/>
    </row>
    <row r="87" spans="2:10" x14ac:dyDescent="0.25">
      <c r="B87" s="266">
        <v>45962</v>
      </c>
      <c r="C87" s="228"/>
      <c r="D87" s="56"/>
      <c r="E87" s="56"/>
      <c r="F87" s="56"/>
      <c r="G87" s="56"/>
      <c r="H87" s="56"/>
      <c r="I87" s="56"/>
      <c r="J87" s="56"/>
    </row>
    <row r="88" spans="2:10" x14ac:dyDescent="0.25">
      <c r="B88" s="266">
        <v>45992</v>
      </c>
      <c r="C88" s="228"/>
      <c r="D88" s="56"/>
      <c r="E88" s="56"/>
      <c r="F88" s="56"/>
      <c r="G88" s="56"/>
      <c r="H88" s="56"/>
      <c r="I88" s="56"/>
      <c r="J88" s="56"/>
    </row>
    <row r="89" spans="2:10" x14ac:dyDescent="0.25">
      <c r="B89" s="266">
        <v>46023</v>
      </c>
      <c r="C89" s="228"/>
      <c r="D89" s="56"/>
      <c r="E89" s="56"/>
      <c r="F89" s="56"/>
      <c r="G89" s="56"/>
      <c r="H89" s="56"/>
      <c r="I89" s="56"/>
      <c r="J89" s="56"/>
    </row>
    <row r="90" spans="2:10" x14ac:dyDescent="0.25">
      <c r="B90" s="266">
        <v>46054</v>
      </c>
      <c r="C90" s="228"/>
      <c r="D90" s="56"/>
      <c r="E90" s="56"/>
      <c r="F90" s="56"/>
      <c r="G90" s="56"/>
      <c r="H90" s="56"/>
      <c r="I90" s="56"/>
      <c r="J90" s="56"/>
    </row>
    <row r="91" spans="2:10" x14ac:dyDescent="0.25">
      <c r="B91" s="266">
        <v>46082</v>
      </c>
      <c r="C91" s="228"/>
      <c r="D91" s="56"/>
      <c r="E91" s="56"/>
      <c r="F91" s="56"/>
      <c r="G91" s="56"/>
      <c r="H91" s="56"/>
      <c r="I91" s="56"/>
      <c r="J91" s="56"/>
    </row>
    <row r="92" spans="2:10" x14ac:dyDescent="0.25">
      <c r="B92" s="266">
        <v>46113</v>
      </c>
      <c r="C92" s="228"/>
      <c r="D92" s="56"/>
      <c r="E92" s="56"/>
      <c r="F92" s="56"/>
      <c r="G92" s="56"/>
      <c r="H92" s="56"/>
      <c r="I92" s="56"/>
      <c r="J92" s="56"/>
    </row>
    <row r="93" spans="2:10" x14ac:dyDescent="0.25">
      <c r="B93" s="266">
        <v>46143</v>
      </c>
      <c r="C93" s="228"/>
      <c r="D93" s="56"/>
      <c r="E93" s="56"/>
      <c r="F93" s="56"/>
      <c r="G93" s="56"/>
      <c r="H93" s="56"/>
      <c r="I93" s="56"/>
      <c r="J93" s="56"/>
    </row>
    <row r="94" spans="2:10" x14ac:dyDescent="0.25">
      <c r="B94" s="266">
        <v>46174</v>
      </c>
      <c r="C94" s="228"/>
      <c r="D94" s="56"/>
      <c r="E94" s="56"/>
      <c r="F94" s="56"/>
      <c r="G94" s="56"/>
      <c r="H94" s="56"/>
      <c r="I94" s="56"/>
      <c r="J94" s="56"/>
    </row>
    <row r="95" spans="2:10" x14ac:dyDescent="0.25">
      <c r="B95" s="266">
        <v>46204</v>
      </c>
      <c r="C95" s="228"/>
      <c r="D95" s="56"/>
      <c r="E95" s="56"/>
      <c r="F95" s="56"/>
      <c r="G95" s="56"/>
      <c r="H95" s="56"/>
      <c r="I95" s="56"/>
      <c r="J95" s="56"/>
    </row>
    <row r="96" spans="2:10" x14ac:dyDescent="0.25">
      <c r="B96" s="266">
        <v>46235</v>
      </c>
      <c r="C96" s="228"/>
      <c r="D96" s="56"/>
      <c r="E96" s="56"/>
      <c r="F96" s="56"/>
      <c r="G96" s="56"/>
      <c r="H96" s="56"/>
      <c r="I96" s="56"/>
      <c r="J96" s="56"/>
    </row>
    <row r="97" spans="2:10" x14ac:dyDescent="0.25">
      <c r="B97" s="266">
        <v>46266</v>
      </c>
      <c r="C97" s="228"/>
      <c r="D97" s="56"/>
      <c r="E97" s="56"/>
      <c r="F97" s="56"/>
      <c r="G97" s="56"/>
      <c r="H97" s="56"/>
      <c r="I97" s="56"/>
      <c r="J97" s="56"/>
    </row>
    <row r="98" spans="2:10" x14ac:dyDescent="0.25">
      <c r="B98" s="266">
        <v>46296</v>
      </c>
      <c r="C98" s="228"/>
      <c r="D98" s="56"/>
      <c r="E98" s="56"/>
      <c r="F98" s="56"/>
      <c r="G98" s="56"/>
      <c r="H98" s="56"/>
      <c r="I98" s="56"/>
      <c r="J98" s="56"/>
    </row>
    <row r="99" spans="2:10" x14ac:dyDescent="0.25">
      <c r="B99" s="266">
        <v>46327</v>
      </c>
      <c r="C99" s="228"/>
      <c r="D99" s="56"/>
      <c r="E99" s="56"/>
      <c r="F99" s="56"/>
      <c r="G99" s="56"/>
      <c r="H99" s="56"/>
      <c r="I99" s="56"/>
      <c r="J99" s="56"/>
    </row>
    <row r="100" spans="2:10" x14ac:dyDescent="0.25">
      <c r="B100" s="267">
        <v>46357</v>
      </c>
      <c r="C100" s="229"/>
      <c r="D100" s="56"/>
      <c r="E100" s="56"/>
      <c r="F100" s="56"/>
      <c r="G100" s="56"/>
      <c r="H100" s="56"/>
      <c r="I100" s="56"/>
      <c r="J100" s="56"/>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U97"/>
  <sheetViews>
    <sheetView zoomScale="80" zoomScaleNormal="80" workbookViewId="0">
      <pane xSplit="2" ySplit="4" topLeftCell="K12" activePane="bottomRight" state="frozen"/>
      <selection pane="topRight" activeCell="C1" sqref="C1"/>
      <selection pane="bottomLeft" activeCell="A5" sqref="A5"/>
      <selection pane="bottomRight" activeCell="AK73" sqref="AK73"/>
    </sheetView>
  </sheetViews>
  <sheetFormatPr defaultColWidth="10.85546875" defaultRowHeight="15" x14ac:dyDescent="0.25"/>
  <cols>
    <col min="1" max="1" width="18.5703125" customWidth="1"/>
    <col min="2" max="2" width="40.42578125" customWidth="1"/>
    <col min="3" max="3" width="7.140625" customWidth="1"/>
    <col min="4" max="4" width="11.140625" customWidth="1"/>
    <col min="5" max="5" width="12.42578125" customWidth="1"/>
    <col min="6" max="7" width="7.140625" customWidth="1"/>
    <col min="8" max="8" width="10.42578125" customWidth="1"/>
    <col min="9" max="9" width="11.42578125" customWidth="1"/>
    <col min="10" max="13" width="7.42578125" customWidth="1"/>
    <col min="14" max="18" width="8.140625" customWidth="1"/>
    <col min="19" max="19" width="8.85546875" customWidth="1"/>
    <col min="20" max="40" width="8.140625" customWidth="1"/>
    <col min="41" max="41" width="29.42578125" customWidth="1"/>
    <col min="42" max="42" width="31.140625" customWidth="1"/>
    <col min="43" max="43" width="114.85546875" customWidth="1"/>
  </cols>
  <sheetData>
    <row r="1" spans="2:45" x14ac:dyDescent="0.25">
      <c r="B1" s="1264" t="s">
        <v>192</v>
      </c>
      <c r="C1" s="1264"/>
      <c r="D1" s="1264"/>
      <c r="E1" s="1264"/>
      <c r="F1" s="1264"/>
      <c r="G1" s="1264"/>
      <c r="H1" s="1264"/>
      <c r="I1" s="1264"/>
      <c r="J1" s="1264"/>
      <c r="K1" s="1264"/>
      <c r="L1" s="1264"/>
      <c r="M1" s="1264"/>
      <c r="N1" s="1264"/>
      <c r="O1" s="1264"/>
      <c r="P1" s="1264"/>
      <c r="Q1" s="1264"/>
      <c r="R1" s="1264"/>
      <c r="S1" s="1264"/>
      <c r="T1" s="1264"/>
      <c r="U1" s="1264"/>
      <c r="V1" s="1264"/>
      <c r="W1" s="1264"/>
      <c r="X1" s="1264"/>
      <c r="Y1" s="1264"/>
      <c r="Z1" s="212"/>
      <c r="AA1" s="212"/>
      <c r="AB1" s="212"/>
      <c r="AC1" s="212"/>
      <c r="AD1" s="212"/>
      <c r="AE1" s="212"/>
      <c r="AF1" s="212"/>
      <c r="AG1" s="212"/>
      <c r="AH1" s="212"/>
      <c r="AI1" s="212"/>
      <c r="AJ1" s="212"/>
      <c r="AK1" s="212"/>
      <c r="AL1" s="212"/>
      <c r="AM1" s="212"/>
      <c r="AN1" s="212"/>
      <c r="AO1" s="320"/>
      <c r="AP1" s="320"/>
    </row>
    <row r="2" spans="2:45" ht="14.25" customHeight="1" x14ac:dyDescent="0.25">
      <c r="B2" s="1265" t="s">
        <v>331</v>
      </c>
      <c r="C2" s="1265"/>
      <c r="D2" s="1265"/>
      <c r="E2" s="1265"/>
      <c r="F2" s="1265"/>
      <c r="G2" s="1265"/>
      <c r="H2" s="1265"/>
      <c r="I2" s="1265"/>
      <c r="J2" s="1265"/>
      <c r="K2" s="1265"/>
      <c r="L2" s="1265"/>
      <c r="M2" s="1265"/>
      <c r="N2" s="1265"/>
      <c r="O2" s="1265"/>
      <c r="P2" s="1265"/>
      <c r="Q2" s="1265"/>
      <c r="R2" s="1265"/>
      <c r="S2" s="1265"/>
      <c r="T2" s="1265"/>
      <c r="U2" s="1265"/>
      <c r="V2" s="1265"/>
      <c r="W2" s="1265"/>
      <c r="X2" s="1265"/>
      <c r="Y2" s="1265"/>
      <c r="Z2" s="1265"/>
      <c r="AA2" s="1265"/>
      <c r="AB2" s="1265"/>
      <c r="AC2" s="1265"/>
      <c r="AD2" s="213"/>
      <c r="AE2" s="213"/>
      <c r="AF2" s="213"/>
      <c r="AG2" s="213"/>
      <c r="AH2" s="213"/>
      <c r="AI2" s="213"/>
      <c r="AJ2" s="213"/>
      <c r="AK2" s="213"/>
      <c r="AL2" s="213"/>
      <c r="AM2" s="213"/>
      <c r="AN2" s="213"/>
      <c r="AO2" s="213"/>
      <c r="AP2" s="213"/>
    </row>
    <row r="3" spans="2:45" ht="50.85" customHeight="1" x14ac:dyDescent="0.25">
      <c r="B3" s="1265"/>
      <c r="C3" s="1265"/>
      <c r="D3" s="1265"/>
      <c r="E3" s="1265"/>
      <c r="F3" s="1265"/>
      <c r="G3" s="1265"/>
      <c r="H3" s="1265"/>
      <c r="I3" s="1265"/>
      <c r="J3" s="1265"/>
      <c r="K3" s="1265"/>
      <c r="L3" s="1265"/>
      <c r="M3" s="1265"/>
      <c r="N3" s="1265"/>
      <c r="O3" s="1265"/>
      <c r="P3" s="1265"/>
      <c r="Q3" s="1265"/>
      <c r="R3" s="1265"/>
      <c r="S3" s="1265"/>
      <c r="T3" s="1265"/>
      <c r="U3" s="1265"/>
      <c r="V3" s="1265"/>
      <c r="W3" s="1265"/>
      <c r="X3" s="1265"/>
      <c r="Y3" s="1265"/>
      <c r="Z3" s="1265"/>
      <c r="AA3" s="1265"/>
      <c r="AB3" s="1265"/>
      <c r="AC3" s="1265"/>
      <c r="AD3" s="213"/>
      <c r="AE3" s="213"/>
      <c r="AF3" s="213"/>
      <c r="AG3" s="213"/>
      <c r="AH3" s="213"/>
      <c r="AI3" s="213"/>
      <c r="AJ3" s="213"/>
      <c r="AK3" s="213"/>
      <c r="AL3" s="213"/>
      <c r="AM3" s="213"/>
      <c r="AN3" s="213"/>
      <c r="AO3" s="213"/>
      <c r="AP3" s="213"/>
    </row>
    <row r="4" spans="2:45" ht="5.25" customHeight="1" x14ac:dyDescent="0.25">
      <c r="B4" s="1265"/>
      <c r="C4" s="1265"/>
      <c r="D4" s="1265"/>
      <c r="E4" s="1265"/>
      <c r="F4" s="1265"/>
      <c r="G4" s="1265"/>
      <c r="H4" s="1265"/>
      <c r="I4" s="1265"/>
      <c r="J4" s="1265"/>
      <c r="K4" s="1265"/>
      <c r="L4" s="1265"/>
      <c r="M4" s="1265"/>
      <c r="N4" s="1265"/>
      <c r="O4" s="1265"/>
      <c r="P4" s="1265"/>
      <c r="Q4" s="1265"/>
      <c r="R4" s="1265"/>
      <c r="S4" s="1265"/>
      <c r="T4" s="1265"/>
      <c r="U4" s="1265"/>
      <c r="V4" s="1265"/>
      <c r="W4" s="1265"/>
      <c r="X4" s="1265"/>
      <c r="Y4" s="1265"/>
      <c r="Z4" s="1265"/>
      <c r="AA4" s="1265"/>
      <c r="AB4" s="1265"/>
      <c r="AC4" s="1265"/>
      <c r="AD4" s="213"/>
      <c r="AE4" s="213"/>
      <c r="AF4" s="213"/>
      <c r="AG4" s="213"/>
      <c r="AH4" s="213"/>
      <c r="AI4" s="213"/>
      <c r="AJ4" s="213"/>
      <c r="AK4" s="213"/>
      <c r="AL4" s="213"/>
      <c r="AM4" s="213"/>
      <c r="AN4" s="213"/>
      <c r="AO4" s="213"/>
      <c r="AP4" s="213"/>
    </row>
    <row r="5" spans="2:45" x14ac:dyDescent="0.25">
      <c r="B5" s="398" t="s">
        <v>332</v>
      </c>
    </row>
    <row r="6" spans="2:45" ht="14.85" customHeight="1" x14ac:dyDescent="0.25">
      <c r="B6" s="1269" t="s">
        <v>333</v>
      </c>
      <c r="C6" s="1270"/>
      <c r="D6" s="1293" t="s">
        <v>279</v>
      </c>
      <c r="E6" s="1294"/>
      <c r="F6" s="1294"/>
      <c r="G6" s="1294"/>
      <c r="H6" s="1294"/>
      <c r="I6" s="1294"/>
      <c r="J6" s="1294"/>
      <c r="K6" s="1294"/>
      <c r="L6" s="1294"/>
      <c r="M6" s="1294"/>
      <c r="N6" s="1294"/>
      <c r="O6" s="1294"/>
      <c r="P6" s="1294"/>
      <c r="Q6" s="1294"/>
      <c r="R6" s="1294"/>
      <c r="S6" s="1294"/>
      <c r="T6" s="1294"/>
      <c r="U6" s="1294"/>
      <c r="V6" s="1294"/>
      <c r="W6" s="1294"/>
      <c r="X6" s="1294"/>
      <c r="Y6" s="1294"/>
      <c r="Z6" s="1294"/>
      <c r="AA6" s="1294"/>
      <c r="AB6" s="1295"/>
      <c r="AC6" s="1296" t="s">
        <v>280</v>
      </c>
      <c r="AD6" s="1277"/>
      <c r="AE6" s="1277"/>
      <c r="AF6" s="1277"/>
      <c r="AG6" s="1277"/>
      <c r="AH6" s="1277"/>
      <c r="AI6" s="1277"/>
      <c r="AJ6" s="1277"/>
      <c r="AK6" s="1277"/>
      <c r="AL6" s="1277"/>
      <c r="AM6" s="1277"/>
      <c r="AN6" s="1278"/>
      <c r="AO6" s="1307" t="s">
        <v>334</v>
      </c>
      <c r="AP6" s="1307" t="s">
        <v>335</v>
      </c>
    </row>
    <row r="7" spans="2:45" ht="24" customHeight="1" x14ac:dyDescent="0.25">
      <c r="B7" s="1271"/>
      <c r="C7" s="1272"/>
      <c r="D7" s="214">
        <v>2018</v>
      </c>
      <c r="E7" s="1266">
        <v>2019</v>
      </c>
      <c r="F7" s="1267"/>
      <c r="G7" s="1267"/>
      <c r="H7" s="1268"/>
      <c r="I7" s="1266">
        <v>2020</v>
      </c>
      <c r="J7" s="1267"/>
      <c r="K7" s="1267"/>
      <c r="L7" s="1267"/>
      <c r="M7" s="1266">
        <v>2021</v>
      </c>
      <c r="N7" s="1267"/>
      <c r="O7" s="1267"/>
      <c r="P7" s="1267"/>
      <c r="Q7" s="1266">
        <v>2022</v>
      </c>
      <c r="R7" s="1267"/>
      <c r="S7" s="1267"/>
      <c r="T7" s="1267"/>
      <c r="U7" s="321"/>
      <c r="V7" s="322">
        <v>2023</v>
      </c>
      <c r="W7" s="322"/>
      <c r="X7" s="323"/>
      <c r="Y7" s="282"/>
      <c r="Z7" s="220">
        <v>2024</v>
      </c>
      <c r="AA7" s="220"/>
      <c r="AB7" s="219"/>
      <c r="AC7" s="1298">
        <v>2025</v>
      </c>
      <c r="AD7" s="1299"/>
      <c r="AE7" s="1299"/>
      <c r="AF7" s="1299"/>
      <c r="AG7" s="1275">
        <v>2026</v>
      </c>
      <c r="AH7" s="1276"/>
      <c r="AI7" s="1276"/>
      <c r="AJ7" s="1280"/>
      <c r="AK7" s="1275">
        <v>2027</v>
      </c>
      <c r="AL7" s="1276"/>
      <c r="AM7" s="1276"/>
      <c r="AN7" s="1280"/>
      <c r="AO7" s="1308"/>
      <c r="AP7" s="1308"/>
    </row>
    <row r="8" spans="2:45" ht="14.25" customHeight="1" x14ac:dyDescent="0.25">
      <c r="B8" s="1273"/>
      <c r="C8" s="1274"/>
      <c r="D8" s="214" t="s">
        <v>281</v>
      </c>
      <c r="E8" s="214" t="s">
        <v>282</v>
      </c>
      <c r="F8" s="215" t="s">
        <v>283</v>
      </c>
      <c r="G8" s="215" t="s">
        <v>238</v>
      </c>
      <c r="H8" s="221" t="s">
        <v>281</v>
      </c>
      <c r="I8" s="215" t="s">
        <v>282</v>
      </c>
      <c r="J8" s="215" t="s">
        <v>283</v>
      </c>
      <c r="K8" s="215" t="s">
        <v>238</v>
      </c>
      <c r="L8" s="215" t="s">
        <v>281</v>
      </c>
      <c r="M8" s="214" t="s">
        <v>282</v>
      </c>
      <c r="N8" s="215" t="s">
        <v>283</v>
      </c>
      <c r="O8" s="215" t="s">
        <v>238</v>
      </c>
      <c r="P8" s="215" t="s">
        <v>281</v>
      </c>
      <c r="Q8" s="214" t="s">
        <v>282</v>
      </c>
      <c r="R8" s="215" t="s">
        <v>283</v>
      </c>
      <c r="S8" s="215" t="s">
        <v>238</v>
      </c>
      <c r="T8" s="215" t="s">
        <v>281</v>
      </c>
      <c r="U8" s="275" t="s">
        <v>282</v>
      </c>
      <c r="V8" s="276" t="s">
        <v>283</v>
      </c>
      <c r="W8" s="276" t="s">
        <v>238</v>
      </c>
      <c r="X8" s="274" t="s">
        <v>281</v>
      </c>
      <c r="Y8" s="275" t="s">
        <v>282</v>
      </c>
      <c r="Z8" s="281" t="s">
        <v>283</v>
      </c>
      <c r="AA8" s="276" t="s">
        <v>238</v>
      </c>
      <c r="AB8" s="274" t="s">
        <v>281</v>
      </c>
      <c r="AC8" s="275" t="s">
        <v>282</v>
      </c>
      <c r="AD8" s="260" t="s">
        <v>283</v>
      </c>
      <c r="AE8" s="262" t="s">
        <v>238</v>
      </c>
      <c r="AF8" s="262" t="s">
        <v>281</v>
      </c>
      <c r="AG8" s="288" t="s">
        <v>282</v>
      </c>
      <c r="AH8" s="262" t="s">
        <v>283</v>
      </c>
      <c r="AI8" s="262" t="s">
        <v>238</v>
      </c>
      <c r="AJ8" s="290" t="s">
        <v>281</v>
      </c>
      <c r="AK8" s="288" t="s">
        <v>282</v>
      </c>
      <c r="AL8" s="262" t="s">
        <v>283</v>
      </c>
      <c r="AM8" s="262" t="s">
        <v>238</v>
      </c>
      <c r="AN8" s="290" t="s">
        <v>281</v>
      </c>
      <c r="AO8" s="1309"/>
      <c r="AP8" s="1309"/>
    </row>
    <row r="9" spans="2:45" ht="23.85" customHeight="1" x14ac:dyDescent="0.25">
      <c r="B9" s="354" t="s">
        <v>336</v>
      </c>
      <c r="C9" s="414" t="s">
        <v>337</v>
      </c>
      <c r="D9" s="366">
        <f>'Haver Pivoted'!GO32</f>
        <v>590.1</v>
      </c>
      <c r="E9" s="367">
        <f>'Haver Pivoted'!GP32</f>
        <v>591.20000000000005</v>
      </c>
      <c r="F9" s="367">
        <f>'Haver Pivoted'!GQ32</f>
        <v>610.70000000000005</v>
      </c>
      <c r="G9" s="367">
        <f>'Haver Pivoted'!GR32</f>
        <v>608.79999999999995</v>
      </c>
      <c r="H9" s="367">
        <f>'Haver Pivoted'!GS32</f>
        <v>625</v>
      </c>
      <c r="I9" s="367">
        <f>'Haver Pivoted'!GT32</f>
        <v>635</v>
      </c>
      <c r="J9" s="367">
        <f>'Haver Pivoted'!GU32</f>
        <v>1387</v>
      </c>
      <c r="K9" s="367">
        <f>'Haver Pivoted'!GV32</f>
        <v>734.9</v>
      </c>
      <c r="L9" s="367">
        <f>'Haver Pivoted'!GW32</f>
        <v>757.9</v>
      </c>
      <c r="M9" s="367">
        <f>'Haver Pivoted'!GX32</f>
        <v>777.7</v>
      </c>
      <c r="N9" s="367">
        <f>'Haver Pivoted'!GY32</f>
        <v>1640.8</v>
      </c>
      <c r="O9" s="367">
        <f>'Haver Pivoted'!GZ32</f>
        <v>1085.5999999999999</v>
      </c>
      <c r="P9" s="367">
        <f>'Haver Pivoted'!HA32</f>
        <v>936.3</v>
      </c>
      <c r="Q9" s="367">
        <f>'Haver Pivoted'!HB32</f>
        <v>930</v>
      </c>
      <c r="R9" s="367">
        <f>'Haver Pivoted'!HC32</f>
        <v>951.4</v>
      </c>
      <c r="S9" s="368">
        <f>'Haver Pivoted'!HD32</f>
        <v>956.4</v>
      </c>
      <c r="T9" s="368">
        <f>'Haver Pivoted'!HE32</f>
        <v>955.4</v>
      </c>
      <c r="U9" s="343">
        <f>'Haver Pivoted'!HF32</f>
        <v>977.7</v>
      </c>
      <c r="V9" s="343">
        <f>'Haver Pivoted'!HG32</f>
        <v>967.9</v>
      </c>
      <c r="W9" s="343">
        <f>'Haver Pivoted'!HH32</f>
        <v>915.6</v>
      </c>
      <c r="X9" s="343">
        <f>'Haver Pivoted'!HI32</f>
        <v>941.4</v>
      </c>
      <c r="Y9" s="343">
        <f>'Haver Pivoted'!HJ32</f>
        <v>941</v>
      </c>
      <c r="Z9" s="343">
        <f>'Haver Pivoted'!HK32</f>
        <v>949.1</v>
      </c>
      <c r="AA9" s="343">
        <f>'Haver Pivoted'!HL32</f>
        <v>981.6</v>
      </c>
      <c r="AB9" s="343">
        <f>'Haver Pivoted'!HM32</f>
        <v>981.1</v>
      </c>
      <c r="AC9" s="343">
        <f>'Haver Pivoted'!HN32</f>
        <v>953.1</v>
      </c>
      <c r="AD9" s="345">
        <f>AD10+AD11</f>
        <v>972.84719925926731</v>
      </c>
      <c r="AE9" s="345">
        <f>AE10+AE11</f>
        <v>964.70081118285646</v>
      </c>
      <c r="AF9" s="345">
        <f>AF10+AF11</f>
        <v>977.32965474019784</v>
      </c>
      <c r="AG9" s="345">
        <f t="shared" ref="AG9:AM9" si="0">AG10+AG11</f>
        <v>988.37672776121462</v>
      </c>
      <c r="AH9" s="345">
        <f t="shared" si="0"/>
        <v>1005.0546853373164</v>
      </c>
      <c r="AI9" s="345">
        <f t="shared" si="0"/>
        <v>1019.2269767156522</v>
      </c>
      <c r="AJ9" s="345">
        <f t="shared" si="0"/>
        <v>1032.4188132331781</v>
      </c>
      <c r="AK9" s="345">
        <f t="shared" si="0"/>
        <v>1045.9779739654791</v>
      </c>
      <c r="AL9" s="345">
        <f t="shared" si="0"/>
        <v>1060.43630852925</v>
      </c>
      <c r="AM9" s="345">
        <f t="shared" si="0"/>
        <v>1074.5233965906398</v>
      </c>
      <c r="AN9" s="345" t="e">
        <f>AN10+AN11</f>
        <v>#DIV/0!</v>
      </c>
      <c r="AO9" s="385"/>
      <c r="AP9" s="415"/>
    </row>
    <row r="10" spans="2:45" ht="27.6" customHeight="1" x14ac:dyDescent="0.25">
      <c r="B10" s="421" t="s">
        <v>133</v>
      </c>
      <c r="C10" s="234" t="s">
        <v>338</v>
      </c>
      <c r="D10" s="372">
        <f>'Haver Pivoted'!GO40</f>
        <v>391.92099999999999</v>
      </c>
      <c r="E10" s="54">
        <f>'Haver Pivoted'!GP40</f>
        <v>405.36799999999999</v>
      </c>
      <c r="F10" s="54">
        <f>'Haver Pivoted'!GQ40</f>
        <v>414.19600000000003</v>
      </c>
      <c r="G10" s="54">
        <f>'Haver Pivoted'!GR40</f>
        <v>418.68599999999998</v>
      </c>
      <c r="H10" s="54">
        <f>'Haver Pivoted'!GS40</f>
        <v>416.185</v>
      </c>
      <c r="I10" s="54">
        <f>'Haver Pivoted'!GT40</f>
        <v>422.89</v>
      </c>
      <c r="J10" s="54">
        <f>'Haver Pivoted'!GU40</f>
        <v>502.90600000000001</v>
      </c>
      <c r="K10" s="54">
        <f>'Haver Pivoted'!GV40</f>
        <v>484.48</v>
      </c>
      <c r="L10" s="54">
        <f>'Haver Pivoted'!GW40</f>
        <v>509.88400000000001</v>
      </c>
      <c r="M10" s="54">
        <f>'Haver Pivoted'!GX40</f>
        <v>499.42899999999997</v>
      </c>
      <c r="N10" s="54">
        <f>'Haver Pivoted'!GY40</f>
        <v>520.79</v>
      </c>
      <c r="O10" s="54">
        <f>'Haver Pivoted'!GZ40</f>
        <v>545.32600000000002</v>
      </c>
      <c r="P10" s="430">
        <f>'Haver Pivoted'!HA40</f>
        <v>567.61</v>
      </c>
      <c r="Q10" s="54">
        <f>'Haver Pivoted'!HB40</f>
        <v>589.92700000000002</v>
      </c>
      <c r="R10" s="54">
        <f>'Haver Pivoted'!HC40</f>
        <v>585.74599999999998</v>
      </c>
      <c r="S10" s="342">
        <f>'Haver Pivoted'!HD40</f>
        <v>617.88900000000001</v>
      </c>
      <c r="T10" s="342">
        <f>'Haver Pivoted'!HE40</f>
        <v>611.67999999999995</v>
      </c>
      <c r="U10" s="342">
        <f>'Haver Pivoted'!HF40</f>
        <v>632.66</v>
      </c>
      <c r="V10" s="342">
        <f>'Haver Pivoted'!HG40</f>
        <v>628.88699999999994</v>
      </c>
      <c r="W10" s="342">
        <f>'Haver Pivoted'!HH40</f>
        <v>585.98400000000004</v>
      </c>
      <c r="X10" s="342">
        <f>'Haver Pivoted'!HI40</f>
        <v>612.03399999999999</v>
      </c>
      <c r="Y10" s="342">
        <f>'Haver Pivoted'!HJ40</f>
        <v>618.72699999999998</v>
      </c>
      <c r="Z10" s="342">
        <f>'Haver Pivoted'!HK40</f>
        <v>628.15700000000004</v>
      </c>
      <c r="AA10" s="342">
        <f>'Haver Pivoted'!HL40</f>
        <v>641.23699999999997</v>
      </c>
      <c r="AB10" s="342">
        <f>'Haver Pivoted'!HM40</f>
        <v>655.17499999999995</v>
      </c>
      <c r="AC10" s="342">
        <f>'Haver Pivoted'!HN40</f>
        <v>647.03</v>
      </c>
      <c r="AD10" s="346">
        <f>Medicaid!AD29</f>
        <v>662.99467607709084</v>
      </c>
      <c r="AE10" s="346">
        <f>Medicaid!AE29</f>
        <v>676.71634748635768</v>
      </c>
      <c r="AF10" s="346">
        <f>Medicaid!AF29</f>
        <v>686.50756304311074</v>
      </c>
      <c r="AG10" s="346">
        <f>Medicaid!AG29</f>
        <v>694.68904776121451</v>
      </c>
      <c r="AH10" s="346">
        <f>Medicaid!AH29</f>
        <v>708.47318122785282</v>
      </c>
      <c r="AI10" s="346">
        <f>Medicaid!AI29</f>
        <v>719.72313447129341</v>
      </c>
      <c r="AJ10" s="346">
        <f>Medicaid!AJ29</f>
        <v>729.96383786820741</v>
      </c>
      <c r="AK10" s="346">
        <f>Medicaid!AK29</f>
        <v>740.54278676547904</v>
      </c>
      <c r="AL10" s="346">
        <f>Medicaid!AL29</f>
        <v>751.99154425540803</v>
      </c>
      <c r="AM10" s="346">
        <f>Medicaid!AM29</f>
        <v>763.0394006565067</v>
      </c>
      <c r="AN10" s="346" t="e">
        <f>Medicaid!AN29</f>
        <v>#DIV/0!</v>
      </c>
      <c r="AO10" s="358"/>
      <c r="AP10" s="404"/>
    </row>
    <row r="11" spans="2:45" ht="17.25" customHeight="1" x14ac:dyDescent="0.25">
      <c r="B11" s="245" t="s">
        <v>339</v>
      </c>
      <c r="C11" s="234"/>
      <c r="D11" s="372">
        <f t="shared" ref="D11:G11" si="1">D9-D10</f>
        <v>198.17900000000003</v>
      </c>
      <c r="E11" s="54">
        <f t="shared" si="1"/>
        <v>185.83200000000005</v>
      </c>
      <c r="F11" s="54">
        <f t="shared" si="1"/>
        <v>196.50400000000002</v>
      </c>
      <c r="G11" s="54">
        <f t="shared" si="1"/>
        <v>190.11399999999998</v>
      </c>
      <c r="H11" s="54">
        <f>H9-H10</f>
        <v>208.815</v>
      </c>
      <c r="I11" s="54">
        <f t="shared" ref="I11:N11" si="2">I9-I10</f>
        <v>212.11</v>
      </c>
      <c r="J11" s="54">
        <f t="shared" si="2"/>
        <v>884.09400000000005</v>
      </c>
      <c r="K11" s="54">
        <f t="shared" si="2"/>
        <v>250.41999999999996</v>
      </c>
      <c r="L11" s="54">
        <f t="shared" si="2"/>
        <v>248.01599999999996</v>
      </c>
      <c r="M11" s="54">
        <f t="shared" si="2"/>
        <v>278.27100000000007</v>
      </c>
      <c r="N11" s="54">
        <f t="shared" si="2"/>
        <v>1120.01</v>
      </c>
      <c r="O11" s="54">
        <f t="shared" ref="O11:T11" si="3">O9-O10</f>
        <v>540.27399999999989</v>
      </c>
      <c r="P11" s="430">
        <f t="shared" si="3"/>
        <v>368.68999999999994</v>
      </c>
      <c r="Q11" s="54">
        <f t="shared" si="3"/>
        <v>340.07299999999998</v>
      </c>
      <c r="R11" s="54">
        <f t="shared" si="3"/>
        <v>365.654</v>
      </c>
      <c r="S11" s="342">
        <f t="shared" si="3"/>
        <v>338.51099999999997</v>
      </c>
      <c r="T11" s="342">
        <f t="shared" si="3"/>
        <v>343.72</v>
      </c>
      <c r="U11" s="342">
        <f t="shared" ref="U11:Z11" si="4">U9-U10</f>
        <v>345.04000000000008</v>
      </c>
      <c r="V11" s="342">
        <f t="shared" si="4"/>
        <v>339.01300000000003</v>
      </c>
      <c r="W11" s="342">
        <f t="shared" si="4"/>
        <v>329.61599999999999</v>
      </c>
      <c r="X11" s="342">
        <f t="shared" si="4"/>
        <v>329.36599999999999</v>
      </c>
      <c r="Y11" s="342">
        <f t="shared" si="4"/>
        <v>322.27300000000002</v>
      </c>
      <c r="Z11" s="342">
        <f t="shared" si="4"/>
        <v>320.94299999999998</v>
      </c>
      <c r="AA11" s="342">
        <f t="shared" ref="AA11" si="5">AA9-AA10</f>
        <v>340.36300000000006</v>
      </c>
      <c r="AB11" s="342">
        <f>AB9-AB10</f>
        <v>325.92500000000007</v>
      </c>
      <c r="AC11" s="342">
        <f>AC9-AC10</f>
        <v>306.07000000000005</v>
      </c>
      <c r="AD11" s="346">
        <f t="shared" ref="AD11:AH11" si="6">SUM(AD12:AD20)</f>
        <v>309.85252318217647</v>
      </c>
      <c r="AE11" s="346">
        <f t="shared" si="6"/>
        <v>287.98446369649878</v>
      </c>
      <c r="AF11" s="346">
        <f t="shared" si="6"/>
        <v>290.82209169708716</v>
      </c>
      <c r="AG11" s="346">
        <f t="shared" si="6"/>
        <v>293.68768000000006</v>
      </c>
      <c r="AH11" s="346">
        <f t="shared" si="6"/>
        <v>296.58150410946354</v>
      </c>
      <c r="AI11" s="346">
        <f t="shared" ref="AI11:AM11" si="7">SUM(AI12:AI20)</f>
        <v>299.50384224435874</v>
      </c>
      <c r="AJ11" s="346">
        <f t="shared" si="7"/>
        <v>302.45497536497061</v>
      </c>
      <c r="AK11" s="346">
        <f t="shared" si="7"/>
        <v>305.43518720000003</v>
      </c>
      <c r="AL11" s="346">
        <f t="shared" si="7"/>
        <v>308.44476427384205</v>
      </c>
      <c r="AM11" s="346">
        <f t="shared" si="7"/>
        <v>311.48399593413308</v>
      </c>
      <c r="AN11" s="346">
        <f>SUM(AN12:AN20)</f>
        <v>314.55317437956944</v>
      </c>
      <c r="AO11" s="358"/>
      <c r="AP11" s="404"/>
    </row>
    <row r="12" spans="2:45" ht="16.350000000000001" customHeight="1" x14ac:dyDescent="0.25">
      <c r="B12" s="363" t="s">
        <v>149</v>
      </c>
      <c r="C12" s="39" t="s">
        <v>340</v>
      </c>
      <c r="D12" s="425"/>
      <c r="E12" s="39"/>
      <c r="F12" s="39"/>
      <c r="G12" s="39"/>
      <c r="H12" s="54"/>
      <c r="I12" s="54"/>
      <c r="J12" s="54">
        <f>'Haver Pivoted'!GU56</f>
        <v>597.9</v>
      </c>
      <c r="K12" s="54"/>
      <c r="L12" s="54"/>
      <c r="M12" s="54"/>
      <c r="N12" s="54"/>
      <c r="O12" s="37">
        <v>0</v>
      </c>
      <c r="P12" s="235">
        <v>0</v>
      </c>
      <c r="Q12" s="37">
        <v>0</v>
      </c>
      <c r="R12" s="37">
        <v>0</v>
      </c>
      <c r="S12" s="37">
        <v>0</v>
      </c>
      <c r="T12" s="37">
        <v>0</v>
      </c>
      <c r="U12" s="37">
        <v>0</v>
      </c>
      <c r="V12" s="37">
        <v>0</v>
      </c>
      <c r="W12" s="37">
        <v>0</v>
      </c>
      <c r="X12" s="346">
        <v>0</v>
      </c>
      <c r="Y12" s="346">
        <v>0</v>
      </c>
      <c r="Z12" s="346">
        <v>0</v>
      </c>
      <c r="AA12" s="346">
        <v>0</v>
      </c>
      <c r="AB12" s="346">
        <v>0</v>
      </c>
      <c r="AC12" s="346">
        <v>0</v>
      </c>
      <c r="AD12" s="346">
        <v>0</v>
      </c>
      <c r="AE12" s="346"/>
      <c r="AF12" s="346"/>
      <c r="AG12" s="346"/>
      <c r="AH12" s="346"/>
      <c r="AI12" s="346"/>
      <c r="AJ12" s="346"/>
      <c r="AK12" s="346"/>
      <c r="AL12" s="346"/>
      <c r="AM12" s="346"/>
      <c r="AN12" s="346"/>
      <c r="AO12" s="358">
        <f t="shared" ref="AO12:AO17" si="8">SUM(I12:Y12)/4</f>
        <v>149.47499999999999</v>
      </c>
      <c r="AP12" s="404">
        <f>AO24</f>
        <v>150</v>
      </c>
    </row>
    <row r="13" spans="2:45" x14ac:dyDescent="0.25">
      <c r="B13" s="363" t="s">
        <v>150</v>
      </c>
      <c r="C13" s="39" t="s">
        <v>341</v>
      </c>
      <c r="D13" s="425"/>
      <c r="E13" s="39"/>
      <c r="F13" s="39"/>
      <c r="G13" s="39"/>
      <c r="H13" s="54"/>
      <c r="I13" s="54"/>
      <c r="J13" s="54">
        <f>'Haver Pivoted'!GU57</f>
        <v>28.4</v>
      </c>
      <c r="K13" s="54">
        <f>'Haver Pivoted'!GV57</f>
        <v>15.8</v>
      </c>
      <c r="L13" s="54">
        <f>'Haver Pivoted'!GW57</f>
        <v>15.2</v>
      </c>
      <c r="M13" s="54">
        <f>'Haver Pivoted'!GX57</f>
        <v>28.9</v>
      </c>
      <c r="N13" s="54">
        <f>'Haver Pivoted'!GY57</f>
        <v>67.599999999999994</v>
      </c>
      <c r="O13" s="54">
        <f>'Haver Pivoted'!GZ57</f>
        <v>80.7</v>
      </c>
      <c r="P13" s="430">
        <f>'Haver Pivoted'!HA57</f>
        <v>87.2</v>
      </c>
      <c r="Q13" s="54">
        <f>'Haver Pivoted'!HB57</f>
        <v>72.400000000000006</v>
      </c>
      <c r="R13" s="54">
        <f>'Haver Pivoted'!HC57</f>
        <v>85.9</v>
      </c>
      <c r="S13" s="342">
        <f>'Haver Pivoted'!HD57</f>
        <v>68.3</v>
      </c>
      <c r="T13" s="342">
        <f>'Haver Pivoted'!HE57</f>
        <v>64</v>
      </c>
      <c r="U13" s="344">
        <f>U25+U29+U35</f>
        <v>60.929333333333297</v>
      </c>
      <c r="V13" s="344">
        <f t="shared" ref="V13:AC13" si="9">V25+V29+V35</f>
        <v>60.929333333333297</v>
      </c>
      <c r="W13" s="344">
        <f>W25+W29+W35</f>
        <v>60.929333333333297</v>
      </c>
      <c r="X13" s="344">
        <f t="shared" si="9"/>
        <v>54.244333333333302</v>
      </c>
      <c r="Y13" s="344">
        <f t="shared" si="9"/>
        <v>50.911000000000001</v>
      </c>
      <c r="Z13" s="344">
        <f t="shared" si="9"/>
        <v>31.911000000000001</v>
      </c>
      <c r="AA13" s="344">
        <f t="shared" si="9"/>
        <v>31.911000000000001</v>
      </c>
      <c r="AB13" s="344">
        <f t="shared" si="9"/>
        <v>23.099</v>
      </c>
      <c r="AC13" s="344">
        <f t="shared" si="9"/>
        <v>23.099</v>
      </c>
      <c r="AD13" s="344">
        <f>AD25+AD29+AD35</f>
        <v>23.099</v>
      </c>
      <c r="AE13" s="344"/>
      <c r="AF13" s="344"/>
      <c r="AG13" s="344"/>
      <c r="AH13" s="344"/>
      <c r="AI13" s="344"/>
      <c r="AJ13" s="344"/>
      <c r="AK13" s="344"/>
      <c r="AL13" s="344"/>
      <c r="AM13" s="344"/>
      <c r="AN13" s="344"/>
      <c r="AO13" s="358">
        <f t="shared" si="8"/>
        <v>225.58583333333326</v>
      </c>
      <c r="AP13" s="404">
        <f>AO25+AO29+AO35</f>
        <v>225.76349999999994</v>
      </c>
      <c r="AQ13" s="43">
        <f>SUM(J13:R13)/4</f>
        <v>120.52500000000001</v>
      </c>
    </row>
    <row r="14" spans="2:45" x14ac:dyDescent="0.25">
      <c r="B14" s="363" t="s">
        <v>152</v>
      </c>
      <c r="C14" s="36" t="s">
        <v>306</v>
      </c>
      <c r="D14" s="360"/>
      <c r="E14" s="36"/>
      <c r="F14" s="36"/>
      <c r="G14" s="36"/>
      <c r="H14" s="54"/>
      <c r="I14" s="54"/>
      <c r="J14" s="54">
        <f>'Haver Pivoted'!GU58</f>
        <v>64.400000000000006</v>
      </c>
      <c r="K14" s="54">
        <f>'Haver Pivoted'!GV58</f>
        <v>23.4</v>
      </c>
      <c r="L14" s="54">
        <f>'Haver Pivoted'!GW58</f>
        <v>13.8</v>
      </c>
      <c r="M14" s="54">
        <f>'Haver Pivoted'!GX58</f>
        <v>12</v>
      </c>
      <c r="N14" s="54">
        <f>'Haver Pivoted'!GY58</f>
        <v>7.5</v>
      </c>
      <c r="O14" s="54">
        <f>'Haver Pivoted'!GZ58</f>
        <v>10.5</v>
      </c>
      <c r="P14" s="430">
        <f>'Haver Pivoted'!HA58</f>
        <v>18</v>
      </c>
      <c r="Q14" s="54">
        <f>'Haver Pivoted'!HB58</f>
        <v>15</v>
      </c>
      <c r="R14" s="54">
        <f>'Haver Pivoted'!HC58</f>
        <v>11.2</v>
      </c>
      <c r="S14" s="342">
        <f>'Haver Pivoted'!HD58</f>
        <v>7.5</v>
      </c>
      <c r="T14" s="342">
        <f>'Haver Pivoted'!HE58</f>
        <v>6.2</v>
      </c>
      <c r="U14" s="342">
        <f>'Haver Pivoted'!HF58</f>
        <v>0</v>
      </c>
      <c r="V14" s="342">
        <f>'Haver Pivoted'!HG58</f>
        <v>0</v>
      </c>
      <c r="W14" s="342">
        <f>'Haver Pivoted'!HH58</f>
        <v>0</v>
      </c>
      <c r="X14" s="342">
        <f>'Haver Pivoted'!HI58</f>
        <v>0</v>
      </c>
      <c r="Y14" s="342">
        <f>'Haver Pivoted'!HJ58</f>
        <v>0</v>
      </c>
      <c r="Z14" s="342">
        <f>'Haver Pivoted'!HK58</f>
        <v>0</v>
      </c>
      <c r="AA14" s="342">
        <f>'Haver Pivoted'!HL58</f>
        <v>0</v>
      </c>
      <c r="AB14" s="342">
        <f>'Haver Pivoted'!HM58</f>
        <v>0</v>
      </c>
      <c r="AC14" s="342">
        <f>'Haver Pivoted'!HN58</f>
        <v>0</v>
      </c>
      <c r="AD14" s="346">
        <f>'Provider Relief (expired)'!AD12</f>
        <v>0</v>
      </c>
      <c r="AE14" s="346"/>
      <c r="AF14" s="346"/>
      <c r="AG14" s="346"/>
      <c r="AH14" s="346"/>
      <c r="AI14" s="346"/>
      <c r="AJ14" s="346"/>
      <c r="AK14" s="346"/>
      <c r="AL14" s="346"/>
      <c r="AM14" s="346"/>
      <c r="AN14" s="346"/>
      <c r="AO14" s="358">
        <f t="shared" si="8"/>
        <v>47.375</v>
      </c>
      <c r="AP14" s="404">
        <f>AO26+AO30+AO36</f>
        <v>34.125000000000007</v>
      </c>
    </row>
    <row r="15" spans="2:45" ht="15.75" customHeight="1" x14ac:dyDescent="0.25">
      <c r="B15" s="363" t="s">
        <v>342</v>
      </c>
      <c r="C15" s="36"/>
      <c r="D15" s="360"/>
      <c r="E15" s="36"/>
      <c r="F15" s="36"/>
      <c r="G15" s="36"/>
      <c r="H15" s="54"/>
      <c r="I15" s="54"/>
      <c r="J15" s="54"/>
      <c r="K15" s="54"/>
      <c r="L15" s="54"/>
      <c r="M15" s="54">
        <f>M28</f>
        <v>9.6666666666666661</v>
      </c>
      <c r="N15" s="37">
        <f t="shared" ref="N15:AC15" si="10">N28</f>
        <v>9.6666666666666661</v>
      </c>
      <c r="O15" s="37">
        <f t="shared" si="10"/>
        <v>9.6666666666666661</v>
      </c>
      <c r="P15" s="235">
        <f>P28</f>
        <v>9.6666666666666661</v>
      </c>
      <c r="Q15" s="37">
        <f>Q28</f>
        <v>9.6666666666666661</v>
      </c>
      <c r="R15" s="37">
        <f t="shared" si="10"/>
        <v>9.6666666666666661</v>
      </c>
      <c r="S15" s="37">
        <f t="shared" si="10"/>
        <v>9.6666666666666661</v>
      </c>
      <c r="T15" s="37">
        <f t="shared" si="10"/>
        <v>9.6666666666666661</v>
      </c>
      <c r="U15" s="37">
        <f t="shared" si="10"/>
        <v>9.6666666666666661</v>
      </c>
      <c r="V15" s="37">
        <f t="shared" si="10"/>
        <v>9.6666666666666661</v>
      </c>
      <c r="W15" s="37">
        <f t="shared" si="10"/>
        <v>9.6666666666666661</v>
      </c>
      <c r="X15" s="346">
        <f t="shared" si="10"/>
        <v>9.6666666666666661</v>
      </c>
      <c r="Y15" s="346">
        <f t="shared" si="10"/>
        <v>0</v>
      </c>
      <c r="Z15" s="346">
        <f t="shared" si="10"/>
        <v>0</v>
      </c>
      <c r="AA15" s="346">
        <f t="shared" si="10"/>
        <v>0</v>
      </c>
      <c r="AB15" s="346">
        <f t="shared" si="10"/>
        <v>0</v>
      </c>
      <c r="AC15" s="346">
        <f t="shared" si="10"/>
        <v>0</v>
      </c>
      <c r="AD15" s="346">
        <f t="shared" ref="AD15" si="11">AD28</f>
        <v>0</v>
      </c>
      <c r="AE15" s="346"/>
      <c r="AF15" s="346"/>
      <c r="AG15" s="346"/>
      <c r="AH15" s="346"/>
      <c r="AI15" s="346"/>
      <c r="AJ15" s="346"/>
      <c r="AK15" s="346"/>
      <c r="AL15" s="346"/>
      <c r="AM15" s="346"/>
      <c r="AN15" s="346"/>
      <c r="AO15" s="358">
        <f t="shared" si="8"/>
        <v>29.000000000000004</v>
      </c>
      <c r="AP15" s="405">
        <f>AO28</f>
        <v>29.000000000000004</v>
      </c>
      <c r="AQ15" s="375" t="s">
        <v>343</v>
      </c>
      <c r="AR15" s="375"/>
      <c r="AS15" s="375"/>
    </row>
    <row r="16" spans="2:45" ht="31.35" customHeight="1" x14ac:dyDescent="0.25">
      <c r="B16" s="363" t="s">
        <v>344</v>
      </c>
      <c r="C16" s="36"/>
      <c r="D16" s="360"/>
      <c r="E16" s="36"/>
      <c r="F16" s="36"/>
      <c r="G16" s="36"/>
      <c r="H16" s="54"/>
      <c r="I16" s="54"/>
      <c r="J16" s="54"/>
      <c r="K16" s="54"/>
      <c r="L16" s="54"/>
      <c r="M16" s="54">
        <f>M32+M31</f>
        <v>12</v>
      </c>
      <c r="N16" s="37">
        <f>N32+N31</f>
        <v>12</v>
      </c>
      <c r="O16" s="37">
        <f>O32+O31</f>
        <v>12</v>
      </c>
      <c r="P16" s="235">
        <f t="shared" ref="P16:AC16" si="12">P32+P31</f>
        <v>12</v>
      </c>
      <c r="Q16" s="37">
        <f t="shared" si="12"/>
        <v>12</v>
      </c>
      <c r="R16" s="37">
        <f t="shared" si="12"/>
        <v>12</v>
      </c>
      <c r="S16" s="37">
        <f t="shared" si="12"/>
        <v>12</v>
      </c>
      <c r="T16" s="37">
        <f t="shared" si="12"/>
        <v>12</v>
      </c>
      <c r="U16" s="37">
        <f t="shared" si="12"/>
        <v>12</v>
      </c>
      <c r="V16" s="37">
        <f t="shared" si="12"/>
        <v>12</v>
      </c>
      <c r="W16" s="37">
        <f t="shared" si="12"/>
        <v>12</v>
      </c>
      <c r="X16" s="346">
        <f t="shared" si="12"/>
        <v>12</v>
      </c>
      <c r="Y16" s="346">
        <f t="shared" si="12"/>
        <v>0</v>
      </c>
      <c r="Z16" s="346">
        <f t="shared" si="12"/>
        <v>0</v>
      </c>
      <c r="AA16" s="346">
        <f t="shared" si="12"/>
        <v>0</v>
      </c>
      <c r="AB16" s="346">
        <f t="shared" si="12"/>
        <v>0</v>
      </c>
      <c r="AC16" s="346">
        <f t="shared" si="12"/>
        <v>0</v>
      </c>
      <c r="AD16" s="346">
        <f t="shared" ref="AD16" si="13">AD32+AD31</f>
        <v>0</v>
      </c>
      <c r="AE16" s="346"/>
      <c r="AF16" s="346"/>
      <c r="AG16" s="346"/>
      <c r="AH16" s="346"/>
      <c r="AI16" s="346"/>
      <c r="AJ16" s="346"/>
      <c r="AK16" s="346"/>
      <c r="AL16" s="346"/>
      <c r="AM16" s="346"/>
      <c r="AN16" s="346"/>
      <c r="AO16" s="358">
        <f t="shared" si="8"/>
        <v>36</v>
      </c>
      <c r="AP16" s="404">
        <f>SUM(AO31:AO32)+AO37</f>
        <v>130.3365</v>
      </c>
      <c r="AQ16" s="375" t="s">
        <v>345</v>
      </c>
      <c r="AR16" s="375"/>
      <c r="AS16" s="375"/>
    </row>
    <row r="17" spans="1:45" x14ac:dyDescent="0.25">
      <c r="B17" s="363" t="s">
        <v>346</v>
      </c>
      <c r="C17" s="36"/>
      <c r="D17" s="360"/>
      <c r="E17" s="36"/>
      <c r="F17" s="36"/>
      <c r="G17" s="36"/>
      <c r="H17" s="54"/>
      <c r="I17" s="54"/>
      <c r="J17" s="54"/>
      <c r="K17" s="54"/>
      <c r="L17" s="54"/>
      <c r="M17" s="54"/>
      <c r="N17" s="37">
        <f>N37</f>
        <v>59.256</v>
      </c>
      <c r="O17" s="37">
        <f>O37</f>
        <v>59.256</v>
      </c>
      <c r="P17" s="235">
        <f>P37</f>
        <v>35.671000000000006</v>
      </c>
      <c r="Q17" s="37">
        <f>Q37</f>
        <v>35.671000000000006</v>
      </c>
      <c r="R17" s="37">
        <f t="shared" ref="R17:AC17" si="14">R37</f>
        <v>35.671000000000006</v>
      </c>
      <c r="S17" s="37">
        <f t="shared" si="14"/>
        <v>35.671000000000006</v>
      </c>
      <c r="T17" s="37">
        <f t="shared" si="14"/>
        <v>24.216000000000001</v>
      </c>
      <c r="U17" s="37">
        <f t="shared" si="14"/>
        <v>24.216000000000001</v>
      </c>
      <c r="V17" s="37">
        <f t="shared" si="14"/>
        <v>24.216000000000001</v>
      </c>
      <c r="W17" s="37">
        <f t="shared" si="14"/>
        <v>24.216000000000001</v>
      </c>
      <c r="X17" s="346">
        <f t="shared" si="14"/>
        <v>9.6430000000000007</v>
      </c>
      <c r="Y17" s="346">
        <f t="shared" si="14"/>
        <v>9.6430000000000007</v>
      </c>
      <c r="Z17" s="346">
        <f t="shared" si="14"/>
        <v>9.6430000000000007</v>
      </c>
      <c r="AA17" s="346">
        <f t="shared" si="14"/>
        <v>9.6430000000000007</v>
      </c>
      <c r="AB17" s="346">
        <f t="shared" si="14"/>
        <v>4.5789999999999997</v>
      </c>
      <c r="AC17" s="346">
        <f t="shared" si="14"/>
        <v>4.5789999999999997</v>
      </c>
      <c r="AD17" s="346">
        <f>AD37</f>
        <v>4.5789999999999997</v>
      </c>
      <c r="AE17" s="346"/>
      <c r="AF17" s="346"/>
      <c r="AG17" s="346"/>
      <c r="AH17" s="346"/>
      <c r="AI17" s="346"/>
      <c r="AJ17" s="346"/>
      <c r="AK17" s="346"/>
      <c r="AL17" s="346"/>
      <c r="AM17" s="346"/>
      <c r="AN17" s="346"/>
      <c r="AO17" s="358">
        <f t="shared" si="8"/>
        <v>94.336500000000001</v>
      </c>
      <c r="AP17" s="404"/>
      <c r="AQ17" s="375"/>
      <c r="AR17" s="375"/>
      <c r="AS17" s="375"/>
    </row>
    <row r="18" spans="1:45" ht="54" customHeight="1" x14ac:dyDescent="0.25">
      <c r="B18" s="411" t="s">
        <v>778</v>
      </c>
      <c r="C18" s="36"/>
      <c r="D18" s="360"/>
      <c r="E18" s="36"/>
      <c r="F18" s="36"/>
      <c r="G18" s="36"/>
      <c r="H18" s="54"/>
      <c r="I18" s="54"/>
      <c r="J18" s="54"/>
      <c r="K18" s="54"/>
      <c r="L18" s="54"/>
      <c r="M18" s="54"/>
      <c r="N18" s="37">
        <v>-40</v>
      </c>
      <c r="O18" s="37">
        <v>-40</v>
      </c>
      <c r="P18" s="235">
        <f>-51</f>
        <v>-51</v>
      </c>
      <c r="Q18" s="37">
        <f>-51</f>
        <v>-51</v>
      </c>
      <c r="R18" s="37">
        <v>-51</v>
      </c>
      <c r="S18" s="37">
        <f>-51</f>
        <v>-51</v>
      </c>
      <c r="T18" s="37">
        <v>0</v>
      </c>
      <c r="U18" s="37">
        <v>0</v>
      </c>
      <c r="V18" s="37">
        <v>0</v>
      </c>
      <c r="W18" s="37">
        <v>0</v>
      </c>
      <c r="X18" s="346">
        <v>-4</v>
      </c>
      <c r="Y18" s="346">
        <v>-4</v>
      </c>
      <c r="Z18" s="346">
        <v>-4</v>
      </c>
      <c r="AA18" s="346">
        <v>-4</v>
      </c>
      <c r="AB18" s="346">
        <v>-4</v>
      </c>
      <c r="AC18" s="346">
        <v>-4</v>
      </c>
      <c r="AD18" s="346">
        <v>-3</v>
      </c>
      <c r="AE18" s="346">
        <v>0</v>
      </c>
      <c r="AF18" s="346">
        <v>0</v>
      </c>
      <c r="AG18" s="346">
        <v>0</v>
      </c>
      <c r="AH18" s="346">
        <v>0</v>
      </c>
      <c r="AI18" s="346">
        <v>0</v>
      </c>
      <c r="AJ18" s="346">
        <v>0</v>
      </c>
      <c r="AK18" s="346">
        <v>0</v>
      </c>
      <c r="AL18" s="346">
        <v>0</v>
      </c>
      <c r="AM18" s="346">
        <v>0</v>
      </c>
      <c r="AN18" s="346">
        <v>0</v>
      </c>
      <c r="AO18" s="358"/>
      <c r="AP18" s="404"/>
      <c r="AQ18" s="375"/>
      <c r="AR18" s="375"/>
      <c r="AS18" s="375"/>
    </row>
    <row r="19" spans="1:45" ht="15.75" customHeight="1" x14ac:dyDescent="0.25">
      <c r="B19" s="363" t="s">
        <v>347</v>
      </c>
      <c r="C19" s="39" t="s">
        <v>348</v>
      </c>
      <c r="D19" s="360"/>
      <c r="E19" s="36"/>
      <c r="F19" s="36"/>
      <c r="G19" s="36"/>
      <c r="H19" s="54"/>
      <c r="I19" s="54"/>
      <c r="J19" s="54"/>
      <c r="K19" s="54">
        <f>'Haver Pivoted'!GV56</f>
        <v>0</v>
      </c>
      <c r="L19" s="54">
        <f>'Haver Pivoted'!GW56</f>
        <v>0</v>
      </c>
      <c r="M19" s="54">
        <f>'Haver Pivoted'!GX56</f>
        <v>0</v>
      </c>
      <c r="N19" s="54">
        <f>'Haver Pivoted'!GY56</f>
        <v>785.9</v>
      </c>
      <c r="O19" s="54">
        <f>'Haver Pivoted'!GZ56</f>
        <v>187.9</v>
      </c>
      <c r="P19" s="430">
        <f>'Haver Pivoted'!HA56</f>
        <v>9.1999999999999993</v>
      </c>
      <c r="Q19" s="54">
        <f>'Haver Pivoted'!HB56</f>
        <v>0.6</v>
      </c>
      <c r="R19" s="54">
        <f>'Haver Pivoted'!HC56</f>
        <v>0</v>
      </c>
      <c r="S19" s="342">
        <f>'Haver Pivoted'!HD56</f>
        <v>0</v>
      </c>
      <c r="T19" s="342">
        <f>'Haver Pivoted'!HE56</f>
        <v>0</v>
      </c>
      <c r="U19" s="342">
        <f>'Haver Pivoted'!HF56</f>
        <v>0</v>
      </c>
      <c r="V19" s="342">
        <f>'Haver Pivoted'!HG56</f>
        <v>0</v>
      </c>
      <c r="W19" s="342">
        <f>'Haver Pivoted'!HH56</f>
        <v>0</v>
      </c>
      <c r="X19" s="342">
        <f>'Haver Pivoted'!HI56</f>
        <v>0</v>
      </c>
      <c r="Y19" s="342">
        <f>'Haver Pivoted'!HJ56</f>
        <v>0</v>
      </c>
      <c r="Z19" s="342">
        <f>'Haver Pivoted'!HK56</f>
        <v>0</v>
      </c>
      <c r="AA19" s="342">
        <f>'Haver Pivoted'!HL56</f>
        <v>0</v>
      </c>
      <c r="AB19" s="342">
        <f>'Haver Pivoted'!HM56</f>
        <v>0</v>
      </c>
      <c r="AC19" s="342">
        <f>'Haver Pivoted'!HN56</f>
        <v>0</v>
      </c>
      <c r="AD19" s="339">
        <f t="shared" ref="AD19" si="15">AD34</f>
        <v>0</v>
      </c>
      <c r="AE19" s="339">
        <v>0</v>
      </c>
      <c r="AF19" s="339">
        <v>0</v>
      </c>
      <c r="AG19" s="339">
        <v>0</v>
      </c>
      <c r="AH19" s="339">
        <v>0</v>
      </c>
      <c r="AI19" s="339">
        <v>0</v>
      </c>
      <c r="AJ19" s="339">
        <v>0</v>
      </c>
      <c r="AK19" s="339">
        <v>0</v>
      </c>
      <c r="AL19" s="339">
        <v>0</v>
      </c>
      <c r="AM19" s="339">
        <v>0</v>
      </c>
      <c r="AN19" s="339">
        <v>0</v>
      </c>
      <c r="AO19" s="358">
        <f>SUM(I19:Y19)/4</f>
        <v>245.9</v>
      </c>
      <c r="AP19" s="404">
        <f>AO34</f>
        <v>362.04999999999995</v>
      </c>
      <c r="AQ19" s="396"/>
      <c r="AS19" s="375"/>
    </row>
    <row r="20" spans="1:45" ht="15.75" customHeight="1" x14ac:dyDescent="0.25">
      <c r="A20" s="377"/>
      <c r="B20" s="376" t="s">
        <v>349</v>
      </c>
      <c r="C20" s="388"/>
      <c r="D20" s="386">
        <f t="shared" ref="D20:T20" si="16">D11-SUM(D12:D19)</f>
        <v>198.17900000000003</v>
      </c>
      <c r="E20" s="388">
        <f t="shared" si="16"/>
        <v>185.83200000000005</v>
      </c>
      <c r="F20" s="388">
        <f t="shared" si="16"/>
        <v>196.50400000000002</v>
      </c>
      <c r="G20" s="388">
        <f t="shared" si="16"/>
        <v>190.11399999999998</v>
      </c>
      <c r="H20" s="388">
        <f t="shared" si="16"/>
        <v>208.815</v>
      </c>
      <c r="I20" s="388">
        <f t="shared" si="16"/>
        <v>212.11</v>
      </c>
      <c r="J20" s="388">
        <f t="shared" si="16"/>
        <v>193.39400000000012</v>
      </c>
      <c r="K20" s="388">
        <f t="shared" si="16"/>
        <v>211.21999999999997</v>
      </c>
      <c r="L20" s="388">
        <f t="shared" si="16"/>
        <v>219.01599999999996</v>
      </c>
      <c r="M20" s="388">
        <f t="shared" si="16"/>
        <v>215.70433333333341</v>
      </c>
      <c r="N20" s="388">
        <f t="shared" si="16"/>
        <v>218.08733333333339</v>
      </c>
      <c r="O20" s="388">
        <f t="shared" si="16"/>
        <v>220.25133333333321</v>
      </c>
      <c r="P20" s="329">
        <f t="shared" si="16"/>
        <v>247.95233333333329</v>
      </c>
      <c r="Q20" s="388">
        <f t="shared" si="16"/>
        <v>245.7353333333333</v>
      </c>
      <c r="R20" s="388">
        <f t="shared" si="16"/>
        <v>262.2163333333333</v>
      </c>
      <c r="S20" s="365">
        <f t="shared" si="16"/>
        <v>256.37333333333328</v>
      </c>
      <c r="T20" s="365">
        <f t="shared" si="16"/>
        <v>227.63733333333334</v>
      </c>
      <c r="U20" s="365">
        <f t="shared" ref="U20:Z20" si="17">U11-SUM(U12:U19)</f>
        <v>238.22800000000012</v>
      </c>
      <c r="V20" s="365">
        <f t="shared" si="17"/>
        <v>232.20100000000008</v>
      </c>
      <c r="W20" s="365">
        <f t="shared" si="17"/>
        <v>222.80400000000003</v>
      </c>
      <c r="X20" s="365">
        <f t="shared" si="17"/>
        <v>247.81200000000001</v>
      </c>
      <c r="Y20" s="365">
        <f t="shared" si="17"/>
        <v>265.71900000000005</v>
      </c>
      <c r="Z20" s="365">
        <f t="shared" si="17"/>
        <v>283.38900000000001</v>
      </c>
      <c r="AA20" s="365">
        <f>AA11-SUM(AA12:AA19)</f>
        <v>302.80900000000008</v>
      </c>
      <c r="AB20" s="365">
        <f>AB11-SUM(AB12:AB19)</f>
        <v>302.24700000000007</v>
      </c>
      <c r="AC20" s="365">
        <f>AC11-SUM(AC12:AC19)</f>
        <v>282.39200000000005</v>
      </c>
      <c r="AD20" s="260">
        <f>AC20*(1.04)^0.25</f>
        <v>285.17452318217647</v>
      </c>
      <c r="AE20" s="260">
        <f t="shared" ref="AE20:AI20" si="18">AD20*(1.04)^0.25</f>
        <v>287.98446369649878</v>
      </c>
      <c r="AF20" s="260">
        <f>AE20*(1.04)^0.25</f>
        <v>290.82209169708716</v>
      </c>
      <c r="AG20" s="260">
        <f t="shared" si="18"/>
        <v>293.68768000000006</v>
      </c>
      <c r="AH20" s="260">
        <f t="shared" si="18"/>
        <v>296.58150410946354</v>
      </c>
      <c r="AI20" s="260">
        <f t="shared" si="18"/>
        <v>299.50384224435874</v>
      </c>
      <c r="AJ20" s="260">
        <f>AI20*(1.04)^0.25</f>
        <v>302.45497536497061</v>
      </c>
      <c r="AK20" s="260">
        <f>AJ20*(1.04)^0.25</f>
        <v>305.43518720000003</v>
      </c>
      <c r="AL20" s="260">
        <f>AK20*(1.04)^0.25</f>
        <v>308.44476427384205</v>
      </c>
      <c r="AM20" s="260">
        <f>AL20*(1.04)^0.25</f>
        <v>311.48399593413308</v>
      </c>
      <c r="AN20" s="260">
        <f>AM20*(1.04)^0.25</f>
        <v>314.55317437956944</v>
      </c>
      <c r="AO20" s="409"/>
      <c r="AP20" s="406"/>
      <c r="AQ20" s="375" t="s">
        <v>350</v>
      </c>
      <c r="AR20" s="375"/>
      <c r="AS20" s="375"/>
    </row>
    <row r="21" spans="1:45" ht="15.75" customHeight="1" x14ac:dyDescent="0.25">
      <c r="A21" s="6"/>
      <c r="B21" s="348"/>
      <c r="C21" s="36"/>
      <c r="D21" s="36"/>
      <c r="E21" s="36"/>
      <c r="F21" s="36"/>
      <c r="G21" s="36"/>
      <c r="H21" s="36"/>
      <c r="I21" s="36"/>
      <c r="J21" s="36"/>
      <c r="K21" s="36"/>
      <c r="L21" s="36"/>
      <c r="M21" s="36"/>
      <c r="N21" s="36"/>
      <c r="O21" s="36"/>
      <c r="P21" s="380"/>
      <c r="Q21" s="36"/>
      <c r="R21" s="36"/>
      <c r="AO21" s="235"/>
      <c r="AP21" s="380"/>
      <c r="AQ21" s="375"/>
      <c r="AR21" s="375"/>
      <c r="AS21" s="375"/>
    </row>
    <row r="22" spans="1:45" ht="27" customHeight="1" x14ac:dyDescent="0.25">
      <c r="B22" s="1301" t="s">
        <v>352</v>
      </c>
      <c r="C22" s="1302"/>
      <c r="D22" s="1302"/>
      <c r="E22" s="1302"/>
      <c r="F22" s="1302"/>
      <c r="G22" s="1302"/>
      <c r="H22" s="1302"/>
      <c r="I22" s="1302"/>
      <c r="J22" s="1302"/>
      <c r="K22" s="1302"/>
      <c r="L22" s="1302"/>
      <c r="M22" s="1302"/>
      <c r="N22" s="1302"/>
      <c r="O22" s="1302"/>
      <c r="P22" s="1302"/>
      <c r="Q22" s="1302"/>
      <c r="R22" s="1302"/>
      <c r="S22" s="1302"/>
      <c r="T22" s="1302"/>
      <c r="U22" s="1302"/>
      <c r="V22" s="1302"/>
      <c r="W22" s="1302"/>
      <c r="X22" s="1302"/>
      <c r="Y22" s="1302"/>
      <c r="Z22" s="1302"/>
      <c r="AA22" s="1302"/>
      <c r="AB22" s="1302"/>
      <c r="AC22" s="1302"/>
      <c r="AD22" s="319"/>
      <c r="AE22" s="319"/>
      <c r="AF22" s="319"/>
      <c r="AG22" s="319"/>
      <c r="AH22" s="319"/>
      <c r="AI22" s="319"/>
      <c r="AJ22" s="319"/>
      <c r="AK22" s="319"/>
      <c r="AL22" s="319"/>
      <c r="AM22" s="319"/>
      <c r="AN22" s="319"/>
      <c r="AO22" s="351" t="s">
        <v>334</v>
      </c>
      <c r="AP22" s="407"/>
    </row>
    <row r="23" spans="1:45" ht="17.850000000000001" customHeight="1" x14ac:dyDescent="0.25">
      <c r="B23" s="413" t="s">
        <v>353</v>
      </c>
      <c r="C23" s="36"/>
      <c r="D23" s="360"/>
      <c r="E23" s="36"/>
      <c r="F23" s="36"/>
      <c r="G23" s="36"/>
      <c r="H23" s="37"/>
      <c r="I23" s="37"/>
      <c r="J23" s="334">
        <f>SUM(J24:J26)</f>
        <v>692.8</v>
      </c>
      <c r="K23" s="334">
        <f t="shared" ref="K23:P23" si="19">SUM(K24:K26)</f>
        <v>39.200000000000003</v>
      </c>
      <c r="L23" s="334">
        <f t="shared" si="19"/>
        <v>29</v>
      </c>
      <c r="M23" s="334">
        <f t="shared" si="19"/>
        <v>27</v>
      </c>
      <c r="N23" s="334">
        <f t="shared" si="19"/>
        <v>18</v>
      </c>
      <c r="O23" s="334">
        <f t="shared" si="19"/>
        <v>0</v>
      </c>
      <c r="P23" s="231">
        <f t="shared" si="19"/>
        <v>0</v>
      </c>
      <c r="Q23" s="334"/>
      <c r="R23" s="334"/>
      <c r="S23" s="334"/>
      <c r="T23" s="339"/>
      <c r="U23" s="339"/>
      <c r="V23" s="339"/>
      <c r="W23" s="339"/>
      <c r="X23" s="339"/>
      <c r="Y23" s="339"/>
      <c r="Z23" s="339"/>
      <c r="AA23" s="339"/>
      <c r="AB23" s="339"/>
      <c r="AC23" s="339"/>
      <c r="AD23" s="339"/>
      <c r="AE23" s="339"/>
      <c r="AF23" s="339"/>
      <c r="AG23" s="339"/>
      <c r="AH23" s="339"/>
      <c r="AI23" s="339"/>
      <c r="AJ23" s="339"/>
      <c r="AK23" s="339"/>
      <c r="AL23" s="339"/>
      <c r="AM23" s="339"/>
      <c r="AN23" s="339"/>
      <c r="AO23" s="358">
        <f t="shared" ref="AO23:AO36" si="20">SUM(I23:Y23)/4</f>
        <v>201.5</v>
      </c>
      <c r="AP23" s="1305" t="s">
        <v>354</v>
      </c>
      <c r="AQ23" s="1306"/>
    </row>
    <row r="24" spans="1:45" x14ac:dyDescent="0.25">
      <c r="B24" s="378" t="s">
        <v>149</v>
      </c>
      <c r="C24" s="36"/>
      <c r="D24" s="360"/>
      <c r="E24" s="36"/>
      <c r="F24" s="36"/>
      <c r="G24" s="36"/>
      <c r="H24" s="37"/>
      <c r="I24" s="37"/>
      <c r="J24" s="334">
        <f>C44*4</f>
        <v>600</v>
      </c>
      <c r="K24" s="334"/>
      <c r="L24" s="334"/>
      <c r="M24" s="334"/>
      <c r="N24" s="334"/>
      <c r="O24" s="334"/>
      <c r="P24" s="231"/>
      <c r="Q24" s="334"/>
      <c r="R24" s="334"/>
      <c r="S24" s="334"/>
      <c r="T24" s="339"/>
      <c r="U24" s="339"/>
      <c r="V24" s="339"/>
      <c r="W24" s="339"/>
      <c r="X24" s="339"/>
      <c r="Y24" s="339"/>
      <c r="Z24" s="339"/>
      <c r="AA24" s="339"/>
      <c r="AB24" s="339"/>
      <c r="AC24" s="339"/>
      <c r="AD24" s="339"/>
      <c r="AE24" s="339"/>
      <c r="AF24" s="339"/>
      <c r="AG24" s="339"/>
      <c r="AH24" s="339"/>
      <c r="AI24" s="339"/>
      <c r="AJ24" s="339"/>
      <c r="AK24" s="339"/>
      <c r="AL24" s="339"/>
      <c r="AM24" s="339"/>
      <c r="AN24" s="339"/>
      <c r="AO24" s="358">
        <f t="shared" si="20"/>
        <v>150</v>
      </c>
      <c r="AP24" s="334"/>
    </row>
    <row r="25" spans="1:45" ht="15" customHeight="1" x14ac:dyDescent="0.25">
      <c r="B25" s="378" t="s">
        <v>150</v>
      </c>
      <c r="C25" s="36"/>
      <c r="D25" s="360"/>
      <c r="E25" s="36"/>
      <c r="F25" s="36"/>
      <c r="G25" s="36"/>
      <c r="H25" s="37"/>
      <c r="I25" s="37"/>
      <c r="J25" s="334">
        <v>28.4</v>
      </c>
      <c r="K25" s="334">
        <v>15.8</v>
      </c>
      <c r="L25" s="334">
        <v>15.2</v>
      </c>
      <c r="M25" s="334">
        <v>10.9</v>
      </c>
      <c r="N25" s="334">
        <v>18</v>
      </c>
      <c r="O25" s="334"/>
      <c r="P25" s="231"/>
      <c r="Q25" s="334"/>
      <c r="R25" s="334"/>
      <c r="S25" s="334">
        <v>20</v>
      </c>
      <c r="T25" s="374">
        <v>10</v>
      </c>
      <c r="U25" s="339"/>
      <c r="V25" s="339"/>
      <c r="W25" s="339"/>
      <c r="X25" s="339"/>
      <c r="Y25" s="339"/>
      <c r="Z25" s="339"/>
      <c r="AA25" s="339"/>
      <c r="AB25" s="339"/>
      <c r="AC25" s="339"/>
      <c r="AD25" s="339"/>
      <c r="AE25" s="339"/>
      <c r="AF25" s="339"/>
      <c r="AG25" s="339"/>
      <c r="AH25" s="339"/>
      <c r="AI25" s="339"/>
      <c r="AJ25" s="339"/>
      <c r="AK25" s="339"/>
      <c r="AL25" s="339"/>
      <c r="AM25" s="339"/>
      <c r="AN25" s="339"/>
      <c r="AO25" s="358">
        <f t="shared" si="20"/>
        <v>29.575000000000003</v>
      </c>
      <c r="AP25" s="334"/>
    </row>
    <row r="26" spans="1:45" x14ac:dyDescent="0.25">
      <c r="B26" s="378" t="s">
        <v>152</v>
      </c>
      <c r="C26" s="36"/>
      <c r="D26" s="360"/>
      <c r="E26" s="36"/>
      <c r="F26" s="36"/>
      <c r="G26" s="36"/>
      <c r="H26" s="37"/>
      <c r="I26" s="37"/>
      <c r="J26" s="234">
        <v>64.400000000000006</v>
      </c>
      <c r="K26" s="234">
        <v>23.4</v>
      </c>
      <c r="L26" s="234">
        <v>13.8</v>
      </c>
      <c r="M26" s="234">
        <v>16.100000000000001</v>
      </c>
      <c r="N26" s="334"/>
      <c r="O26" s="334"/>
      <c r="P26" s="231"/>
      <c r="Q26" s="334"/>
      <c r="R26" s="334"/>
      <c r="S26" s="334"/>
      <c r="T26" s="339"/>
      <c r="U26" s="339"/>
      <c r="V26" s="339"/>
      <c r="W26" s="339"/>
      <c r="X26" s="339"/>
      <c r="Y26" s="339"/>
      <c r="Z26" s="339"/>
      <c r="AA26" s="339"/>
      <c r="AB26" s="339"/>
      <c r="AC26" s="339"/>
      <c r="AD26" s="339"/>
      <c r="AE26" s="339"/>
      <c r="AF26" s="339"/>
      <c r="AG26" s="339"/>
      <c r="AH26" s="339"/>
      <c r="AI26" s="339"/>
      <c r="AJ26" s="339"/>
      <c r="AK26" s="339"/>
      <c r="AL26" s="339"/>
      <c r="AM26" s="339"/>
      <c r="AN26" s="339"/>
      <c r="AO26" s="358">
        <f t="shared" si="20"/>
        <v>29.425000000000004</v>
      </c>
      <c r="AP26" s="334"/>
    </row>
    <row r="27" spans="1:45" ht="16.5" customHeight="1" x14ac:dyDescent="0.25">
      <c r="B27" s="413" t="s">
        <v>355</v>
      </c>
      <c r="C27" s="36"/>
      <c r="D27" s="360"/>
      <c r="E27" s="36"/>
      <c r="F27" s="36"/>
      <c r="G27" s="36"/>
      <c r="H27" s="37"/>
      <c r="I27" s="37"/>
      <c r="J27" s="37"/>
      <c r="K27" s="37"/>
      <c r="L27" s="37"/>
      <c r="M27" s="334">
        <f>SUM(M28:M32)</f>
        <v>43</v>
      </c>
      <c r="N27" s="334">
        <f t="shared" ref="N27:AD27" si="21">SUM(N28:N32)</f>
        <v>70</v>
      </c>
      <c r="O27" s="334">
        <f t="shared" si="21"/>
        <v>59.999999999999964</v>
      </c>
      <c r="P27" s="231">
        <f t="shared" si="21"/>
        <v>50</v>
      </c>
      <c r="Q27" s="334">
        <f t="shared" si="21"/>
        <v>44.999999999999964</v>
      </c>
      <c r="R27" s="334">
        <f t="shared" si="21"/>
        <v>44.999999999999964</v>
      </c>
      <c r="S27" s="334">
        <f t="shared" si="21"/>
        <v>44.999999999999964</v>
      </c>
      <c r="T27" s="339">
        <f t="shared" si="21"/>
        <v>44.999999999999964</v>
      </c>
      <c r="U27" s="339">
        <f t="shared" si="21"/>
        <v>44.999999999999964</v>
      </c>
      <c r="V27" s="339">
        <f t="shared" si="21"/>
        <v>44.999999999999964</v>
      </c>
      <c r="W27" s="339">
        <f t="shared" si="21"/>
        <v>44.999999999999964</v>
      </c>
      <c r="X27" s="339">
        <f>SUM(X28:X32)</f>
        <v>44.999999999999964</v>
      </c>
      <c r="Y27" s="339">
        <f t="shared" si="21"/>
        <v>19</v>
      </c>
      <c r="Z27" s="339">
        <f t="shared" si="21"/>
        <v>0</v>
      </c>
      <c r="AA27" s="339">
        <f t="shared" si="21"/>
        <v>0</v>
      </c>
      <c r="AB27" s="339">
        <f t="shared" si="21"/>
        <v>0</v>
      </c>
      <c r="AC27" s="339">
        <f t="shared" si="21"/>
        <v>0</v>
      </c>
      <c r="AD27" s="339">
        <f t="shared" si="21"/>
        <v>0</v>
      </c>
      <c r="AE27" s="339"/>
      <c r="AF27" s="339"/>
      <c r="AG27" s="339"/>
      <c r="AH27" s="339"/>
      <c r="AI27" s="339"/>
      <c r="AJ27" s="339"/>
      <c r="AK27" s="339"/>
      <c r="AL27" s="339"/>
      <c r="AM27" s="339"/>
      <c r="AN27" s="339"/>
      <c r="AO27" s="358">
        <f t="shared" si="20"/>
        <v>150.49999999999991</v>
      </c>
      <c r="AP27" s="1305" t="s">
        <v>356</v>
      </c>
      <c r="AQ27" s="1306"/>
    </row>
    <row r="28" spans="1:45" x14ac:dyDescent="0.25">
      <c r="B28" s="378" t="s">
        <v>342</v>
      </c>
      <c r="C28" s="36"/>
      <c r="D28" s="360"/>
      <c r="E28" s="36"/>
      <c r="F28" s="36"/>
      <c r="G28" s="36"/>
      <c r="H28" s="37"/>
      <c r="I28" s="37"/>
      <c r="J28" s="37"/>
      <c r="K28" s="37"/>
      <c r="L28" s="37"/>
      <c r="M28" s="334">
        <f>C47/12*4</f>
        <v>9.6666666666666661</v>
      </c>
      <c r="N28" s="334">
        <f>M28</f>
        <v>9.6666666666666661</v>
      </c>
      <c r="O28" s="334">
        <f t="shared" ref="O28:X28" si="22">N28</f>
        <v>9.6666666666666661</v>
      </c>
      <c r="P28" s="231">
        <f t="shared" si="22"/>
        <v>9.6666666666666661</v>
      </c>
      <c r="Q28" s="334">
        <f t="shared" si="22"/>
        <v>9.6666666666666661</v>
      </c>
      <c r="R28" s="334">
        <f t="shared" si="22"/>
        <v>9.6666666666666661</v>
      </c>
      <c r="S28" s="334">
        <f t="shared" si="22"/>
        <v>9.6666666666666661</v>
      </c>
      <c r="T28" s="339">
        <f t="shared" si="22"/>
        <v>9.6666666666666661</v>
      </c>
      <c r="U28" s="339">
        <f t="shared" si="22"/>
        <v>9.6666666666666661</v>
      </c>
      <c r="V28" s="339">
        <f t="shared" si="22"/>
        <v>9.6666666666666661</v>
      </c>
      <c r="W28" s="339">
        <f t="shared" si="22"/>
        <v>9.6666666666666661</v>
      </c>
      <c r="X28" s="339">
        <f t="shared" si="22"/>
        <v>9.6666666666666661</v>
      </c>
      <c r="Y28" s="346"/>
      <c r="Z28" s="346"/>
      <c r="AA28" s="346"/>
      <c r="AB28" s="346"/>
      <c r="AC28" s="346"/>
      <c r="AD28" s="346"/>
      <c r="AE28" s="346"/>
      <c r="AF28" s="346"/>
      <c r="AG28" s="346"/>
      <c r="AH28" s="346"/>
      <c r="AI28" s="346"/>
      <c r="AJ28" s="346"/>
      <c r="AK28" s="346"/>
      <c r="AL28" s="346"/>
      <c r="AM28" s="346"/>
      <c r="AN28" s="346"/>
      <c r="AO28" s="358">
        <f t="shared" si="20"/>
        <v>29.000000000000004</v>
      </c>
      <c r="AP28" s="1305"/>
      <c r="AQ28" s="1306"/>
    </row>
    <row r="29" spans="1:45" ht="41.85" customHeight="1" x14ac:dyDescent="0.25">
      <c r="B29" s="378" t="s">
        <v>150</v>
      </c>
      <c r="C29" s="36"/>
      <c r="D29" s="360"/>
      <c r="E29" s="36"/>
      <c r="F29" s="36"/>
      <c r="G29" s="36"/>
      <c r="H29" s="37"/>
      <c r="I29" s="37"/>
      <c r="J29" s="37"/>
      <c r="K29" s="37"/>
      <c r="L29" s="37"/>
      <c r="M29" s="400">
        <f>C58/12*4 - 7</f>
        <v>20.333333333333332</v>
      </c>
      <c r="N29" s="400">
        <f>C58/12*4 + 20</f>
        <v>47.333333333333329</v>
      </c>
      <c r="O29" s="400">
        <v>37.3333333333333</v>
      </c>
      <c r="P29" s="330">
        <v>27.333333333333332</v>
      </c>
      <c r="Q29" s="400">
        <v>22.3333333333333</v>
      </c>
      <c r="R29" s="400">
        <v>22.3333333333333</v>
      </c>
      <c r="S29" s="400">
        <v>22.3333333333333</v>
      </c>
      <c r="T29" s="350">
        <v>22.3333333333333</v>
      </c>
      <c r="U29" s="350">
        <v>22.3333333333333</v>
      </c>
      <c r="V29" s="350">
        <v>22.3333333333333</v>
      </c>
      <c r="W29" s="350">
        <v>22.3333333333333</v>
      </c>
      <c r="X29" s="350">
        <v>22.3333333333333</v>
      </c>
      <c r="Y29" s="350">
        <v>19</v>
      </c>
      <c r="Z29" s="350"/>
      <c r="AA29" s="350"/>
      <c r="AB29" s="350"/>
      <c r="AC29" s="350"/>
      <c r="AD29" s="350"/>
      <c r="AE29" s="350"/>
      <c r="AF29" s="350"/>
      <c r="AG29" s="350"/>
      <c r="AH29" s="350"/>
      <c r="AI29" s="350"/>
      <c r="AJ29" s="350"/>
      <c r="AK29" s="350"/>
      <c r="AL29" s="350"/>
      <c r="AM29" s="350"/>
      <c r="AN29" s="350"/>
      <c r="AO29" s="358">
        <f t="shared" si="20"/>
        <v>82.499999999999943</v>
      </c>
      <c r="AP29" s="419" t="s">
        <v>357</v>
      </c>
    </row>
    <row r="30" spans="1:45" x14ac:dyDescent="0.25">
      <c r="B30" s="378" t="s">
        <v>152</v>
      </c>
      <c r="C30" s="36"/>
      <c r="D30" s="360"/>
      <c r="E30" s="36"/>
      <c r="F30" s="36"/>
      <c r="G30" s="36"/>
      <c r="H30" s="37"/>
      <c r="I30" s="37"/>
      <c r="J30" s="37"/>
      <c r="K30" s="37"/>
      <c r="L30" s="37"/>
      <c r="M30" s="334">
        <f>C59/12*4</f>
        <v>1</v>
      </c>
      <c r="N30" s="334">
        <f>C59/12*4</f>
        <v>1</v>
      </c>
      <c r="O30" s="334">
        <f t="shared" ref="O30:X30" si="23">$C$59/12*4</f>
        <v>1</v>
      </c>
      <c r="P30" s="231">
        <f t="shared" si="23"/>
        <v>1</v>
      </c>
      <c r="Q30" s="334">
        <f t="shared" si="23"/>
        <v>1</v>
      </c>
      <c r="R30" s="334">
        <f t="shared" si="23"/>
        <v>1</v>
      </c>
      <c r="S30" s="334">
        <f t="shared" si="23"/>
        <v>1</v>
      </c>
      <c r="T30" s="339">
        <f t="shared" si="23"/>
        <v>1</v>
      </c>
      <c r="U30" s="339">
        <f t="shared" si="23"/>
        <v>1</v>
      </c>
      <c r="V30" s="339">
        <f t="shared" si="23"/>
        <v>1</v>
      </c>
      <c r="W30" s="339">
        <f t="shared" si="23"/>
        <v>1</v>
      </c>
      <c r="X30" s="339">
        <f t="shared" si="23"/>
        <v>1</v>
      </c>
      <c r="Y30" s="346"/>
      <c r="Z30" s="346"/>
      <c r="AA30" s="346"/>
      <c r="AB30" s="346"/>
      <c r="AC30" s="346"/>
      <c r="AD30" s="346"/>
      <c r="AE30" s="346"/>
      <c r="AF30" s="346"/>
      <c r="AG30" s="346"/>
      <c r="AH30" s="346"/>
      <c r="AI30" s="346"/>
      <c r="AJ30" s="346"/>
      <c r="AK30" s="346"/>
      <c r="AL30" s="346"/>
      <c r="AM30" s="346"/>
      <c r="AN30" s="346"/>
      <c r="AO30" s="358">
        <f t="shared" si="20"/>
        <v>3</v>
      </c>
      <c r="AP30" s="37"/>
    </row>
    <row r="31" spans="1:45" ht="13.35" customHeight="1" x14ac:dyDescent="0.25">
      <c r="B31" s="378" t="s">
        <v>358</v>
      </c>
      <c r="C31" s="36"/>
      <c r="D31" s="360"/>
      <c r="E31" s="36"/>
      <c r="F31" s="36"/>
      <c r="G31" s="36"/>
      <c r="H31" s="37"/>
      <c r="I31" s="37"/>
      <c r="J31" s="37"/>
      <c r="K31" s="37"/>
      <c r="L31" s="37"/>
      <c r="M31" s="334">
        <f t="shared" ref="M31:X31" si="24">$C$60/12*4</f>
        <v>11.333333333333334</v>
      </c>
      <c r="N31" s="334">
        <f t="shared" si="24"/>
        <v>11.333333333333334</v>
      </c>
      <c r="O31" s="334">
        <f t="shared" si="24"/>
        <v>11.333333333333334</v>
      </c>
      <c r="P31" s="231">
        <f t="shared" si="24"/>
        <v>11.333333333333334</v>
      </c>
      <c r="Q31" s="334">
        <f t="shared" si="24"/>
        <v>11.333333333333334</v>
      </c>
      <c r="R31" s="334">
        <f t="shared" si="24"/>
        <v>11.333333333333334</v>
      </c>
      <c r="S31" s="334">
        <f t="shared" si="24"/>
        <v>11.333333333333334</v>
      </c>
      <c r="T31" s="339">
        <f t="shared" si="24"/>
        <v>11.333333333333334</v>
      </c>
      <c r="U31" s="339">
        <f t="shared" si="24"/>
        <v>11.333333333333334</v>
      </c>
      <c r="V31" s="339">
        <f t="shared" si="24"/>
        <v>11.333333333333334</v>
      </c>
      <c r="W31" s="339">
        <f t="shared" si="24"/>
        <v>11.333333333333334</v>
      </c>
      <c r="X31" s="339">
        <f t="shared" si="24"/>
        <v>11.333333333333334</v>
      </c>
      <c r="Y31" s="346"/>
      <c r="Z31" s="346"/>
      <c r="AA31" s="346"/>
      <c r="AB31" s="346"/>
      <c r="AC31" s="346"/>
      <c r="AD31" s="346"/>
      <c r="AE31" s="346"/>
      <c r="AF31" s="346"/>
      <c r="AG31" s="346"/>
      <c r="AH31" s="346"/>
      <c r="AI31" s="346"/>
      <c r="AJ31" s="346"/>
      <c r="AK31" s="346"/>
      <c r="AL31" s="346"/>
      <c r="AM31" s="346"/>
      <c r="AN31" s="346"/>
      <c r="AO31" s="358">
        <f t="shared" si="20"/>
        <v>33.999999999999993</v>
      </c>
      <c r="AP31" s="37"/>
    </row>
    <row r="32" spans="1:45" ht="29.25" customHeight="1" x14ac:dyDescent="0.25">
      <c r="B32" s="378" t="s">
        <v>359</v>
      </c>
      <c r="C32" s="36"/>
      <c r="D32" s="360"/>
      <c r="E32" s="36"/>
      <c r="F32" s="36"/>
      <c r="G32" s="36"/>
      <c r="H32" s="37"/>
      <c r="I32" s="37"/>
      <c r="J32" s="37"/>
      <c r="K32" s="37"/>
      <c r="L32" s="37"/>
      <c r="M32" s="334">
        <f t="shared" ref="M32:X32" si="25">$C$61/12*4</f>
        <v>0.66666666666666663</v>
      </c>
      <c r="N32" s="334">
        <f t="shared" si="25"/>
        <v>0.66666666666666663</v>
      </c>
      <c r="O32" s="334">
        <f t="shared" si="25"/>
        <v>0.66666666666666663</v>
      </c>
      <c r="P32" s="231">
        <f t="shared" si="25"/>
        <v>0.66666666666666663</v>
      </c>
      <c r="Q32" s="334">
        <f t="shared" si="25"/>
        <v>0.66666666666666663</v>
      </c>
      <c r="R32" s="334">
        <f t="shared" si="25"/>
        <v>0.66666666666666663</v>
      </c>
      <c r="S32" s="334">
        <f t="shared" si="25"/>
        <v>0.66666666666666663</v>
      </c>
      <c r="T32" s="339">
        <f t="shared" si="25"/>
        <v>0.66666666666666663</v>
      </c>
      <c r="U32" s="339">
        <f t="shared" si="25"/>
        <v>0.66666666666666663</v>
      </c>
      <c r="V32" s="339">
        <f t="shared" si="25"/>
        <v>0.66666666666666663</v>
      </c>
      <c r="W32" s="339">
        <f t="shared" si="25"/>
        <v>0.66666666666666663</v>
      </c>
      <c r="X32" s="339">
        <f t="shared" si="25"/>
        <v>0.66666666666666663</v>
      </c>
      <c r="Y32" s="346"/>
      <c r="Z32" s="346"/>
      <c r="AA32" s="346"/>
      <c r="AB32" s="346"/>
      <c r="AC32" s="346"/>
      <c r="AD32" s="346"/>
      <c r="AE32" s="346"/>
      <c r="AF32" s="346"/>
      <c r="AG32" s="346"/>
      <c r="AH32" s="346"/>
      <c r="AI32" s="346"/>
      <c r="AJ32" s="346"/>
      <c r="AK32" s="346"/>
      <c r="AL32" s="346"/>
      <c r="AM32" s="346"/>
      <c r="AN32" s="346"/>
      <c r="AO32" s="358">
        <f t="shared" si="20"/>
        <v>2</v>
      </c>
      <c r="AP32" s="37"/>
    </row>
    <row r="33" spans="1:99" ht="44.25" customHeight="1" x14ac:dyDescent="0.25">
      <c r="B33" s="413" t="s">
        <v>360</v>
      </c>
      <c r="C33" s="36"/>
      <c r="D33" s="360"/>
      <c r="E33" s="36"/>
      <c r="F33" s="36"/>
      <c r="G33" s="36"/>
      <c r="H33" s="37"/>
      <c r="I33" s="37"/>
      <c r="J33" s="37"/>
      <c r="K33" s="37"/>
      <c r="L33" s="37"/>
      <c r="M33" s="334"/>
      <c r="N33" s="334">
        <f t="shared" ref="N33:AC33" si="26">SUM(N34:N38)</f>
        <v>954.03959999999972</v>
      </c>
      <c r="O33" s="334">
        <f t="shared" si="26"/>
        <v>85.500399999999999</v>
      </c>
      <c r="P33" s="231">
        <f t="shared" si="26"/>
        <v>83.481000000000009</v>
      </c>
      <c r="Q33" s="334">
        <f t="shared" si="26"/>
        <v>662.76099999999997</v>
      </c>
      <c r="R33" s="334">
        <f t="shared" si="26"/>
        <v>83.481000000000009</v>
      </c>
      <c r="S33" s="334">
        <f t="shared" si="26"/>
        <v>83.481000000000009</v>
      </c>
      <c r="T33" s="339">
        <f t="shared" si="26"/>
        <v>62.811999999999998</v>
      </c>
      <c r="U33" s="339">
        <f t="shared" si="26"/>
        <v>62.811999999999998</v>
      </c>
      <c r="V33" s="339">
        <f t="shared" si="26"/>
        <v>62.811999999999998</v>
      </c>
      <c r="W33" s="339">
        <f t="shared" si="26"/>
        <v>62.811999999999998</v>
      </c>
      <c r="X33" s="339">
        <f t="shared" si="26"/>
        <v>41.554000000000002</v>
      </c>
      <c r="Y33" s="339">
        <f t="shared" si="26"/>
        <v>41.554000000000002</v>
      </c>
      <c r="Z33" s="339">
        <f t="shared" si="26"/>
        <v>41.554000000000002</v>
      </c>
      <c r="AA33" s="339">
        <f t="shared" si="26"/>
        <v>41.554000000000002</v>
      </c>
      <c r="AB33" s="339">
        <f t="shared" si="26"/>
        <v>27.678000000000001</v>
      </c>
      <c r="AC33" s="339">
        <f t="shared" si="26"/>
        <v>27.678000000000001</v>
      </c>
      <c r="AD33" s="339">
        <f>SUM(AD34:AD38)</f>
        <v>27.678000000000001</v>
      </c>
      <c r="AE33" s="339"/>
      <c r="AF33" s="339"/>
      <c r="AG33" s="339"/>
      <c r="AH33" s="339"/>
      <c r="AI33" s="339"/>
      <c r="AJ33" s="339"/>
      <c r="AK33" s="339"/>
      <c r="AL33" s="339"/>
      <c r="AM33" s="339"/>
      <c r="AN33" s="339"/>
      <c r="AO33" s="358">
        <f t="shared" si="20"/>
        <v>571.77499999999986</v>
      </c>
      <c r="AP33" s="1305" t="s">
        <v>361</v>
      </c>
      <c r="AQ33" s="1306"/>
    </row>
    <row r="34" spans="1:99" ht="17.850000000000001" customHeight="1" x14ac:dyDescent="0.25">
      <c r="B34" s="378" t="s">
        <v>347</v>
      </c>
      <c r="C34" s="36"/>
      <c r="D34" s="360"/>
      <c r="E34" s="36"/>
      <c r="F34" s="36"/>
      <c r="G34" s="36"/>
      <c r="H34" s="37"/>
      <c r="I34" s="37"/>
      <c r="J34" s="37"/>
      <c r="K34" s="37"/>
      <c r="L34" s="37"/>
      <c r="M34" s="334"/>
      <c r="N34" s="334">
        <f>0.6*C63*4</f>
        <v>868.91999999999985</v>
      </c>
      <c r="O34" s="334"/>
      <c r="P34" s="231"/>
      <c r="Q34" s="334">
        <f>0.4*C63*4</f>
        <v>579.28</v>
      </c>
      <c r="R34" s="334"/>
      <c r="S34" s="334"/>
      <c r="T34" s="339"/>
      <c r="U34" s="339"/>
      <c r="V34" s="339"/>
      <c r="W34" s="339"/>
      <c r="X34" s="339"/>
      <c r="Y34" s="339"/>
      <c r="Z34" s="339"/>
      <c r="AA34" s="339"/>
      <c r="AB34" s="339"/>
      <c r="AC34" s="339"/>
      <c r="AD34" s="339"/>
      <c r="AE34" s="339"/>
      <c r="AF34" s="339"/>
      <c r="AG34" s="339"/>
      <c r="AH34" s="339"/>
      <c r="AI34" s="339"/>
      <c r="AJ34" s="339"/>
      <c r="AK34" s="339"/>
      <c r="AL34" s="339"/>
      <c r="AM34" s="339"/>
      <c r="AN34" s="339"/>
      <c r="AO34" s="358">
        <f t="shared" si="20"/>
        <v>362.04999999999995</v>
      </c>
      <c r="AP34" s="396" t="s">
        <v>362</v>
      </c>
      <c r="AQ34" s="396"/>
    </row>
    <row r="35" spans="1:99" x14ac:dyDescent="0.25">
      <c r="B35" s="378" t="s">
        <v>150</v>
      </c>
      <c r="C35" s="36"/>
      <c r="D35" s="360"/>
      <c r="E35" s="36"/>
      <c r="F35" s="36"/>
      <c r="G35" s="36"/>
      <c r="H35" s="37"/>
      <c r="I35" s="37"/>
      <c r="J35" s="37"/>
      <c r="K35" s="37"/>
      <c r="L35" s="37"/>
      <c r="M35" s="334"/>
      <c r="N35" s="334">
        <f>'ARP Quarterly'!D9</f>
        <v>24.693999999999999</v>
      </c>
      <c r="O35" s="334">
        <f>'ARP Quarterly'!E9</f>
        <v>24.693999999999999</v>
      </c>
      <c r="P35" s="231">
        <f>'ARP Quarterly'!F9</f>
        <v>46.79</v>
      </c>
      <c r="Q35" s="334">
        <f>'ARP Quarterly'!G9</f>
        <v>46.79</v>
      </c>
      <c r="R35" s="334">
        <f>'ARP Quarterly'!H9</f>
        <v>46.79</v>
      </c>
      <c r="S35" s="334">
        <f>'ARP Quarterly'!I9</f>
        <v>46.79</v>
      </c>
      <c r="T35" s="339">
        <f>'ARP Quarterly'!J9</f>
        <v>38.595999999999997</v>
      </c>
      <c r="U35" s="339">
        <f>'ARP Quarterly'!K9</f>
        <v>38.595999999999997</v>
      </c>
      <c r="V35" s="339">
        <f>'ARP Quarterly'!L9</f>
        <v>38.595999999999997</v>
      </c>
      <c r="W35" s="339">
        <f>'ARP Quarterly'!M9</f>
        <v>38.595999999999997</v>
      </c>
      <c r="X35" s="339">
        <f>'ARP Quarterly'!N9</f>
        <v>31.911000000000001</v>
      </c>
      <c r="Y35" s="339">
        <f>'ARP Quarterly'!O9</f>
        <v>31.911000000000001</v>
      </c>
      <c r="Z35" s="339">
        <f>'ARP Quarterly'!P9</f>
        <v>31.911000000000001</v>
      </c>
      <c r="AA35" s="339">
        <f>'ARP Quarterly'!Q9</f>
        <v>31.911000000000001</v>
      </c>
      <c r="AB35" s="339">
        <f>'ARP Quarterly'!R9</f>
        <v>23.099</v>
      </c>
      <c r="AC35" s="339">
        <f>'ARP Quarterly'!S9</f>
        <v>23.099</v>
      </c>
      <c r="AD35" s="339">
        <f>'ARP Quarterly'!T9</f>
        <v>23.099</v>
      </c>
      <c r="AE35" s="339"/>
      <c r="AF35" s="339"/>
      <c r="AG35" s="339"/>
      <c r="AH35" s="339"/>
      <c r="AI35" s="339"/>
      <c r="AJ35" s="339"/>
      <c r="AK35" s="339"/>
      <c r="AL35" s="339"/>
      <c r="AM35" s="339"/>
      <c r="AN35" s="339"/>
      <c r="AO35" s="358">
        <f t="shared" si="20"/>
        <v>113.68849999999999</v>
      </c>
      <c r="AP35" s="334"/>
    </row>
    <row r="36" spans="1:99" x14ac:dyDescent="0.25">
      <c r="B36" s="378" t="s">
        <v>152</v>
      </c>
      <c r="C36" s="36"/>
      <c r="D36" s="360"/>
      <c r="E36" s="36"/>
      <c r="F36" s="36"/>
      <c r="G36" s="36"/>
      <c r="H36" s="37"/>
      <c r="I36" s="37"/>
      <c r="J36" s="37"/>
      <c r="K36" s="37"/>
      <c r="L36" s="37"/>
      <c r="M36" s="334"/>
      <c r="N36" s="334">
        <f>'ARP Quarterly'!D14</f>
        <v>1.1696</v>
      </c>
      <c r="O36" s="334">
        <f>'ARP Quarterly'!E14</f>
        <v>1.5503999999999998</v>
      </c>
      <c r="P36" s="231">
        <f>'ARP Quarterly'!F14</f>
        <v>1.02</v>
      </c>
      <c r="Q36" s="334">
        <f>'ARP Quarterly'!G14</f>
        <v>1.02</v>
      </c>
      <c r="R36" s="334">
        <f>'ARP Quarterly'!H14</f>
        <v>1.02</v>
      </c>
      <c r="S36" s="334">
        <f>'ARP Quarterly'!I14</f>
        <v>1.02</v>
      </c>
      <c r="T36" s="339">
        <f>'ARP Quarterly'!J14</f>
        <v>0</v>
      </c>
      <c r="U36" s="339">
        <f>'ARP Quarterly'!K14</f>
        <v>0</v>
      </c>
      <c r="V36" s="339">
        <f>'ARP Quarterly'!L14</f>
        <v>0</v>
      </c>
      <c r="W36" s="339">
        <f>'ARP Quarterly'!M14</f>
        <v>0</v>
      </c>
      <c r="X36" s="339">
        <f>'ARP Quarterly'!N14</f>
        <v>0</v>
      </c>
      <c r="Y36" s="339">
        <f>'ARP Quarterly'!O14</f>
        <v>0</v>
      </c>
      <c r="Z36" s="339">
        <f>'ARP Quarterly'!P14</f>
        <v>0</v>
      </c>
      <c r="AA36" s="339">
        <f>'ARP Quarterly'!Q14</f>
        <v>0</v>
      </c>
      <c r="AB36" s="339">
        <f>'ARP Quarterly'!R14</f>
        <v>0</v>
      </c>
      <c r="AC36" s="339">
        <f>'ARP Quarterly'!S14</f>
        <v>0</v>
      </c>
      <c r="AD36" s="339">
        <f>'ARP Quarterly'!T14</f>
        <v>0</v>
      </c>
      <c r="AE36" s="339"/>
      <c r="AF36" s="339"/>
      <c r="AG36" s="339"/>
      <c r="AH36" s="339"/>
      <c r="AI36" s="339"/>
      <c r="AJ36" s="339"/>
      <c r="AK36" s="339"/>
      <c r="AL36" s="339"/>
      <c r="AM36" s="339"/>
      <c r="AN36" s="339"/>
      <c r="AO36" s="358">
        <f t="shared" si="20"/>
        <v>1.6999999999999997</v>
      </c>
      <c r="AP36" s="334"/>
    </row>
    <row r="37" spans="1:99" x14ac:dyDescent="0.25">
      <c r="B37" s="378" t="s">
        <v>363</v>
      </c>
      <c r="C37" s="36"/>
      <c r="D37" s="360"/>
      <c r="E37" s="36"/>
      <c r="F37" s="36"/>
      <c r="G37" s="36"/>
      <c r="H37" s="37"/>
      <c r="I37" s="37"/>
      <c r="J37" s="37"/>
      <c r="K37" s="37"/>
      <c r="L37" s="37"/>
      <c r="M37" s="334"/>
      <c r="N37" s="334">
        <f>'ARP Quarterly'!D10</f>
        <v>59.256</v>
      </c>
      <c r="O37" s="334">
        <f>'ARP Quarterly'!E10</f>
        <v>59.256</v>
      </c>
      <c r="P37" s="231">
        <f>'ARP Quarterly'!F10</f>
        <v>35.671000000000006</v>
      </c>
      <c r="Q37" s="334">
        <f>'ARP Quarterly'!G10</f>
        <v>35.671000000000006</v>
      </c>
      <c r="R37" s="334">
        <f>'ARP Quarterly'!H10</f>
        <v>35.671000000000006</v>
      </c>
      <c r="S37" s="334">
        <f>'ARP Quarterly'!I10</f>
        <v>35.671000000000006</v>
      </c>
      <c r="T37" s="339">
        <f>'ARP Quarterly'!J10</f>
        <v>24.216000000000001</v>
      </c>
      <c r="U37" s="339">
        <f>'ARP Quarterly'!K10</f>
        <v>24.216000000000001</v>
      </c>
      <c r="V37" s="339">
        <f>'ARP Quarterly'!L10</f>
        <v>24.216000000000001</v>
      </c>
      <c r="W37" s="339">
        <f>'ARP Quarterly'!M10</f>
        <v>24.216000000000001</v>
      </c>
      <c r="X37" s="339">
        <f>'ARP Quarterly'!N10</f>
        <v>9.6430000000000007</v>
      </c>
      <c r="Y37" s="339">
        <f>'ARP Quarterly'!O10</f>
        <v>9.6430000000000007</v>
      </c>
      <c r="Z37" s="339">
        <f>'ARP Quarterly'!P10</f>
        <v>9.6430000000000007</v>
      </c>
      <c r="AA37" s="339">
        <f>'ARP Quarterly'!Q10</f>
        <v>9.6430000000000007</v>
      </c>
      <c r="AB37" s="339">
        <f>'ARP Quarterly'!R10</f>
        <v>4.5789999999999997</v>
      </c>
      <c r="AC37" s="339">
        <f>'ARP Quarterly'!S10</f>
        <v>4.5789999999999997</v>
      </c>
      <c r="AD37" s="339">
        <f>'ARP Quarterly'!T10</f>
        <v>4.5789999999999997</v>
      </c>
      <c r="AE37" s="339"/>
      <c r="AF37" s="339"/>
      <c r="AG37" s="339"/>
      <c r="AH37" s="339"/>
      <c r="AI37" s="339"/>
      <c r="AJ37" s="339"/>
      <c r="AK37" s="339"/>
      <c r="AL37" s="339"/>
      <c r="AM37" s="339"/>
      <c r="AN37" s="339"/>
      <c r="AO37" s="358">
        <f>SUM(I37:Y37)/4</f>
        <v>94.336500000000001</v>
      </c>
      <c r="AP37" s="334"/>
    </row>
    <row r="38" spans="1:99" x14ac:dyDescent="0.25">
      <c r="A38" s="6"/>
      <c r="B38" s="391"/>
      <c r="C38" s="388"/>
      <c r="D38" s="386"/>
      <c r="E38" s="388"/>
      <c r="F38" s="388"/>
      <c r="G38" s="388"/>
      <c r="H38" s="393"/>
      <c r="I38" s="393"/>
      <c r="J38" s="393"/>
      <c r="K38" s="393"/>
      <c r="L38" s="393"/>
      <c r="M38" s="335"/>
      <c r="N38" s="335"/>
      <c r="O38" s="335"/>
      <c r="P38" s="331"/>
      <c r="Q38" s="335"/>
      <c r="R38" s="335"/>
      <c r="S38" s="335"/>
      <c r="T38" s="397"/>
      <c r="U38" s="397"/>
      <c r="V38" s="397"/>
      <c r="W38" s="397"/>
      <c r="X38" s="397"/>
      <c r="Y38" s="397"/>
      <c r="Z38" s="397"/>
      <c r="AA38" s="397"/>
      <c r="AB38" s="397"/>
      <c r="AC38" s="397"/>
      <c r="AD38" s="397"/>
      <c r="AE38" s="397"/>
      <c r="AF38" s="397"/>
      <c r="AG38" s="397"/>
      <c r="AH38" s="397"/>
      <c r="AI38" s="397"/>
      <c r="AJ38" s="397"/>
      <c r="AK38" s="397"/>
      <c r="AL38" s="397"/>
      <c r="AM38" s="397"/>
      <c r="AN38" s="397"/>
      <c r="AO38" s="408"/>
      <c r="AP38" s="334"/>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row>
    <row r="39" spans="1:99" x14ac:dyDescent="0.25">
      <c r="B39" s="348"/>
      <c r="C39" s="36"/>
      <c r="D39" s="36"/>
      <c r="E39" s="36"/>
      <c r="F39" s="36"/>
      <c r="G39" s="36"/>
      <c r="H39" s="36"/>
      <c r="I39" s="36"/>
      <c r="J39" s="36"/>
      <c r="K39" s="36"/>
      <c r="L39" s="36"/>
      <c r="M39" s="36"/>
      <c r="N39" s="36"/>
      <c r="O39" s="36"/>
      <c r="P39" s="380"/>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row>
    <row r="40" spans="1:99" x14ac:dyDescent="0.25">
      <c r="B40" s="348"/>
      <c r="C40" s="36"/>
      <c r="D40" s="36"/>
      <c r="E40" s="36"/>
      <c r="F40" s="36"/>
      <c r="G40" s="36"/>
      <c r="H40" s="36"/>
      <c r="I40" s="36"/>
      <c r="J40" s="36"/>
      <c r="K40" s="36"/>
      <c r="L40" s="36"/>
      <c r="M40" s="36"/>
      <c r="N40" s="36"/>
      <c r="O40" s="36"/>
      <c r="P40" s="380"/>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row>
    <row r="41" spans="1:99" ht="17.850000000000001" customHeight="1" x14ac:dyDescent="0.25">
      <c r="B41" s="398" t="s">
        <v>364</v>
      </c>
      <c r="H41" s="37"/>
      <c r="I41" s="37"/>
      <c r="J41" s="37"/>
      <c r="K41" s="37"/>
      <c r="L41" s="37"/>
      <c r="M41" s="37"/>
      <c r="N41" s="37"/>
      <c r="O41" s="37"/>
      <c r="P41" s="235"/>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row>
    <row r="42" spans="1:99" ht="29.85" customHeight="1" x14ac:dyDescent="0.25">
      <c r="B42" s="416" t="s">
        <v>365</v>
      </c>
      <c r="C42" s="417" t="s">
        <v>366</v>
      </c>
      <c r="D42" s="418" t="s">
        <v>367</v>
      </c>
      <c r="E42" s="403" t="s">
        <v>368</v>
      </c>
      <c r="F42" s="37"/>
      <c r="G42" s="37"/>
      <c r="H42" s="37"/>
      <c r="I42" s="37"/>
      <c r="J42" s="37"/>
      <c r="K42" s="37"/>
      <c r="L42" s="37"/>
      <c r="M42" s="37"/>
      <c r="N42" s="37"/>
      <c r="O42" s="37"/>
      <c r="P42" s="235"/>
      <c r="Q42" s="37"/>
      <c r="R42" s="37"/>
      <c r="S42" s="37"/>
      <c r="T42" s="37"/>
      <c r="U42" s="37"/>
      <c r="V42" s="37"/>
      <c r="W42" s="37"/>
    </row>
    <row r="43" spans="1:99" ht="18.75" customHeight="1" x14ac:dyDescent="0.25">
      <c r="B43" s="422" t="s">
        <v>369</v>
      </c>
      <c r="C43" s="394">
        <f>SUM(C44:C49)</f>
        <v>898.11599999999999</v>
      </c>
      <c r="D43" s="37">
        <f>SUM(D44:D48)</f>
        <v>202.36666666666667</v>
      </c>
      <c r="E43" s="364">
        <f>SUM(E44:E48)</f>
        <v>650.35233333333326</v>
      </c>
      <c r="F43" s="37"/>
      <c r="G43" s="37"/>
      <c r="H43" s="37"/>
      <c r="I43" s="37"/>
      <c r="J43" s="37"/>
      <c r="K43" s="37"/>
      <c r="L43" s="37"/>
      <c r="M43" s="37"/>
      <c r="N43" s="37"/>
      <c r="O43" s="37"/>
      <c r="P43" s="235"/>
      <c r="Q43" s="37"/>
      <c r="R43" s="37"/>
      <c r="S43" s="37"/>
      <c r="T43" s="37"/>
      <c r="U43" s="37"/>
      <c r="V43" s="37"/>
      <c r="W43" s="37"/>
    </row>
    <row r="44" spans="1:99" x14ac:dyDescent="0.25">
      <c r="B44" s="421" t="s">
        <v>149</v>
      </c>
      <c r="C44" s="394">
        <f>C53</f>
        <v>150</v>
      </c>
      <c r="D44" s="37">
        <f>SUM(H12:M12)/4</f>
        <v>149.47499999999999</v>
      </c>
      <c r="E44" s="358">
        <f>C44-D44</f>
        <v>0.52500000000000568</v>
      </c>
      <c r="F44" s="37"/>
      <c r="G44" s="37"/>
      <c r="H44" s="37"/>
      <c r="I44" s="384"/>
      <c r="J44" s="384"/>
      <c r="K44" s="384"/>
      <c r="L44" s="384"/>
      <c r="M44" s="384"/>
      <c r="N44" s="384"/>
      <c r="O44" s="384"/>
      <c r="P44" s="429"/>
      <c r="Q44" s="37"/>
      <c r="R44" s="37"/>
      <c r="S44" s="37"/>
      <c r="T44" s="37"/>
      <c r="U44" s="37"/>
      <c r="V44" s="37"/>
      <c r="W44" s="37"/>
    </row>
    <row r="45" spans="1:99" x14ac:dyDescent="0.25">
      <c r="B45" s="421" t="s">
        <v>150</v>
      </c>
      <c r="C45" s="423">
        <f>C54+C58+C64</f>
        <v>273.16899999999998</v>
      </c>
      <c r="D45" s="37">
        <f>SUM(H13:M13)/4</f>
        <v>22.075000000000003</v>
      </c>
      <c r="E45" s="358">
        <f>C45-D45</f>
        <v>251.09399999999999</v>
      </c>
      <c r="F45" s="37"/>
      <c r="G45" s="37"/>
      <c r="H45" s="37"/>
      <c r="I45" s="384"/>
      <c r="J45" s="384"/>
      <c r="K45" s="384"/>
      <c r="L45" s="384"/>
      <c r="M45" s="384"/>
      <c r="N45" s="384"/>
      <c r="O45" s="384"/>
      <c r="P45" s="429"/>
      <c r="Q45" s="37"/>
      <c r="R45" s="37"/>
      <c r="S45" s="37"/>
      <c r="T45" s="37"/>
      <c r="U45" s="37"/>
      <c r="V45" s="37"/>
      <c r="W45" s="37"/>
    </row>
    <row r="46" spans="1:99" x14ac:dyDescent="0.25">
      <c r="B46" s="421" t="s">
        <v>152</v>
      </c>
      <c r="C46" s="264">
        <f>C55+C65+C59</f>
        <v>38.5</v>
      </c>
      <c r="D46" s="37">
        <f>SUM(H14:M14)/4</f>
        <v>28.400000000000002</v>
      </c>
      <c r="E46" s="358">
        <f>C46-D46</f>
        <v>10.099999999999998</v>
      </c>
      <c r="F46" s="37"/>
      <c r="G46" s="37"/>
      <c r="H46" s="37"/>
      <c r="I46" s="384"/>
      <c r="J46" s="384"/>
      <c r="K46" s="384"/>
      <c r="L46" s="384"/>
      <c r="M46" s="384"/>
      <c r="N46" s="384"/>
      <c r="O46" s="384"/>
      <c r="P46" s="429"/>
      <c r="Q46" s="1303"/>
      <c r="R46" s="1303"/>
      <c r="S46" s="1303"/>
      <c r="T46" s="1303"/>
      <c r="U46" s="1303"/>
      <c r="V46" s="1303"/>
      <c r="W46" s="1303"/>
      <c r="X46" s="1303"/>
      <c r="Y46" s="1303"/>
      <c r="Z46" s="1303"/>
      <c r="AA46" s="1303"/>
      <c r="AB46" s="1303"/>
      <c r="AC46" s="1303"/>
      <c r="AD46" s="1303"/>
      <c r="AE46" s="1303"/>
      <c r="AF46" s="1303"/>
      <c r="AG46" s="1303"/>
      <c r="AH46" s="1303"/>
      <c r="AI46" s="1303"/>
      <c r="AJ46" s="1303"/>
      <c r="AK46" s="1303"/>
      <c r="AL46" s="1303"/>
      <c r="AM46" s="1303"/>
      <c r="AN46" s="1303"/>
      <c r="AO46" s="1303"/>
      <c r="AP46" s="1303"/>
      <c r="AQ46" s="1303"/>
      <c r="AR46" s="1303"/>
      <c r="AS46" s="1303"/>
    </row>
    <row r="47" spans="1:99" ht="17.25" customHeight="1" x14ac:dyDescent="0.25">
      <c r="B47" s="421" t="s">
        <v>370</v>
      </c>
      <c r="C47" s="264">
        <f>C57</f>
        <v>29</v>
      </c>
      <c r="D47" s="37">
        <f>SUM(H15:M15)/4</f>
        <v>2.4166666666666665</v>
      </c>
      <c r="E47" s="358">
        <f>C47-D47</f>
        <v>26.583333333333332</v>
      </c>
      <c r="F47" s="37"/>
      <c r="G47" s="37"/>
      <c r="H47" s="37"/>
      <c r="I47" s="384"/>
      <c r="J47" s="384"/>
      <c r="K47" s="384"/>
      <c r="L47" s="384"/>
      <c r="M47" s="384"/>
      <c r="N47" s="384"/>
      <c r="O47" s="384"/>
      <c r="P47" s="429"/>
      <c r="Q47" s="1304"/>
      <c r="R47" s="1304"/>
      <c r="S47" s="1304"/>
      <c r="T47" s="1304"/>
      <c r="U47" s="1304"/>
      <c r="V47" s="1304"/>
      <c r="W47" s="1304"/>
      <c r="X47" s="1304"/>
      <c r="Y47" s="1304"/>
      <c r="Z47" s="222"/>
      <c r="AA47" s="222"/>
      <c r="AB47" s="222"/>
      <c r="AC47" s="222"/>
      <c r="AD47" s="222"/>
      <c r="AE47" s="222"/>
      <c r="AF47" s="222"/>
      <c r="AG47" s="222"/>
      <c r="AH47" s="222"/>
      <c r="AI47" s="222"/>
      <c r="AJ47" s="222"/>
      <c r="AK47" s="222"/>
      <c r="AL47" s="222"/>
      <c r="AM47" s="222"/>
      <c r="AN47" s="222"/>
      <c r="AO47" s="1304"/>
      <c r="AP47" s="1304"/>
      <c r="AQ47" s="1304"/>
      <c r="AR47" s="1304"/>
      <c r="AS47" s="222"/>
    </row>
    <row r="48" spans="1:99" ht="15.75" customHeight="1" x14ac:dyDescent="0.25">
      <c r="B48" s="421" t="s">
        <v>347</v>
      </c>
      <c r="C48" s="264">
        <f>C63</f>
        <v>362.04999999999995</v>
      </c>
      <c r="D48" s="37">
        <v>0</v>
      </c>
      <c r="E48" s="358">
        <f>C48-D48</f>
        <v>362.04999999999995</v>
      </c>
      <c r="F48" s="37"/>
      <c r="G48" s="37"/>
      <c r="H48" s="37"/>
      <c r="I48" s="384"/>
      <c r="J48" s="384"/>
      <c r="K48" s="384"/>
      <c r="L48" s="384"/>
      <c r="M48" s="384"/>
      <c r="N48" s="384"/>
      <c r="O48" s="384"/>
      <c r="P48" s="429"/>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row>
    <row r="49" spans="1:23" ht="15" customHeight="1" x14ac:dyDescent="0.25">
      <c r="B49" s="420" t="s">
        <v>371</v>
      </c>
      <c r="C49" s="394">
        <f>C66+C67+C60+C61</f>
        <v>45.396999999999998</v>
      </c>
      <c r="D49" s="37"/>
      <c r="E49" s="358"/>
      <c r="F49" s="37"/>
      <c r="G49" s="37"/>
      <c r="H49" s="37"/>
      <c r="I49" s="384"/>
      <c r="J49" s="384"/>
      <c r="K49" s="384"/>
      <c r="L49" s="384"/>
      <c r="M49" s="384"/>
      <c r="N49" s="384"/>
      <c r="O49" s="384"/>
      <c r="P49" s="429"/>
      <c r="Q49" s="37"/>
      <c r="R49" s="37"/>
      <c r="S49" s="37"/>
      <c r="T49" s="37"/>
      <c r="U49" s="37"/>
      <c r="V49" s="37"/>
      <c r="W49" s="37"/>
    </row>
    <row r="50" spans="1:23" ht="5.25" customHeight="1" x14ac:dyDescent="0.25">
      <c r="B50" s="420"/>
      <c r="C50" s="394"/>
      <c r="D50" s="37"/>
      <c r="E50" s="358"/>
      <c r="F50" s="37"/>
      <c r="G50" s="37"/>
      <c r="H50" s="37"/>
      <c r="I50" s="384"/>
      <c r="J50" s="384"/>
      <c r="K50" s="384"/>
      <c r="L50" s="384"/>
      <c r="M50" s="384"/>
      <c r="N50" s="384"/>
      <c r="O50" s="384"/>
      <c r="P50" s="429"/>
      <c r="Q50" s="37"/>
      <c r="R50" s="37"/>
      <c r="S50" s="37"/>
      <c r="T50" s="37"/>
      <c r="U50" s="37"/>
      <c r="V50" s="37"/>
      <c r="W50" s="37"/>
    </row>
    <row r="51" spans="1:23" ht="18.75" customHeight="1" x14ac:dyDescent="0.25">
      <c r="B51" s="422" t="s">
        <v>372</v>
      </c>
      <c r="C51" s="264">
        <f>C52+C56+C62</f>
        <v>898.11599999999999</v>
      </c>
      <c r="D51" s="37"/>
      <c r="E51" s="358"/>
      <c r="F51" s="37"/>
      <c r="G51" s="37"/>
      <c r="H51" s="37"/>
      <c r="I51" s="384"/>
      <c r="J51" s="384"/>
      <c r="K51" s="384"/>
      <c r="L51" s="384"/>
      <c r="M51" s="384"/>
      <c r="N51" s="384"/>
      <c r="O51" s="384"/>
      <c r="P51" s="429"/>
      <c r="Q51" s="37"/>
      <c r="R51" s="37"/>
      <c r="S51" s="37"/>
      <c r="T51" s="37"/>
      <c r="U51" s="37"/>
      <c r="V51" s="37"/>
      <c r="W51" s="37"/>
    </row>
    <row r="52" spans="1:23" ht="16.350000000000001" customHeight="1" x14ac:dyDescent="0.25">
      <c r="B52" s="413" t="s">
        <v>353</v>
      </c>
      <c r="C52" s="264">
        <f>SUM(C53:C55)</f>
        <v>199</v>
      </c>
      <c r="D52" s="37"/>
      <c r="E52" s="358"/>
      <c r="F52" s="37"/>
      <c r="G52" s="37"/>
      <c r="H52" s="37"/>
      <c r="I52" s="384"/>
      <c r="J52" s="384"/>
      <c r="K52" s="384"/>
      <c r="L52" s="384"/>
      <c r="M52" s="384"/>
      <c r="N52" s="384"/>
      <c r="O52" s="384"/>
      <c r="P52" s="429"/>
      <c r="Q52" s="37"/>
      <c r="R52" s="37"/>
      <c r="S52" s="37"/>
      <c r="T52" s="37"/>
      <c r="U52" s="37"/>
      <c r="V52" s="37"/>
      <c r="W52" s="37"/>
    </row>
    <row r="53" spans="1:23" ht="20.85" customHeight="1" x14ac:dyDescent="0.25">
      <c r="B53" s="378" t="s">
        <v>149</v>
      </c>
      <c r="C53" s="264">
        <v>150</v>
      </c>
      <c r="D53" s="37"/>
      <c r="E53" s="358"/>
      <c r="F53" s="37"/>
      <c r="G53" s="37"/>
      <c r="H53" s="37"/>
      <c r="I53" s="384"/>
      <c r="J53" s="384"/>
      <c r="K53" s="384"/>
      <c r="L53" s="384"/>
      <c r="M53" s="384"/>
      <c r="N53" s="384"/>
      <c r="O53" s="384"/>
      <c r="P53" s="429"/>
      <c r="Q53" s="37"/>
      <c r="R53" s="37"/>
      <c r="S53" s="37"/>
      <c r="T53" s="37"/>
      <c r="U53" s="37"/>
      <c r="V53" s="37"/>
      <c r="W53" s="37"/>
    </row>
    <row r="54" spans="1:23" ht="16.5" customHeight="1" x14ac:dyDescent="0.25">
      <c r="B54" s="378" t="s">
        <v>150</v>
      </c>
      <c r="C54" s="423">
        <v>22</v>
      </c>
      <c r="D54" s="234"/>
      <c r="E54" s="358"/>
      <c r="F54" s="37"/>
      <c r="G54" s="37"/>
      <c r="H54" s="37"/>
      <c r="I54" s="384"/>
      <c r="J54" s="384"/>
      <c r="K54" s="384"/>
      <c r="L54" s="384"/>
      <c r="M54" s="384"/>
      <c r="N54" s="384"/>
      <c r="O54" s="384"/>
      <c r="P54" s="429"/>
      <c r="Q54" s="37"/>
      <c r="R54" s="37"/>
      <c r="S54" s="37"/>
      <c r="T54" s="37"/>
      <c r="U54" s="37"/>
      <c r="V54" s="37"/>
      <c r="W54" s="37"/>
    </row>
    <row r="55" spans="1:23" x14ac:dyDescent="0.25">
      <c r="B55" s="378" t="s">
        <v>152</v>
      </c>
      <c r="C55" s="264">
        <v>27</v>
      </c>
      <c r="D55" s="37"/>
      <c r="E55" s="358"/>
      <c r="F55" s="36"/>
      <c r="G55" s="37"/>
      <c r="H55" s="37"/>
      <c r="I55" s="384"/>
      <c r="J55" s="384"/>
      <c r="K55" s="384"/>
      <c r="L55" s="384"/>
      <c r="M55" s="384"/>
      <c r="N55" s="384"/>
      <c r="P55" s="429"/>
      <c r="Q55" s="37"/>
      <c r="R55" s="37"/>
      <c r="S55" s="37"/>
      <c r="T55" s="37"/>
      <c r="U55" s="37"/>
      <c r="V55" s="37"/>
      <c r="W55" s="37"/>
    </row>
    <row r="56" spans="1:23" ht="15" customHeight="1" x14ac:dyDescent="0.25">
      <c r="B56" s="413" t="s">
        <v>355</v>
      </c>
      <c r="C56" s="264">
        <f>SUM(C57:C61)</f>
        <v>150</v>
      </c>
      <c r="D56" s="37"/>
      <c r="E56" s="358"/>
      <c r="F56" s="37"/>
      <c r="G56" s="37"/>
      <c r="H56" s="37"/>
      <c r="I56" s="37"/>
      <c r="J56" s="37"/>
      <c r="K56" s="37"/>
      <c r="L56" s="37"/>
      <c r="M56" s="37"/>
      <c r="N56" s="37"/>
      <c r="P56" s="235"/>
      <c r="Q56" s="37"/>
      <c r="R56" s="37"/>
      <c r="S56" s="37"/>
      <c r="T56" s="37"/>
      <c r="U56" s="37"/>
      <c r="V56" s="37"/>
      <c r="W56" s="37"/>
    </row>
    <row r="57" spans="1:23" ht="17.25" customHeight="1" x14ac:dyDescent="0.25">
      <c r="B57" s="378" t="s">
        <v>342</v>
      </c>
      <c r="C57" s="264">
        <f>'Response and Relief Act Score'!F7</f>
        <v>29</v>
      </c>
      <c r="D57" s="37"/>
      <c r="E57" s="358"/>
      <c r="F57" s="37"/>
      <c r="G57" s="37"/>
      <c r="H57" s="37"/>
      <c r="I57" s="37"/>
    </row>
    <row r="58" spans="1:23" x14ac:dyDescent="0.25">
      <c r="B58" s="378" t="s">
        <v>150</v>
      </c>
      <c r="C58" s="264">
        <f>'Response and Relief Act Score'!F5</f>
        <v>82</v>
      </c>
      <c r="D58" s="37"/>
      <c r="E58" s="358"/>
      <c r="F58" s="37"/>
      <c r="G58" s="37"/>
      <c r="H58" s="37"/>
      <c r="I58" s="37"/>
      <c r="J58" s="37"/>
      <c r="K58" s="37"/>
      <c r="L58" s="37"/>
      <c r="M58" s="37"/>
      <c r="N58" s="37"/>
      <c r="P58" s="235"/>
      <c r="Q58" s="37"/>
      <c r="R58" s="37"/>
      <c r="S58" s="37"/>
      <c r="T58" s="37"/>
      <c r="U58" s="37"/>
      <c r="V58" s="37"/>
      <c r="W58" s="37"/>
    </row>
    <row r="59" spans="1:23" x14ac:dyDescent="0.25">
      <c r="B59" s="378" t="s">
        <v>152</v>
      </c>
      <c r="C59" s="264">
        <f>'Response and Relief Act Score'!F6</f>
        <v>3</v>
      </c>
      <c r="D59" s="37"/>
      <c r="E59" s="358"/>
      <c r="F59" s="37"/>
      <c r="G59" s="37"/>
      <c r="H59" s="37"/>
      <c r="I59" s="37"/>
      <c r="J59" s="37"/>
      <c r="K59" s="37"/>
      <c r="L59" s="37"/>
      <c r="M59" s="37"/>
      <c r="N59" s="37"/>
      <c r="P59" s="235"/>
      <c r="Q59" s="37"/>
      <c r="R59" s="37"/>
      <c r="S59" s="37"/>
      <c r="T59" s="37"/>
      <c r="U59" s="37"/>
      <c r="V59" s="37"/>
      <c r="W59" s="37"/>
    </row>
    <row r="60" spans="1:23" ht="29.25" customHeight="1" x14ac:dyDescent="0.25">
      <c r="B60" s="378" t="s">
        <v>358</v>
      </c>
      <c r="C60" s="264">
        <f>'Response and Relief Act Score'!F9</f>
        <v>34</v>
      </c>
      <c r="D60" s="37"/>
      <c r="E60" s="358"/>
      <c r="F60" s="37"/>
      <c r="G60" s="37"/>
      <c r="H60" s="37"/>
      <c r="I60" s="399"/>
      <c r="J60" s="37"/>
      <c r="K60" s="37"/>
      <c r="L60" s="37"/>
      <c r="M60" s="37"/>
      <c r="N60" s="37"/>
      <c r="O60" s="384"/>
      <c r="P60" s="235"/>
      <c r="Q60" s="37"/>
      <c r="R60" s="37"/>
      <c r="S60" s="37"/>
      <c r="T60" s="37"/>
      <c r="U60" s="37"/>
      <c r="V60" s="37"/>
      <c r="W60" s="37"/>
    </row>
    <row r="61" spans="1:23" ht="12.75" customHeight="1" x14ac:dyDescent="0.25">
      <c r="B61" s="378" t="s">
        <v>359</v>
      </c>
      <c r="C61" s="264">
        <f>'Response and Relief Act Score'!F8</f>
        <v>2</v>
      </c>
      <c r="D61" s="37"/>
      <c r="E61" s="358"/>
      <c r="F61" s="37"/>
      <c r="G61" s="37"/>
      <c r="H61" s="37"/>
      <c r="I61" s="37"/>
      <c r="J61" s="37"/>
      <c r="K61" s="37"/>
      <c r="L61" s="37"/>
      <c r="M61" s="37"/>
      <c r="N61" s="37"/>
      <c r="O61" s="37"/>
      <c r="P61" s="235"/>
      <c r="Q61" s="37"/>
      <c r="R61" s="37"/>
      <c r="S61" s="37"/>
      <c r="T61" s="37"/>
      <c r="U61" s="37"/>
      <c r="V61" s="37"/>
      <c r="W61" s="37"/>
    </row>
    <row r="62" spans="1:23" x14ac:dyDescent="0.25">
      <c r="A62" s="390"/>
      <c r="B62" s="387" t="s">
        <v>360</v>
      </c>
      <c r="C62" s="394">
        <f>SUM(C63:C67)</f>
        <v>549.11599999999999</v>
      </c>
      <c r="D62" s="37"/>
      <c r="E62" s="358"/>
      <c r="F62" s="37"/>
      <c r="G62" s="37"/>
      <c r="H62" s="37"/>
      <c r="I62" s="37"/>
      <c r="J62" s="37"/>
      <c r="K62" s="37"/>
      <c r="L62" s="37"/>
      <c r="M62" s="37"/>
      <c r="N62" s="37"/>
      <c r="P62" s="235"/>
      <c r="Q62" s="37"/>
      <c r="R62" s="37"/>
      <c r="S62" s="37"/>
      <c r="T62" s="37"/>
      <c r="U62" s="37"/>
      <c r="V62" s="37"/>
      <c r="W62" s="37"/>
    </row>
    <row r="63" spans="1:23" ht="16.350000000000001" customHeight="1" x14ac:dyDescent="0.25">
      <c r="A63" s="390"/>
      <c r="B63" s="389" t="s">
        <v>347</v>
      </c>
      <c r="C63" s="394">
        <f>'ARP Score'!AJ16</f>
        <v>362.04999999999995</v>
      </c>
      <c r="D63" s="37"/>
      <c r="E63" s="358"/>
      <c r="F63" s="37"/>
      <c r="G63" s="37"/>
      <c r="H63" s="37"/>
      <c r="I63" s="37"/>
      <c r="J63" s="37"/>
      <c r="K63" s="37"/>
      <c r="L63" s="37"/>
      <c r="M63" s="37"/>
      <c r="N63" s="37"/>
      <c r="O63" s="37"/>
      <c r="P63" s="235"/>
      <c r="Q63" s="37"/>
      <c r="R63" s="37"/>
      <c r="S63" s="37"/>
      <c r="T63" s="37"/>
      <c r="U63" s="37"/>
      <c r="V63" s="37"/>
      <c r="W63" s="37"/>
    </row>
    <row r="64" spans="1:23" ht="15" customHeight="1" x14ac:dyDescent="0.25">
      <c r="A64" s="1297"/>
      <c r="B64" s="389" t="s">
        <v>150</v>
      </c>
      <c r="C64" s="394">
        <f>'ARP Score'!AL16</f>
        <v>169.16899999999998</v>
      </c>
      <c r="D64" s="37"/>
      <c r="E64" s="358"/>
      <c r="F64" s="37"/>
      <c r="G64" s="37"/>
      <c r="H64" s="37"/>
      <c r="I64" s="37"/>
      <c r="J64" s="37"/>
      <c r="K64" s="37"/>
      <c r="L64" s="37"/>
      <c r="M64" s="37"/>
      <c r="N64" s="37"/>
      <c r="O64" s="37"/>
      <c r="P64" s="235"/>
      <c r="Q64" s="392"/>
      <c r="R64" s="37"/>
      <c r="S64" s="37"/>
      <c r="T64" s="37"/>
      <c r="U64" s="37"/>
      <c r="V64" s="37"/>
      <c r="W64" s="37"/>
    </row>
    <row r="65" spans="1:42" x14ac:dyDescent="0.25">
      <c r="A65" s="1297"/>
      <c r="B65" s="389" t="s">
        <v>152</v>
      </c>
      <c r="C65" s="394">
        <f>'ARP Score'!AK16</f>
        <v>8.5</v>
      </c>
      <c r="D65" s="37"/>
      <c r="E65" s="358"/>
      <c r="F65" s="37"/>
      <c r="G65" s="37"/>
      <c r="H65" s="37"/>
      <c r="I65" s="37"/>
      <c r="J65" s="37"/>
      <c r="K65" s="37"/>
      <c r="L65" s="37"/>
      <c r="M65" s="37"/>
      <c r="N65" s="37"/>
      <c r="O65" s="37"/>
      <c r="P65" s="235"/>
      <c r="Q65" s="37"/>
      <c r="R65" s="37"/>
      <c r="S65" s="37"/>
      <c r="T65" s="37"/>
      <c r="U65" s="37"/>
      <c r="V65" s="37"/>
      <c r="W65" s="37"/>
    </row>
    <row r="66" spans="1:42" ht="17.25" customHeight="1" x14ac:dyDescent="0.25">
      <c r="A66" s="390"/>
      <c r="B66" s="389" t="s">
        <v>363</v>
      </c>
      <c r="C66" s="394">
        <f>'ARP Score'!AM16</f>
        <v>0.79700000000000004</v>
      </c>
      <c r="D66" s="37"/>
      <c r="E66" s="358"/>
      <c r="F66" s="37"/>
      <c r="G66" s="37"/>
      <c r="H66" s="37"/>
      <c r="I66" s="37"/>
      <c r="J66" s="37"/>
      <c r="K66" s="37"/>
      <c r="L66" s="37"/>
      <c r="M66" s="37"/>
      <c r="N66" s="37"/>
      <c r="O66" s="37"/>
      <c r="P66" s="235"/>
      <c r="Q66" s="37"/>
      <c r="R66" s="37"/>
      <c r="S66" s="37"/>
      <c r="T66" s="37"/>
      <c r="U66" s="37"/>
      <c r="V66" s="37"/>
      <c r="W66" s="37"/>
    </row>
    <row r="67" spans="1:42" ht="17.25" customHeight="1" x14ac:dyDescent="0.25">
      <c r="A67" s="390"/>
      <c r="B67" s="391" t="s">
        <v>373</v>
      </c>
      <c r="C67" s="395">
        <f>'ARP Score'!AN16</f>
        <v>8.6</v>
      </c>
      <c r="D67" s="393"/>
      <c r="E67" s="381"/>
      <c r="F67" s="37"/>
      <c r="G67" s="37"/>
      <c r="H67" s="37"/>
      <c r="I67" s="37"/>
      <c r="J67" s="37"/>
      <c r="K67" s="37"/>
      <c r="L67" s="37"/>
      <c r="M67" s="37"/>
      <c r="N67" s="37"/>
      <c r="O67" s="37"/>
      <c r="P67" s="235"/>
      <c r="Q67" s="37"/>
      <c r="R67" s="37"/>
      <c r="S67" s="37"/>
      <c r="T67" s="37"/>
      <c r="U67" s="37"/>
      <c r="V67" s="37"/>
      <c r="W67" s="37"/>
    </row>
    <row r="68" spans="1:42" ht="17.25" customHeight="1" x14ac:dyDescent="0.25">
      <c r="B68" s="389"/>
      <c r="C68" s="55"/>
      <c r="D68" s="55"/>
      <c r="E68" s="55"/>
      <c r="F68" s="55"/>
      <c r="G68" s="55"/>
      <c r="H68" s="37"/>
      <c r="I68" s="37"/>
      <c r="J68" s="37"/>
      <c r="K68" s="37"/>
      <c r="L68" s="37"/>
      <c r="M68" s="37"/>
      <c r="N68" s="37"/>
      <c r="O68" s="37"/>
      <c r="P68" s="235"/>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row>
    <row r="69" spans="1:42" ht="17.25" customHeight="1" x14ac:dyDescent="0.25">
      <c r="B69" s="379" t="s">
        <v>374</v>
      </c>
      <c r="C69" s="55"/>
      <c r="D69" s="55"/>
      <c r="E69" s="55"/>
      <c r="F69" s="55"/>
      <c r="G69" s="55"/>
      <c r="H69" s="37"/>
      <c r="I69" s="37"/>
      <c r="J69" s="37"/>
      <c r="K69" s="37"/>
      <c r="L69" s="37"/>
      <c r="M69" s="37"/>
      <c r="N69" s="37"/>
      <c r="O69" s="37"/>
      <c r="P69" s="235"/>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row>
    <row r="70" spans="1:42" ht="14.85" customHeight="1" x14ac:dyDescent="0.25">
      <c r="B70" s="1269" t="s">
        <v>375</v>
      </c>
      <c r="C70" s="1270"/>
      <c r="D70" s="1293" t="s">
        <v>279</v>
      </c>
      <c r="E70" s="1294"/>
      <c r="F70" s="1294"/>
      <c r="G70" s="1294"/>
      <c r="H70" s="1294"/>
      <c r="I70" s="1294"/>
      <c r="J70" s="1294"/>
      <c r="K70" s="1294"/>
      <c r="L70" s="1294"/>
      <c r="M70" s="1294"/>
      <c r="N70" s="1294"/>
      <c r="O70" s="1294"/>
      <c r="P70" s="1294"/>
      <c r="Q70" s="1294"/>
      <c r="R70" s="1294"/>
      <c r="S70" s="1294"/>
      <c r="T70" s="1294"/>
      <c r="U70" s="1294"/>
      <c r="V70" s="1294"/>
      <c r="W70" s="1294"/>
      <c r="X70" s="1294"/>
      <c r="Y70" s="1294"/>
      <c r="Z70" s="1294"/>
      <c r="AA70" s="1295"/>
      <c r="AB70" s="1296" t="s">
        <v>280</v>
      </c>
      <c r="AC70" s="1277"/>
      <c r="AD70" s="1277"/>
      <c r="AE70" s="1277"/>
      <c r="AF70" s="1277"/>
      <c r="AG70" s="1277"/>
      <c r="AH70" s="1277"/>
      <c r="AI70" s="1277"/>
      <c r="AJ70" s="1277"/>
      <c r="AK70" s="1277"/>
      <c r="AL70" s="1277"/>
      <c r="AM70" s="1277"/>
      <c r="AN70" s="1278"/>
      <c r="AO70" s="320"/>
      <c r="AP70" s="320"/>
    </row>
    <row r="71" spans="1:42" x14ac:dyDescent="0.25">
      <c r="B71" s="1271"/>
      <c r="C71" s="1272"/>
      <c r="D71" s="285">
        <v>2018</v>
      </c>
      <c r="E71" s="1288">
        <v>2019</v>
      </c>
      <c r="F71" s="1289"/>
      <c r="G71" s="1289"/>
      <c r="H71" s="1290"/>
      <c r="I71" s="1288">
        <v>2020</v>
      </c>
      <c r="J71" s="1289"/>
      <c r="K71" s="1289"/>
      <c r="L71" s="1289"/>
      <c r="M71" s="1288">
        <v>2021</v>
      </c>
      <c r="N71" s="1289"/>
      <c r="O71" s="1289"/>
      <c r="P71" s="1289"/>
      <c r="Q71" s="1291">
        <v>2022</v>
      </c>
      <c r="R71" s="1292"/>
      <c r="S71" s="291"/>
      <c r="T71" s="291"/>
      <c r="U71" s="1288">
        <v>2023</v>
      </c>
      <c r="V71" s="1300"/>
      <c r="W71" s="1300"/>
      <c r="X71" s="1290"/>
      <c r="Y71" s="291"/>
      <c r="Z71" s="431">
        <v>2024</v>
      </c>
      <c r="AA71" s="431"/>
      <c r="AB71" s="324"/>
      <c r="AC71" s="1275">
        <v>2025</v>
      </c>
      <c r="AD71" s="1276"/>
      <c r="AE71" s="1276"/>
      <c r="AF71" s="1280"/>
      <c r="AG71" s="1275">
        <v>2026</v>
      </c>
      <c r="AH71" s="1276"/>
      <c r="AI71" s="1276"/>
      <c r="AJ71" s="1280"/>
      <c r="AK71" s="1275">
        <v>2027</v>
      </c>
      <c r="AL71" s="1276"/>
      <c r="AM71" s="1276"/>
      <c r="AN71" s="1280"/>
      <c r="AO71" s="238"/>
      <c r="AP71" s="238"/>
    </row>
    <row r="72" spans="1:42" x14ac:dyDescent="0.25">
      <c r="B72" s="1273"/>
      <c r="C72" s="1274"/>
      <c r="D72" s="214" t="s">
        <v>281</v>
      </c>
      <c r="E72" s="214" t="s">
        <v>282</v>
      </c>
      <c r="F72" s="215" t="s">
        <v>283</v>
      </c>
      <c r="G72" s="215" t="s">
        <v>238</v>
      </c>
      <c r="H72" s="221" t="s">
        <v>281</v>
      </c>
      <c r="I72" s="215" t="s">
        <v>282</v>
      </c>
      <c r="J72" s="215" t="s">
        <v>283</v>
      </c>
      <c r="K72" s="215" t="s">
        <v>238</v>
      </c>
      <c r="L72" s="215" t="s">
        <v>281</v>
      </c>
      <c r="M72" s="214" t="s">
        <v>282</v>
      </c>
      <c r="N72" s="215" t="s">
        <v>283</v>
      </c>
      <c r="O72" s="215" t="s">
        <v>238</v>
      </c>
      <c r="P72" s="215" t="s">
        <v>281</v>
      </c>
      <c r="Q72" s="214" t="s">
        <v>282</v>
      </c>
      <c r="R72" s="215" t="s">
        <v>283</v>
      </c>
      <c r="S72" s="215" t="s">
        <v>238</v>
      </c>
      <c r="T72" s="215" t="s">
        <v>281</v>
      </c>
      <c r="U72" s="275" t="s">
        <v>282</v>
      </c>
      <c r="V72" s="276" t="s">
        <v>283</v>
      </c>
      <c r="W72" s="276" t="s">
        <v>238</v>
      </c>
      <c r="X72" s="274" t="s">
        <v>281</v>
      </c>
      <c r="Y72" s="276" t="s">
        <v>282</v>
      </c>
      <c r="Z72" s="281" t="s">
        <v>283</v>
      </c>
      <c r="AA72" s="276" t="s">
        <v>238</v>
      </c>
      <c r="AB72" s="262" t="s">
        <v>281</v>
      </c>
      <c r="AC72" s="288" t="s">
        <v>282</v>
      </c>
      <c r="AD72" s="260" t="s">
        <v>283</v>
      </c>
      <c r="AE72" s="262" t="s">
        <v>238</v>
      </c>
      <c r="AF72" s="290" t="s">
        <v>281</v>
      </c>
      <c r="AG72" s="225" t="s">
        <v>282</v>
      </c>
      <c r="AH72" s="260" t="s">
        <v>283</v>
      </c>
      <c r="AI72" s="260" t="s">
        <v>238</v>
      </c>
      <c r="AJ72" s="279" t="s">
        <v>281</v>
      </c>
      <c r="AK72" s="225" t="s">
        <v>282</v>
      </c>
      <c r="AL72" s="260" t="s">
        <v>283</v>
      </c>
      <c r="AM72" s="260" t="s">
        <v>238</v>
      </c>
      <c r="AN72" s="279" t="s">
        <v>281</v>
      </c>
      <c r="AO72" s="56"/>
      <c r="AP72" s="56"/>
    </row>
    <row r="73" spans="1:42" ht="29.25" customHeight="1" x14ac:dyDescent="0.25">
      <c r="B73" s="354" t="s">
        <v>376</v>
      </c>
      <c r="C73" s="414"/>
      <c r="D73" s="355"/>
      <c r="E73" s="356"/>
      <c r="F73" s="356"/>
      <c r="G73" s="356"/>
      <c r="H73" s="357">
        <f t="shared" ref="H73:O73" si="27">SUM(H75:H83)</f>
        <v>208.815</v>
      </c>
      <c r="I73" s="357">
        <f t="shared" si="27"/>
        <v>212.11</v>
      </c>
      <c r="J73" s="357">
        <f t="shared" si="27"/>
        <v>321.19400000000007</v>
      </c>
      <c r="K73" s="357">
        <f t="shared" si="27"/>
        <v>295.41999999999996</v>
      </c>
      <c r="L73" s="357">
        <f t="shared" si="27"/>
        <v>293.01599999999996</v>
      </c>
      <c r="M73" s="357">
        <f t="shared" si="27"/>
        <v>318.27100000000007</v>
      </c>
      <c r="N73" s="357">
        <f t="shared" si="27"/>
        <v>354.85400000000004</v>
      </c>
      <c r="O73" s="357">
        <f t="shared" si="27"/>
        <v>373.11799999999988</v>
      </c>
      <c r="P73" s="428">
        <f>SUM(P75:P84)</f>
        <v>399.43985199999997</v>
      </c>
      <c r="Q73" s="357">
        <f>SUM(Q75:Q84)</f>
        <v>430.7982748</v>
      </c>
      <c r="R73" s="357">
        <f>SUM(R75:R84)</f>
        <v>500.33303199999995</v>
      </c>
      <c r="S73" s="357">
        <f>SUM(S75:S84)</f>
        <v>483.13586799999996</v>
      </c>
      <c r="T73" s="373">
        <f t="shared" ref="T73:AD73" si="28">SUM(T75:T84)</f>
        <v>450.110928</v>
      </c>
      <c r="U73" s="334">
        <f>SUM(U75:U84)</f>
        <v>441.01454320000011</v>
      </c>
      <c r="V73" s="334">
        <f>SUM(V75:V84)</f>
        <v>433.78172000000006</v>
      </c>
      <c r="W73" s="334">
        <f>SUM(W75:W84)</f>
        <v>417.68194400000004</v>
      </c>
      <c r="X73" s="334">
        <f t="shared" si="28"/>
        <v>432.29994399999998</v>
      </c>
      <c r="Y73" s="410">
        <f t="shared" si="28"/>
        <v>434.70694400000002</v>
      </c>
      <c r="Z73" s="410">
        <f t="shared" si="28"/>
        <v>440.59710899999999</v>
      </c>
      <c r="AA73" s="410">
        <f>SUM(AA75:AA84)</f>
        <v>461.9273300000001</v>
      </c>
      <c r="AB73" s="410">
        <f t="shared" si="28"/>
        <v>463.54132570000002</v>
      </c>
      <c r="AC73" s="339">
        <f t="shared" si="28"/>
        <v>424.254997</v>
      </c>
      <c r="AD73" s="339">
        <f t="shared" si="28"/>
        <v>419.73814268217643</v>
      </c>
      <c r="AE73" s="339">
        <f t="shared" ref="AE73:AJ73" si="29">SUM(AE75:AE84)</f>
        <v>422.42439169649873</v>
      </c>
      <c r="AF73" s="339">
        <f t="shared" si="29"/>
        <v>421.25141049708719</v>
      </c>
      <c r="AG73" s="339">
        <f t="shared" si="29"/>
        <v>424.11699880000009</v>
      </c>
      <c r="AH73" s="339">
        <f t="shared" si="29"/>
        <v>424.20782290946357</v>
      </c>
      <c r="AI73" s="339">
        <f t="shared" si="29"/>
        <v>428.13016104435877</v>
      </c>
      <c r="AJ73" s="339">
        <f t="shared" si="29"/>
        <v>430.08129416497064</v>
      </c>
      <c r="AK73" s="339">
        <f t="shared" ref="AK73:AN73" si="30">SUM(AK75:AK84)</f>
        <v>433.06150600000007</v>
      </c>
      <c r="AL73" s="339">
        <f t="shared" si="30"/>
        <v>436.07108307384209</v>
      </c>
      <c r="AM73" s="339">
        <f>SUM(AM75:AM84)</f>
        <v>439.11031473413311</v>
      </c>
      <c r="AN73" s="339">
        <f t="shared" si="30"/>
        <v>442.17949317956948</v>
      </c>
      <c r="AO73" s="347"/>
      <c r="AP73" s="347"/>
    </row>
    <row r="74" spans="1:42" ht="19.350000000000001" customHeight="1" x14ac:dyDescent="0.25">
      <c r="B74" s="422" t="s">
        <v>377</v>
      </c>
      <c r="C74" s="234"/>
      <c r="D74" s="264"/>
      <c r="E74" s="234"/>
      <c r="F74" s="234"/>
      <c r="G74" s="234"/>
      <c r="H74" s="334"/>
      <c r="I74" s="334"/>
      <c r="J74" s="334"/>
      <c r="K74" s="334"/>
      <c r="L74" s="334"/>
      <c r="M74" s="334"/>
      <c r="N74" s="334"/>
      <c r="O74" s="334"/>
      <c r="P74" s="230"/>
      <c r="Q74" s="334"/>
      <c r="R74" s="334"/>
      <c r="S74" s="334"/>
      <c r="T74" s="334"/>
      <c r="U74" s="334"/>
      <c r="V74" s="334"/>
      <c r="W74" s="334"/>
      <c r="X74" s="334"/>
      <c r="Y74" s="340"/>
      <c r="Z74" s="340"/>
      <c r="AA74" s="340"/>
      <c r="AB74" s="340"/>
      <c r="AC74" s="340"/>
      <c r="AD74" s="340"/>
      <c r="AE74" s="340"/>
      <c r="AF74" s="340"/>
      <c r="AG74" s="339"/>
      <c r="AH74" s="339"/>
      <c r="AI74" s="339"/>
      <c r="AJ74" s="339"/>
      <c r="AK74" s="339"/>
      <c r="AL74" s="339"/>
      <c r="AM74" s="339"/>
      <c r="AN74" s="339"/>
      <c r="AO74" s="347"/>
      <c r="AP74" s="347"/>
    </row>
    <row r="75" spans="1:42" x14ac:dyDescent="0.25">
      <c r="B75" s="363" t="s">
        <v>152</v>
      </c>
      <c r="C75" s="36"/>
      <c r="D75" s="360"/>
      <c r="E75" s="36"/>
      <c r="F75" s="36"/>
      <c r="G75" s="36"/>
      <c r="H75" s="334"/>
      <c r="I75" s="334"/>
      <c r="J75" s="334">
        <f t="shared" ref="J75:AG75" si="31">J14</f>
        <v>64.400000000000006</v>
      </c>
      <c r="K75" s="334">
        <f t="shared" si="31"/>
        <v>23.4</v>
      </c>
      <c r="L75" s="334">
        <f t="shared" si="31"/>
        <v>13.8</v>
      </c>
      <c r="M75" s="334">
        <f t="shared" si="31"/>
        <v>12</v>
      </c>
      <c r="N75" s="334">
        <f t="shared" si="31"/>
        <v>7.5</v>
      </c>
      <c r="O75" s="334">
        <f t="shared" si="31"/>
        <v>10.5</v>
      </c>
      <c r="P75" s="230">
        <f t="shared" si="31"/>
        <v>18</v>
      </c>
      <c r="Q75" s="334">
        <f t="shared" si="31"/>
        <v>15</v>
      </c>
      <c r="R75" s="334">
        <f t="shared" si="31"/>
        <v>11.2</v>
      </c>
      <c r="S75" s="334">
        <f t="shared" si="31"/>
        <v>7.5</v>
      </c>
      <c r="T75" s="334">
        <f t="shared" si="31"/>
        <v>6.2</v>
      </c>
      <c r="U75" s="334">
        <f t="shared" si="31"/>
        <v>0</v>
      </c>
      <c r="V75" s="334">
        <f t="shared" si="31"/>
        <v>0</v>
      </c>
      <c r="W75" s="334">
        <f t="shared" si="31"/>
        <v>0</v>
      </c>
      <c r="X75" s="334">
        <f t="shared" si="31"/>
        <v>0</v>
      </c>
      <c r="Y75" s="340">
        <f t="shared" si="31"/>
        <v>0</v>
      </c>
      <c r="Z75" s="340">
        <f t="shared" si="31"/>
        <v>0</v>
      </c>
      <c r="AA75" s="340">
        <f t="shared" si="31"/>
        <v>0</v>
      </c>
      <c r="AB75" s="340">
        <f t="shared" si="31"/>
        <v>0</v>
      </c>
      <c r="AC75" s="340">
        <f t="shared" si="31"/>
        <v>0</v>
      </c>
      <c r="AD75" s="340">
        <f t="shared" si="31"/>
        <v>0</v>
      </c>
      <c r="AE75" s="340">
        <f t="shared" si="31"/>
        <v>0</v>
      </c>
      <c r="AF75" s="340">
        <f t="shared" si="31"/>
        <v>0</v>
      </c>
      <c r="AG75" s="339">
        <f t="shared" si="31"/>
        <v>0</v>
      </c>
      <c r="AH75" s="339">
        <f t="shared" ref="AH75:AI75" si="32">AH14</f>
        <v>0</v>
      </c>
      <c r="AI75" s="339">
        <f t="shared" si="32"/>
        <v>0</v>
      </c>
      <c r="AJ75" s="339">
        <f t="shared" ref="AJ75:AN75" si="33">AJ14</f>
        <v>0</v>
      </c>
      <c r="AK75" s="339">
        <f>AK14</f>
        <v>0</v>
      </c>
      <c r="AL75" s="339">
        <f t="shared" si="33"/>
        <v>0</v>
      </c>
      <c r="AM75" s="339">
        <f t="shared" si="33"/>
        <v>0</v>
      </c>
      <c r="AN75" s="339">
        <f t="shared" si="33"/>
        <v>0</v>
      </c>
      <c r="AO75" s="334"/>
      <c r="AP75" s="334"/>
    </row>
    <row r="76" spans="1:42" x14ac:dyDescent="0.25">
      <c r="B76" s="363" t="s">
        <v>342</v>
      </c>
      <c r="C76" s="36"/>
      <c r="D76" s="360"/>
      <c r="E76" s="36"/>
      <c r="F76" s="36"/>
      <c r="G76" s="36"/>
      <c r="H76" s="334"/>
      <c r="I76" s="334"/>
      <c r="J76" s="334"/>
      <c r="K76" s="334"/>
      <c r="L76" s="334"/>
      <c r="M76" s="334">
        <f>M28</f>
        <v>9.6666666666666661</v>
      </c>
      <c r="N76" s="334">
        <f t="shared" ref="N76:AC76" si="34">N28</f>
        <v>9.6666666666666661</v>
      </c>
      <c r="O76" s="334">
        <f t="shared" si="34"/>
        <v>9.6666666666666661</v>
      </c>
      <c r="P76" s="230">
        <f t="shared" si="34"/>
        <v>9.6666666666666661</v>
      </c>
      <c r="Q76" s="334">
        <f>Q28</f>
        <v>9.6666666666666661</v>
      </c>
      <c r="R76" s="334">
        <f>R28</f>
        <v>9.6666666666666661</v>
      </c>
      <c r="S76" s="334">
        <f>S28</f>
        <v>9.6666666666666661</v>
      </c>
      <c r="T76" s="334">
        <f t="shared" si="34"/>
        <v>9.6666666666666661</v>
      </c>
      <c r="U76" s="334">
        <f t="shared" si="34"/>
        <v>9.6666666666666661</v>
      </c>
      <c r="V76" s="334">
        <f t="shared" si="34"/>
        <v>9.6666666666666661</v>
      </c>
      <c r="W76" s="334">
        <f t="shared" si="34"/>
        <v>9.6666666666666661</v>
      </c>
      <c r="X76" s="334">
        <f t="shared" si="34"/>
        <v>9.6666666666666661</v>
      </c>
      <c r="Y76" s="340">
        <f t="shared" si="34"/>
        <v>0</v>
      </c>
      <c r="Z76" s="340">
        <f t="shared" si="34"/>
        <v>0</v>
      </c>
      <c r="AA76" s="340">
        <f t="shared" si="34"/>
        <v>0</v>
      </c>
      <c r="AB76" s="340">
        <f t="shared" si="34"/>
        <v>0</v>
      </c>
      <c r="AC76" s="340">
        <f t="shared" si="34"/>
        <v>0</v>
      </c>
      <c r="AD76" s="340">
        <f t="shared" ref="AD76:AG76" si="35">AD28</f>
        <v>0</v>
      </c>
      <c r="AE76" s="340">
        <f t="shared" si="35"/>
        <v>0</v>
      </c>
      <c r="AF76" s="340">
        <f t="shared" si="35"/>
        <v>0</v>
      </c>
      <c r="AG76" s="339">
        <f t="shared" si="35"/>
        <v>0</v>
      </c>
      <c r="AH76" s="339">
        <f t="shared" ref="AH76:AI76" si="36">AH28</f>
        <v>0</v>
      </c>
      <c r="AI76" s="339">
        <f t="shared" si="36"/>
        <v>0</v>
      </c>
      <c r="AJ76" s="339">
        <f t="shared" ref="AJ76:AN76" si="37">AJ28</f>
        <v>0</v>
      </c>
      <c r="AK76" s="339">
        <f t="shared" si="37"/>
        <v>0</v>
      </c>
      <c r="AL76" s="339">
        <f t="shared" si="37"/>
        <v>0</v>
      </c>
      <c r="AM76" s="339">
        <f t="shared" si="37"/>
        <v>0</v>
      </c>
      <c r="AN76" s="339">
        <f t="shared" si="37"/>
        <v>0</v>
      </c>
      <c r="AO76" s="334"/>
      <c r="AP76" s="334"/>
    </row>
    <row r="77" spans="1:42" x14ac:dyDescent="0.25">
      <c r="B77" s="363" t="s">
        <v>378</v>
      </c>
      <c r="C77" s="36"/>
      <c r="D77" s="360"/>
      <c r="E77" s="36"/>
      <c r="F77" s="36"/>
      <c r="G77" s="36"/>
      <c r="H77" s="334"/>
      <c r="I77" s="334"/>
      <c r="J77" s="334"/>
      <c r="K77" s="334"/>
      <c r="L77" s="334"/>
      <c r="M77" s="334">
        <f t="shared" ref="M77:AG77" si="38">M16</f>
        <v>12</v>
      </c>
      <c r="N77" s="334">
        <f t="shared" si="38"/>
        <v>12</v>
      </c>
      <c r="O77" s="334">
        <f t="shared" si="38"/>
        <v>12</v>
      </c>
      <c r="P77" s="230">
        <f t="shared" si="38"/>
        <v>12</v>
      </c>
      <c r="Q77" s="334">
        <f t="shared" si="38"/>
        <v>12</v>
      </c>
      <c r="R77" s="334">
        <f t="shared" si="38"/>
        <v>12</v>
      </c>
      <c r="S77" s="334">
        <f t="shared" si="38"/>
        <v>12</v>
      </c>
      <c r="T77" s="334">
        <f t="shared" si="38"/>
        <v>12</v>
      </c>
      <c r="U77" s="334">
        <f t="shared" si="38"/>
        <v>12</v>
      </c>
      <c r="V77" s="334">
        <f t="shared" si="38"/>
        <v>12</v>
      </c>
      <c r="W77" s="334">
        <f t="shared" si="38"/>
        <v>12</v>
      </c>
      <c r="X77" s="334">
        <f t="shared" si="38"/>
        <v>12</v>
      </c>
      <c r="Y77" s="340">
        <f t="shared" si="38"/>
        <v>0</v>
      </c>
      <c r="Z77" s="340">
        <f t="shared" si="38"/>
        <v>0</v>
      </c>
      <c r="AA77" s="340">
        <f t="shared" si="38"/>
        <v>0</v>
      </c>
      <c r="AB77" s="340">
        <f t="shared" si="38"/>
        <v>0</v>
      </c>
      <c r="AC77" s="340">
        <f t="shared" si="38"/>
        <v>0</v>
      </c>
      <c r="AD77" s="340">
        <f t="shared" si="38"/>
        <v>0</v>
      </c>
      <c r="AE77" s="340">
        <f t="shared" si="38"/>
        <v>0</v>
      </c>
      <c r="AF77" s="340">
        <f t="shared" si="38"/>
        <v>0</v>
      </c>
      <c r="AG77" s="339">
        <f t="shared" si="38"/>
        <v>0</v>
      </c>
      <c r="AH77" s="339">
        <f t="shared" ref="AH77:AI77" si="39">AH16</f>
        <v>0</v>
      </c>
      <c r="AI77" s="339">
        <f t="shared" si="39"/>
        <v>0</v>
      </c>
      <c r="AJ77" s="339">
        <f t="shared" ref="AJ77:AN77" si="40">AJ16</f>
        <v>0</v>
      </c>
      <c r="AK77" s="339">
        <f t="shared" si="40"/>
        <v>0</v>
      </c>
      <c r="AL77" s="339">
        <f t="shared" si="40"/>
        <v>0</v>
      </c>
      <c r="AM77" s="339">
        <f t="shared" si="40"/>
        <v>0</v>
      </c>
      <c r="AN77" s="339">
        <f t="shared" si="40"/>
        <v>0</v>
      </c>
      <c r="AO77" s="334"/>
      <c r="AP77" s="334"/>
    </row>
    <row r="78" spans="1:42" x14ac:dyDescent="0.25">
      <c r="B78" s="363" t="s">
        <v>379</v>
      </c>
      <c r="C78" s="36"/>
      <c r="D78" s="360"/>
      <c r="E78" s="36"/>
      <c r="F78" s="36"/>
      <c r="G78" s="36"/>
      <c r="H78" s="39">
        <f t="shared" ref="H78:AH78" si="41">H20</f>
        <v>208.815</v>
      </c>
      <c r="I78" s="39">
        <f t="shared" si="41"/>
        <v>212.11</v>
      </c>
      <c r="J78" s="39">
        <f t="shared" si="41"/>
        <v>193.39400000000012</v>
      </c>
      <c r="K78" s="39">
        <f t="shared" si="41"/>
        <v>211.21999999999997</v>
      </c>
      <c r="L78" s="39">
        <f t="shared" si="41"/>
        <v>219.01599999999996</v>
      </c>
      <c r="M78" s="39">
        <f t="shared" si="41"/>
        <v>215.70433333333341</v>
      </c>
      <c r="N78" s="39">
        <f t="shared" si="41"/>
        <v>218.08733333333339</v>
      </c>
      <c r="O78" s="39">
        <f t="shared" si="41"/>
        <v>220.25133333333321</v>
      </c>
      <c r="P78" s="332">
        <f t="shared" si="41"/>
        <v>247.95233333333329</v>
      </c>
      <c r="Q78" s="39">
        <f t="shared" si="41"/>
        <v>245.7353333333333</v>
      </c>
      <c r="R78" s="39">
        <f t="shared" si="41"/>
        <v>262.2163333333333</v>
      </c>
      <c r="S78" s="39">
        <f t="shared" si="41"/>
        <v>256.37333333333328</v>
      </c>
      <c r="T78" s="39">
        <f t="shared" si="41"/>
        <v>227.63733333333334</v>
      </c>
      <c r="U78" s="352">
        <f t="shared" si="41"/>
        <v>238.22800000000012</v>
      </c>
      <c r="V78" s="39">
        <f t="shared" si="41"/>
        <v>232.20100000000008</v>
      </c>
      <c r="W78" s="39">
        <f t="shared" si="41"/>
        <v>222.80400000000003</v>
      </c>
      <c r="X78" s="39">
        <f t="shared" si="41"/>
        <v>247.81200000000001</v>
      </c>
      <c r="Y78" s="341">
        <f t="shared" si="41"/>
        <v>265.71900000000005</v>
      </c>
      <c r="Z78" s="341">
        <f t="shared" si="41"/>
        <v>283.38900000000001</v>
      </c>
      <c r="AA78" s="341">
        <f>AA20</f>
        <v>302.80900000000008</v>
      </c>
      <c r="AB78" s="341">
        <f t="shared" si="41"/>
        <v>302.24700000000007</v>
      </c>
      <c r="AC78" s="341">
        <f t="shared" si="41"/>
        <v>282.39200000000005</v>
      </c>
      <c r="AD78" s="341">
        <f t="shared" si="41"/>
        <v>285.17452318217647</v>
      </c>
      <c r="AE78" s="341">
        <f t="shared" si="41"/>
        <v>287.98446369649878</v>
      </c>
      <c r="AF78" s="341">
        <f t="shared" si="41"/>
        <v>290.82209169708716</v>
      </c>
      <c r="AG78" s="325">
        <f t="shared" si="41"/>
        <v>293.68768000000006</v>
      </c>
      <c r="AH78" s="325">
        <f t="shared" si="41"/>
        <v>296.58150410946354</v>
      </c>
      <c r="AI78" s="325">
        <f t="shared" ref="AI78:AJ78" si="42">AI20</f>
        <v>299.50384224435874</v>
      </c>
      <c r="AJ78" s="325">
        <f t="shared" si="42"/>
        <v>302.45497536497061</v>
      </c>
      <c r="AK78" s="325">
        <f t="shared" ref="AK78:AN78" si="43">AK20</f>
        <v>305.43518720000003</v>
      </c>
      <c r="AL78" s="325">
        <f t="shared" si="43"/>
        <v>308.44476427384205</v>
      </c>
      <c r="AM78" s="325">
        <f t="shared" si="43"/>
        <v>311.48399593413308</v>
      </c>
      <c r="AN78" s="325">
        <f t="shared" si="43"/>
        <v>314.55317437956944</v>
      </c>
      <c r="AO78" s="39"/>
      <c r="AP78" s="39"/>
    </row>
    <row r="79" spans="1:42" x14ac:dyDescent="0.25">
      <c r="B79" s="363" t="s">
        <v>1179</v>
      </c>
      <c r="C79" s="36"/>
      <c r="D79" s="360"/>
      <c r="E79" s="36"/>
      <c r="F79" s="36"/>
      <c r="G79" s="36"/>
      <c r="H79" s="39"/>
      <c r="I79" s="39"/>
      <c r="J79" s="39"/>
      <c r="K79" s="39"/>
      <c r="L79" s="39"/>
      <c r="M79" s="39"/>
      <c r="N79" s="39"/>
      <c r="O79" s="39"/>
      <c r="P79" s="332"/>
      <c r="Q79" s="39"/>
      <c r="R79" s="39"/>
      <c r="S79" s="336">
        <f>'IRA and CHIPS'!E184</f>
        <v>0</v>
      </c>
      <c r="T79" s="336">
        <f>'IRA and CHIPS'!F184</f>
        <v>6.8000000000000005E-2</v>
      </c>
      <c r="U79" s="336">
        <f>'IRA and CHIPS'!G184</f>
        <v>6.8000000000000005E-2</v>
      </c>
      <c r="V79" s="336">
        <f>'IRA and CHIPS'!H184</f>
        <v>6.8000000000000005E-2</v>
      </c>
      <c r="W79" s="336">
        <f>'IRA and CHIPS'!I184</f>
        <v>6.8000000000000005E-2</v>
      </c>
      <c r="X79" s="336">
        <f>'IRA and CHIPS'!J184</f>
        <v>1.363</v>
      </c>
      <c r="Y79" s="349">
        <f>'IRA and CHIPS'!K184</f>
        <v>1.363</v>
      </c>
      <c r="Z79" s="349">
        <f>'IRA and CHIPS'!L184</f>
        <v>1.363</v>
      </c>
      <c r="AA79" s="349">
        <f>'IRA and CHIPS'!M184</f>
        <v>1.363</v>
      </c>
      <c r="AB79" s="349">
        <f>'IRA and CHIPS'!N184</f>
        <v>2.4329999999999998</v>
      </c>
      <c r="AC79" s="349">
        <f>'IRA and CHIPS'!O184</f>
        <v>2.4329999999999998</v>
      </c>
      <c r="AD79" s="349">
        <f>'IRA and CHIPS'!P184</f>
        <v>2.4329999999999998</v>
      </c>
      <c r="AE79" s="349">
        <f>'IRA and CHIPS'!Q184</f>
        <v>2.4329999999999998</v>
      </c>
      <c r="AF79" s="349">
        <f>'IRA and CHIPS'!R184</f>
        <v>2.8029999999999999</v>
      </c>
      <c r="AG79" s="349">
        <f>'IRA and CHIPS'!S184</f>
        <v>2.8029999999999999</v>
      </c>
      <c r="AH79" s="349"/>
      <c r="AI79" s="349">
        <f>'IRA and CHIPS'!U184</f>
        <v>0</v>
      </c>
      <c r="AJ79" s="349"/>
      <c r="AK79" s="349"/>
      <c r="AL79" s="349"/>
      <c r="AM79" s="349"/>
      <c r="AN79" s="349"/>
      <c r="AO79" s="39"/>
      <c r="AP79" s="39"/>
    </row>
    <row r="80" spans="1:42" ht="14.85" customHeight="1" x14ac:dyDescent="0.25">
      <c r="B80" s="402" t="s">
        <v>380</v>
      </c>
      <c r="C80" s="36"/>
      <c r="D80" s="360"/>
      <c r="E80" s="36"/>
      <c r="F80" s="36"/>
      <c r="G80" s="36"/>
      <c r="H80" s="334"/>
      <c r="I80" s="334"/>
      <c r="J80" s="334"/>
      <c r="K80" s="334"/>
      <c r="L80" s="334"/>
      <c r="M80" s="334"/>
      <c r="N80" s="334"/>
      <c r="O80" s="334"/>
      <c r="P80" s="230"/>
      <c r="Q80" s="334"/>
      <c r="R80" s="334"/>
      <c r="S80" s="334"/>
      <c r="T80" s="334"/>
      <c r="U80" s="334"/>
      <c r="V80" s="334"/>
      <c r="W80" s="334"/>
      <c r="X80" s="334"/>
      <c r="Y80" s="340"/>
      <c r="Z80" s="340"/>
      <c r="AA80" s="340"/>
      <c r="AB80" s="340"/>
      <c r="AC80" s="340"/>
      <c r="AD80" s="340"/>
      <c r="AE80" s="340"/>
      <c r="AF80" s="340"/>
      <c r="AG80" s="339"/>
      <c r="AH80" s="339"/>
      <c r="AI80" s="339"/>
      <c r="AJ80" s="339"/>
      <c r="AK80" s="339"/>
      <c r="AL80" s="339"/>
      <c r="AM80" s="339"/>
      <c r="AN80" s="339"/>
      <c r="AO80" s="334"/>
      <c r="AP80" s="334"/>
    </row>
    <row r="81" spans="2:42" ht="14.85" customHeight="1" x14ac:dyDescent="0.25">
      <c r="B81" s="363" t="s">
        <v>150</v>
      </c>
      <c r="C81" s="36"/>
      <c r="D81" s="360"/>
      <c r="E81" s="36"/>
      <c r="F81" s="36"/>
      <c r="G81" s="36"/>
      <c r="H81" s="334"/>
      <c r="I81" s="334"/>
      <c r="J81" s="334">
        <f t="shared" ref="J81:Y81" si="44">J13</f>
        <v>28.4</v>
      </c>
      <c r="K81" s="334">
        <f t="shared" si="44"/>
        <v>15.8</v>
      </c>
      <c r="L81" s="334">
        <f t="shared" si="44"/>
        <v>15.2</v>
      </c>
      <c r="M81" s="334">
        <f t="shared" si="44"/>
        <v>28.9</v>
      </c>
      <c r="N81" s="334">
        <f t="shared" si="44"/>
        <v>67.599999999999994</v>
      </c>
      <c r="O81" s="334">
        <f t="shared" si="44"/>
        <v>80.7</v>
      </c>
      <c r="P81" s="230">
        <f t="shared" si="44"/>
        <v>87.2</v>
      </c>
      <c r="Q81" s="334">
        <f t="shared" si="44"/>
        <v>72.400000000000006</v>
      </c>
      <c r="R81" s="334">
        <f t="shared" si="44"/>
        <v>85.9</v>
      </c>
      <c r="S81" s="334">
        <f t="shared" si="44"/>
        <v>68.3</v>
      </c>
      <c r="T81" s="334">
        <f t="shared" si="44"/>
        <v>64</v>
      </c>
      <c r="U81" s="334">
        <f t="shared" si="44"/>
        <v>60.929333333333297</v>
      </c>
      <c r="V81" s="334">
        <f t="shared" si="44"/>
        <v>60.929333333333297</v>
      </c>
      <c r="W81" s="334">
        <f t="shared" si="44"/>
        <v>60.929333333333297</v>
      </c>
      <c r="X81" s="334">
        <f t="shared" si="44"/>
        <v>54.244333333333302</v>
      </c>
      <c r="Y81" s="339">
        <f t="shared" si="44"/>
        <v>50.911000000000001</v>
      </c>
      <c r="Z81" s="340">
        <f>Z25+Z29+'ARP Quarterly'!P28</f>
        <v>44.428388999999996</v>
      </c>
      <c r="AA81" s="340">
        <f>AA25+AA29+'ARP Quarterly'!Q28</f>
        <v>46.338610000000003</v>
      </c>
      <c r="AB81" s="340">
        <f>AB25+AB29+'ARP Quarterly'!R28</f>
        <v>47.279744500000007</v>
      </c>
      <c r="AC81" s="340">
        <f>AC25+AC29+'ARP Quarterly'!S28</f>
        <v>46.283419000000009</v>
      </c>
      <c r="AD81" s="340">
        <f>AD25+AD29+'ARP Quarterly'!T28</f>
        <v>45.578489500000011</v>
      </c>
      <c r="AE81" s="340">
        <f>AE25+AE29+'ARP Quarterly'!U28</f>
        <v>45.454798000000011</v>
      </c>
      <c r="AF81" s="340">
        <f>AF25+AF29+'ARP Quarterly'!V28</f>
        <v>45.360580000000013</v>
      </c>
      <c r="AG81" s="339">
        <f>AF81</f>
        <v>45.360580000000013</v>
      </c>
      <c r="AH81" s="339">
        <f>AG81</f>
        <v>45.360580000000013</v>
      </c>
      <c r="AI81" s="339">
        <f>AH81</f>
        <v>45.360580000000013</v>
      </c>
      <c r="AJ81" s="339">
        <f>AI81</f>
        <v>45.360580000000013</v>
      </c>
      <c r="AK81" s="339">
        <f t="shared" ref="AK81:AN81" si="45">AJ81</f>
        <v>45.360580000000013</v>
      </c>
      <c r="AL81" s="339">
        <f t="shared" si="45"/>
        <v>45.360580000000013</v>
      </c>
      <c r="AM81" s="339">
        <f t="shared" si="45"/>
        <v>45.360580000000013</v>
      </c>
      <c r="AN81" s="339">
        <f t="shared" si="45"/>
        <v>45.360580000000013</v>
      </c>
      <c r="AO81" s="348"/>
      <c r="AP81" s="334"/>
    </row>
    <row r="82" spans="2:42" x14ac:dyDescent="0.25">
      <c r="B82" s="363" t="s">
        <v>149</v>
      </c>
      <c r="C82" s="39"/>
      <c r="D82" s="425"/>
      <c r="E82" s="39"/>
      <c r="F82" s="39"/>
      <c r="G82" s="39"/>
      <c r="H82" s="334"/>
      <c r="I82" s="334"/>
      <c r="J82" s="334">
        <v>35</v>
      </c>
      <c r="K82" s="334">
        <v>45</v>
      </c>
      <c r="L82" s="334">
        <v>45</v>
      </c>
      <c r="M82" s="334">
        <v>40</v>
      </c>
      <c r="N82" s="334">
        <v>40</v>
      </c>
      <c r="O82" s="334">
        <v>40</v>
      </c>
      <c r="P82" s="230">
        <v>40</v>
      </c>
      <c r="Q82" s="334">
        <v>50</v>
      </c>
      <c r="R82" s="334">
        <v>50</v>
      </c>
      <c r="S82" s="334">
        <v>50</v>
      </c>
      <c r="T82" s="334">
        <v>50</v>
      </c>
      <c r="U82" s="353">
        <v>40</v>
      </c>
      <c r="V82" s="334">
        <v>30</v>
      </c>
      <c r="W82" s="334">
        <v>20</v>
      </c>
      <c r="X82" s="334">
        <v>15</v>
      </c>
      <c r="Y82" s="340">
        <v>10</v>
      </c>
      <c r="Z82" s="340">
        <v>0</v>
      </c>
      <c r="AA82" s="340">
        <v>0</v>
      </c>
      <c r="AB82" s="340">
        <v>0</v>
      </c>
      <c r="AC82" s="340">
        <v>0</v>
      </c>
      <c r="AD82" s="340">
        <v>0</v>
      </c>
      <c r="AE82" s="340">
        <v>0</v>
      </c>
      <c r="AF82" s="340">
        <v>0</v>
      </c>
      <c r="AG82" s="339">
        <v>0</v>
      </c>
      <c r="AH82" s="339"/>
      <c r="AI82" s="339">
        <v>1</v>
      </c>
      <c r="AJ82" s="339"/>
      <c r="AK82" s="339"/>
      <c r="AL82" s="339"/>
      <c r="AM82" s="339"/>
      <c r="AN82" s="339"/>
      <c r="AO82" s="328"/>
    </row>
    <row r="83" spans="2:42" ht="28.5" customHeight="1" x14ac:dyDescent="0.25">
      <c r="B83" s="376" t="s">
        <v>381</v>
      </c>
      <c r="C83" s="388"/>
      <c r="D83" s="360"/>
      <c r="E83" s="36"/>
      <c r="F83" s="36"/>
      <c r="G83" s="36"/>
      <c r="H83" s="334"/>
      <c r="I83" s="334"/>
      <c r="J83" s="334"/>
      <c r="K83" s="334"/>
      <c r="L83" s="334"/>
      <c r="M83" s="334"/>
      <c r="N83" s="334">
        <f>'ARP Quarterly'!D47</f>
        <v>0</v>
      </c>
      <c r="O83" s="334">
        <f>'ARP Quarterly'!E47</f>
        <v>0</v>
      </c>
      <c r="P83" s="230">
        <f>'ARP Quarterly'!F47</f>
        <v>34.620851999999999</v>
      </c>
      <c r="Q83" s="334">
        <f>'ARP Quarterly'!G47</f>
        <v>50.996274799999995</v>
      </c>
      <c r="R83" s="334">
        <f>'ARP Quarterly'!H47</f>
        <v>69.350031999999999</v>
      </c>
      <c r="S83" s="334">
        <f>'ARP Quarterly'!I47</f>
        <v>79.295867999999999</v>
      </c>
      <c r="T83" s="334">
        <f>'ARP Quarterly'!J47</f>
        <v>80.538927999999999</v>
      </c>
      <c r="U83" s="334">
        <f>'ARP Quarterly'!K47</f>
        <v>80.122543199999996</v>
      </c>
      <c r="V83" s="334">
        <f>'ARP Quarterly'!L47</f>
        <v>88.916719999999998</v>
      </c>
      <c r="W83" s="335">
        <f>'ARP Quarterly'!M47</f>
        <v>92.213943999999998</v>
      </c>
      <c r="X83" s="335">
        <f>'ARP Quarterly'!N47</f>
        <v>92.213943999999998</v>
      </c>
      <c r="Y83" s="412">
        <f>'ARP Quarterly'!O47</f>
        <v>94.213943999999998</v>
      </c>
      <c r="Z83" s="412">
        <f>'ARP Quarterly'!P47</f>
        <v>98.916719999999998</v>
      </c>
      <c r="AA83" s="412">
        <f>'ARP Quarterly'!Q47</f>
        <v>98.916719999999998</v>
      </c>
      <c r="AB83" s="412">
        <f>'ARP Quarterly'!R47</f>
        <v>99.081581199999988</v>
      </c>
      <c r="AC83" s="412">
        <f>'ARP Quarterly'!S47</f>
        <v>93.146578000000005</v>
      </c>
      <c r="AD83" s="412">
        <f>'ARP Quarterly'!T47</f>
        <v>86.552129999999991</v>
      </c>
      <c r="AE83" s="412">
        <f>'ARP Quarterly'!U47</f>
        <v>86.552129999999991</v>
      </c>
      <c r="AF83" s="412">
        <f>'ARP Quarterly'!V47</f>
        <v>82.265738799999994</v>
      </c>
      <c r="AG83" s="397">
        <f>AF83</f>
        <v>82.265738799999994</v>
      </c>
      <c r="AH83" s="397">
        <f>AG83</f>
        <v>82.265738799999994</v>
      </c>
      <c r="AI83" s="397">
        <f>AH83</f>
        <v>82.265738799999994</v>
      </c>
      <c r="AJ83" s="397">
        <f>AI83</f>
        <v>82.265738799999994</v>
      </c>
      <c r="AK83" s="397">
        <f t="shared" ref="AK83:AN83" si="46">AJ83</f>
        <v>82.265738799999994</v>
      </c>
      <c r="AL83" s="397">
        <f t="shared" si="46"/>
        <v>82.265738799999994</v>
      </c>
      <c r="AM83" s="397">
        <f t="shared" si="46"/>
        <v>82.265738799999994</v>
      </c>
      <c r="AN83" s="397">
        <f t="shared" si="46"/>
        <v>82.265738799999994</v>
      </c>
      <c r="AO83" s="401"/>
    </row>
    <row r="84" spans="2:42" ht="55.35" customHeight="1" x14ac:dyDescent="0.25">
      <c r="B84" s="382" t="s">
        <v>827</v>
      </c>
      <c r="C84" s="383"/>
      <c r="D84" s="432"/>
      <c r="E84" s="383"/>
      <c r="F84" s="383"/>
      <c r="G84" s="383"/>
      <c r="H84" s="383"/>
      <c r="I84" s="383"/>
      <c r="J84" s="383"/>
      <c r="K84" s="383"/>
      <c r="L84" s="383"/>
      <c r="M84" s="383"/>
      <c r="N84" s="383"/>
      <c r="O84" s="383"/>
      <c r="P84" s="383">
        <v>-50</v>
      </c>
      <c r="Q84" s="383">
        <v>-25</v>
      </c>
      <c r="R84" s="383"/>
      <c r="S84" s="383"/>
      <c r="T84" s="383"/>
      <c r="U84" s="426"/>
      <c r="V84" s="359"/>
      <c r="W84" s="383"/>
      <c r="X84" s="383"/>
      <c r="Y84" s="383">
        <v>12.5</v>
      </c>
      <c r="Z84" s="383">
        <v>12.5</v>
      </c>
      <c r="AA84" s="383">
        <v>12.5</v>
      </c>
      <c r="AB84" s="359">
        <v>12.5</v>
      </c>
      <c r="AC84" s="426"/>
      <c r="AD84" s="238"/>
      <c r="AE84" s="238"/>
      <c r="AF84" s="238"/>
      <c r="AG84" s="238"/>
      <c r="AH84" s="238"/>
      <c r="AI84" s="238"/>
      <c r="AJ84" s="238"/>
      <c r="AK84" s="238"/>
      <c r="AL84" s="238"/>
      <c r="AM84" s="238"/>
      <c r="AN84" s="238"/>
    </row>
    <row r="85" spans="2:42" x14ac:dyDescent="0.25">
      <c r="B85" s="273"/>
      <c r="C85" s="238"/>
      <c r="D85" s="238"/>
      <c r="E85" s="238"/>
      <c r="F85" s="238"/>
      <c r="G85" s="238"/>
      <c r="H85" s="238"/>
      <c r="I85" s="238"/>
      <c r="J85" s="238"/>
      <c r="K85" s="238"/>
      <c r="L85" s="238"/>
      <c r="M85" s="238"/>
      <c r="Z85" s="238"/>
      <c r="AA85" s="238"/>
      <c r="AB85" s="238"/>
      <c r="AC85" s="238"/>
      <c r="AD85" s="238"/>
      <c r="AE85" s="238"/>
      <c r="AF85" s="238"/>
      <c r="AG85" s="238"/>
      <c r="AH85" s="238"/>
      <c r="AI85" s="238"/>
      <c r="AJ85" s="238"/>
      <c r="AK85" s="238"/>
      <c r="AL85" s="238"/>
      <c r="AM85" s="238"/>
      <c r="AN85" s="238"/>
    </row>
    <row r="86" spans="2:42" x14ac:dyDescent="0.25">
      <c r="B86" s="273"/>
      <c r="C86" s="238"/>
      <c r="D86" s="238"/>
      <c r="E86" s="238"/>
      <c r="F86" s="238"/>
      <c r="G86" s="238"/>
      <c r="H86" s="238"/>
      <c r="I86" s="238"/>
      <c r="J86" s="238"/>
      <c r="K86" s="238"/>
      <c r="L86" s="238"/>
      <c r="M86" s="238"/>
      <c r="N86" s="238"/>
      <c r="O86" s="238"/>
      <c r="P86" s="238"/>
      <c r="Q86" s="238"/>
      <c r="R86" s="238"/>
      <c r="S86" s="238"/>
      <c r="T86" s="238"/>
      <c r="U86" s="238"/>
      <c r="V86" s="238"/>
      <c r="W86" s="238"/>
      <c r="X86" s="238"/>
      <c r="Y86" s="238"/>
      <c r="Z86" s="238"/>
      <c r="AA86" s="238"/>
      <c r="AB86" s="238"/>
      <c r="AC86" s="238"/>
      <c r="AD86" s="238"/>
      <c r="AE86" s="238"/>
      <c r="AF86" s="238"/>
      <c r="AG86" s="238"/>
      <c r="AH86" s="238"/>
      <c r="AI86" s="238"/>
      <c r="AJ86" s="238"/>
      <c r="AK86" s="238"/>
      <c r="AL86" s="238"/>
      <c r="AM86" s="238"/>
      <c r="AN86" s="238"/>
    </row>
    <row r="87" spans="2:42" ht="14.45" customHeight="1" x14ac:dyDescent="0.25">
      <c r="B87" s="273"/>
      <c r="C87" s="238"/>
      <c r="D87" s="238"/>
      <c r="E87" s="238"/>
      <c r="F87" s="238"/>
      <c r="G87" s="238"/>
      <c r="H87" s="238"/>
      <c r="I87" s="238"/>
      <c r="J87" s="238"/>
      <c r="K87" s="238"/>
      <c r="L87" s="238"/>
      <c r="M87" s="238"/>
      <c r="N87" s="238"/>
      <c r="O87" s="238"/>
      <c r="P87" s="238"/>
      <c r="Q87" s="238"/>
      <c r="R87" s="238"/>
      <c r="S87" s="238"/>
      <c r="T87" s="238"/>
      <c r="U87" s="238"/>
      <c r="V87" s="238"/>
      <c r="W87" s="238"/>
      <c r="X87" s="238"/>
      <c r="Y87" s="238"/>
      <c r="Z87" s="238"/>
      <c r="AA87" s="238"/>
      <c r="AB87" s="238"/>
      <c r="AC87" s="238"/>
      <c r="AD87" s="238"/>
      <c r="AE87" s="238"/>
      <c r="AF87" s="238"/>
      <c r="AG87" s="238"/>
      <c r="AH87" s="238"/>
      <c r="AI87" s="238"/>
      <c r="AJ87" s="238"/>
      <c r="AK87" s="238"/>
      <c r="AL87" s="238"/>
      <c r="AM87" s="238"/>
      <c r="AN87" s="238"/>
    </row>
    <row r="88" spans="2:42" x14ac:dyDescent="0.25">
      <c r="B88" s="1264" t="s">
        <v>134</v>
      </c>
      <c r="C88" s="1264"/>
      <c r="D88" s="1264"/>
      <c r="E88" s="1264"/>
      <c r="F88" s="1264"/>
      <c r="G88" s="1264"/>
      <c r="H88" s="1264"/>
      <c r="I88" s="1264"/>
      <c r="J88" s="1264"/>
      <c r="K88" s="1264"/>
      <c r="L88" s="1264"/>
      <c r="M88" s="1264"/>
      <c r="N88" s="1264"/>
      <c r="O88" s="1264"/>
      <c r="P88" s="1264"/>
      <c r="Q88" s="1264"/>
      <c r="R88" s="1264"/>
      <c r="S88" s="1264"/>
      <c r="T88" s="1264"/>
      <c r="U88" s="1264"/>
      <c r="V88" s="1264"/>
      <c r="W88" s="1264"/>
      <c r="X88" s="1264"/>
      <c r="Y88" s="1264"/>
      <c r="Z88" s="212"/>
      <c r="AA88" s="212"/>
      <c r="AB88" s="212"/>
      <c r="AC88" s="212"/>
      <c r="AD88" s="212"/>
      <c r="AE88" s="212"/>
      <c r="AF88" s="212"/>
      <c r="AG88" s="212"/>
      <c r="AH88" s="212"/>
      <c r="AI88" s="212"/>
      <c r="AJ88" s="212"/>
      <c r="AK88" s="212"/>
      <c r="AL88" s="212"/>
      <c r="AM88" s="212"/>
      <c r="AN88" s="212"/>
      <c r="AO88" s="320"/>
      <c r="AP88" s="320"/>
    </row>
    <row r="89" spans="2:42" ht="19.350000000000001" customHeight="1" x14ac:dyDescent="0.25">
      <c r="B89" s="1265" t="s">
        <v>1826</v>
      </c>
      <c r="C89" s="1265"/>
      <c r="D89" s="1265"/>
      <c r="E89" s="1265"/>
      <c r="F89" s="1265"/>
      <c r="G89" s="1265"/>
      <c r="H89" s="1265"/>
      <c r="I89" s="1265"/>
      <c r="J89" s="1265"/>
      <c r="K89" s="1265"/>
      <c r="L89" s="1265"/>
      <c r="M89" s="1265"/>
      <c r="N89" s="1265"/>
      <c r="O89" s="1265"/>
      <c r="P89" s="1265"/>
      <c r="Q89" s="1265"/>
      <c r="R89" s="1265"/>
      <c r="S89" s="1265"/>
      <c r="T89" s="1265"/>
      <c r="U89" s="1265"/>
      <c r="V89" s="1265"/>
      <c r="W89" s="1265"/>
      <c r="X89" s="1265"/>
      <c r="Y89" s="1265"/>
      <c r="Z89" s="1265"/>
      <c r="AA89" s="1265"/>
      <c r="AB89" s="1265"/>
      <c r="AC89" s="1265"/>
      <c r="AD89" s="213"/>
      <c r="AE89" s="213"/>
      <c r="AF89" s="213"/>
      <c r="AG89" s="213"/>
      <c r="AH89" s="213"/>
      <c r="AI89" s="213"/>
      <c r="AJ89" s="213"/>
      <c r="AK89" s="213"/>
      <c r="AL89" s="213"/>
      <c r="AM89" s="213"/>
      <c r="AN89" s="213"/>
      <c r="AO89" s="213"/>
      <c r="AP89" s="213"/>
    </row>
    <row r="90" spans="2:42" ht="11.85" customHeight="1" x14ac:dyDescent="0.25">
      <c r="B90" s="244"/>
      <c r="C90" s="244"/>
      <c r="D90" s="244"/>
      <c r="E90" s="244"/>
      <c r="F90" s="244"/>
      <c r="G90" s="244"/>
      <c r="H90" s="244"/>
      <c r="I90" s="244"/>
      <c r="J90" s="244"/>
      <c r="K90" s="244"/>
      <c r="L90" s="244"/>
      <c r="M90" s="244"/>
      <c r="V90" s="222"/>
      <c r="W90" s="222"/>
      <c r="X90" s="222"/>
      <c r="Y90" s="222"/>
      <c r="Z90" s="222"/>
      <c r="AA90" s="222"/>
      <c r="AB90" s="222"/>
      <c r="AC90" s="222"/>
      <c r="AD90" s="222"/>
      <c r="AE90" s="222"/>
      <c r="AF90" s="222"/>
      <c r="AG90" s="222"/>
      <c r="AH90" s="222"/>
      <c r="AI90" s="222"/>
      <c r="AJ90" s="222"/>
      <c r="AK90" s="222"/>
      <c r="AL90" s="222"/>
      <c r="AM90" s="222"/>
      <c r="AN90" s="222"/>
      <c r="AO90" s="222"/>
      <c r="AP90" s="222"/>
    </row>
    <row r="91" spans="2:42" ht="14.85" customHeight="1" x14ac:dyDescent="0.25">
      <c r="B91" s="1269" t="s">
        <v>278</v>
      </c>
      <c r="C91" s="1270"/>
      <c r="D91" s="1293" t="s">
        <v>279</v>
      </c>
      <c r="E91" s="1294"/>
      <c r="F91" s="1294"/>
      <c r="G91" s="1294"/>
      <c r="H91" s="1294"/>
      <c r="I91" s="1294"/>
      <c r="J91" s="1294"/>
      <c r="K91" s="1294"/>
      <c r="L91" s="1294"/>
      <c r="M91" s="1294"/>
      <c r="N91" s="1294"/>
      <c r="O91" s="1294"/>
      <c r="P91" s="1294"/>
      <c r="Q91" s="1294"/>
      <c r="R91" s="1294"/>
      <c r="S91" s="1294"/>
      <c r="T91" s="1294"/>
      <c r="U91" s="1294"/>
      <c r="V91" s="1294"/>
      <c r="W91" s="1294"/>
      <c r="X91" s="1294"/>
      <c r="Y91" s="1294"/>
      <c r="Z91" s="1294"/>
      <c r="AA91" s="1295"/>
      <c r="AB91" s="1296" t="s">
        <v>280</v>
      </c>
      <c r="AC91" s="1277"/>
      <c r="AD91" s="1277"/>
      <c r="AE91" s="1277"/>
      <c r="AF91" s="1277"/>
      <c r="AG91" s="1277"/>
      <c r="AH91" s="1277"/>
      <c r="AI91" s="1277"/>
      <c r="AJ91" s="1277"/>
      <c r="AK91" s="1277"/>
      <c r="AL91" s="1277"/>
      <c r="AM91" s="1277"/>
      <c r="AN91" s="1278"/>
      <c r="AO91" s="320"/>
      <c r="AP91" s="320"/>
    </row>
    <row r="92" spans="2:42" x14ac:dyDescent="0.25">
      <c r="B92" s="1271"/>
      <c r="C92" s="1272"/>
      <c r="D92" s="286">
        <v>2018</v>
      </c>
      <c r="E92" s="1288">
        <v>2019</v>
      </c>
      <c r="F92" s="1289"/>
      <c r="G92" s="1289"/>
      <c r="H92" s="1290"/>
      <c r="I92" s="1288">
        <v>2020</v>
      </c>
      <c r="J92" s="1289"/>
      <c r="K92" s="1289"/>
      <c r="L92" s="1289"/>
      <c r="M92" s="1288">
        <v>2021</v>
      </c>
      <c r="N92" s="1289"/>
      <c r="O92" s="1289"/>
      <c r="P92" s="1289"/>
      <c r="Q92" s="1288">
        <v>2022</v>
      </c>
      <c r="R92" s="1300"/>
      <c r="S92" s="1300"/>
      <c r="T92" s="1300"/>
      <c r="U92" s="1288">
        <v>2023</v>
      </c>
      <c r="V92" s="1300"/>
      <c r="W92" s="1300"/>
      <c r="X92" s="1290"/>
      <c r="Y92" s="291"/>
      <c r="Z92" s="431">
        <v>2024</v>
      </c>
      <c r="AA92" s="431"/>
      <c r="AB92" s="327"/>
      <c r="AC92" s="1275">
        <v>2025</v>
      </c>
      <c r="AD92" s="1276"/>
      <c r="AE92" s="1276"/>
      <c r="AF92" s="1280"/>
      <c r="AG92" s="1275">
        <v>2026</v>
      </c>
      <c r="AH92" s="1276"/>
      <c r="AI92" s="1276"/>
      <c r="AJ92" s="1280"/>
      <c r="AK92" s="1275">
        <v>2027</v>
      </c>
      <c r="AL92" s="1276"/>
      <c r="AM92" s="1276"/>
      <c r="AN92" s="1280"/>
      <c r="AO92" s="222"/>
      <c r="AP92" s="222"/>
    </row>
    <row r="93" spans="2:42" x14ac:dyDescent="0.25">
      <c r="B93" s="1271"/>
      <c r="C93" s="1272"/>
      <c r="D93" s="215" t="s">
        <v>281</v>
      </c>
      <c r="E93" s="214" t="s">
        <v>282</v>
      </c>
      <c r="F93" s="215" t="s">
        <v>283</v>
      </c>
      <c r="G93" s="215" t="s">
        <v>238</v>
      </c>
      <c r="H93" s="221" t="s">
        <v>281</v>
      </c>
      <c r="I93" s="215" t="s">
        <v>282</v>
      </c>
      <c r="J93" s="215" t="s">
        <v>283</v>
      </c>
      <c r="K93" s="215" t="s">
        <v>238</v>
      </c>
      <c r="L93" s="215" t="s">
        <v>281</v>
      </c>
      <c r="M93" s="214" t="s">
        <v>282</v>
      </c>
      <c r="N93" s="215" t="s">
        <v>283</v>
      </c>
      <c r="O93" s="215" t="s">
        <v>238</v>
      </c>
      <c r="P93" s="215" t="s">
        <v>281</v>
      </c>
      <c r="Q93" s="214" t="s">
        <v>282</v>
      </c>
      <c r="R93" s="215" t="s">
        <v>283</v>
      </c>
      <c r="S93" s="215" t="s">
        <v>238</v>
      </c>
      <c r="T93" s="215" t="s">
        <v>281</v>
      </c>
      <c r="U93" s="214" t="s">
        <v>282</v>
      </c>
      <c r="V93" s="215" t="s">
        <v>283</v>
      </c>
      <c r="W93" s="215" t="s">
        <v>238</v>
      </c>
      <c r="X93" s="221" t="s">
        <v>281</v>
      </c>
      <c r="Y93" s="215" t="s">
        <v>282</v>
      </c>
      <c r="Z93" s="295" t="s">
        <v>283</v>
      </c>
      <c r="AA93" s="215" t="s">
        <v>238</v>
      </c>
      <c r="AB93" s="318" t="s">
        <v>281</v>
      </c>
      <c r="AC93" s="317" t="s">
        <v>282</v>
      </c>
      <c r="AD93" s="345" t="s">
        <v>283</v>
      </c>
      <c r="AE93" s="318" t="s">
        <v>238</v>
      </c>
      <c r="AF93" s="427" t="s">
        <v>281</v>
      </c>
      <c r="AG93" s="225" t="s">
        <v>282</v>
      </c>
      <c r="AH93" s="260" t="s">
        <v>283</v>
      </c>
      <c r="AI93" s="260" t="s">
        <v>238</v>
      </c>
      <c r="AJ93" s="326" t="s">
        <v>281</v>
      </c>
      <c r="AK93" s="225" t="s">
        <v>282</v>
      </c>
      <c r="AL93" s="260" t="s">
        <v>283</v>
      </c>
      <c r="AM93" s="260" t="s">
        <v>238</v>
      </c>
      <c r="AN93" s="279" t="s">
        <v>281</v>
      </c>
      <c r="AO93" s="222"/>
      <c r="AP93" s="222"/>
    </row>
    <row r="94" spans="2:42" ht="14.85" customHeight="1" x14ac:dyDescent="0.25">
      <c r="B94" s="424" t="s">
        <v>382</v>
      </c>
      <c r="C94" s="369" t="s">
        <v>383</v>
      </c>
      <c r="D94" s="370"/>
      <c r="E94" s="371"/>
      <c r="F94" s="371"/>
      <c r="G94" s="371"/>
      <c r="H94" s="337">
        <f>'Haver Pivoted'!GS41</f>
        <v>72.497</v>
      </c>
      <c r="I94" s="337">
        <f>'Haver Pivoted'!GT41</f>
        <v>75.649000000000001</v>
      </c>
      <c r="J94" s="337">
        <f>'Haver Pivoted'!GU41</f>
        <v>75.483999999999995</v>
      </c>
      <c r="K94" s="337">
        <f>'Haver Pivoted'!GV41</f>
        <v>79.444000000000003</v>
      </c>
      <c r="L94" s="337">
        <f>'Haver Pivoted'!GW41</f>
        <v>75.742999999999995</v>
      </c>
      <c r="M94" s="337">
        <f>'Haver Pivoted'!GX41</f>
        <v>73.183000000000007</v>
      </c>
      <c r="N94" s="337">
        <f>'Haver Pivoted'!GY41</f>
        <v>74.421000000000006</v>
      </c>
      <c r="O94" s="337">
        <f>'Haver Pivoted'!GZ41</f>
        <v>70.334000000000003</v>
      </c>
      <c r="P94" s="337">
        <f>'Haver Pivoted'!HA41</f>
        <v>72.707999999999998</v>
      </c>
      <c r="Q94" s="337">
        <f>'Haver Pivoted'!HB41</f>
        <v>75.024000000000001</v>
      </c>
      <c r="R94" s="337">
        <f>AVERAGE($H$94:$N$94)</f>
        <v>75.203000000000003</v>
      </c>
      <c r="S94" s="337">
        <f t="shared" ref="S94" si="47">AVERAGE($H$94:$N$94)</f>
        <v>75.203000000000003</v>
      </c>
      <c r="T94" s="337">
        <f>AVERAGE($H$94:$N$94)+T95</f>
        <v>76.022000000000006</v>
      </c>
      <c r="U94" s="337">
        <f>AVERAGE($H$94:$N$94)+U95</f>
        <v>76.022000000000006</v>
      </c>
      <c r="V94" s="337">
        <f>AVERAGE($H$94:$N$94)+V95</f>
        <v>76.022000000000006</v>
      </c>
      <c r="W94" s="337">
        <f>AVERAGE($H$94:$N$94)+W95</f>
        <v>76.022000000000006</v>
      </c>
      <c r="X94" s="362">
        <f>AVERAGE($H$94:$N$94)+X95</f>
        <v>77.680999999999997</v>
      </c>
      <c r="Y94" s="362">
        <f t="shared" ref="Y94:AC94" si="48">AVERAGE($H$94:$N$94)+Y95</f>
        <v>77.680999999999997</v>
      </c>
      <c r="Z94" s="362">
        <f>AVERAGE($H$94:$N$94)+Z95</f>
        <v>77.680999999999997</v>
      </c>
      <c r="AA94" s="362">
        <f t="shared" si="48"/>
        <v>77.680999999999997</v>
      </c>
      <c r="AB94" s="362">
        <f t="shared" si="48"/>
        <v>79.275000000000006</v>
      </c>
      <c r="AC94" s="362">
        <f t="shared" si="48"/>
        <v>79.275000000000006</v>
      </c>
      <c r="AD94" s="362">
        <f>AVERAGE($H$94:$N$94)+AD95</f>
        <v>75.203000000000003</v>
      </c>
      <c r="AE94" s="362">
        <f>AVERAGE($H$94:$N$94)+AE95</f>
        <v>75.203000000000003</v>
      </c>
      <c r="AF94" s="362">
        <f t="shared" ref="AF94" si="49">AVERAGE($H$94:$N$94)+AF95</f>
        <v>75.203000000000003</v>
      </c>
      <c r="AG94" s="362">
        <f>AVERAGE($H$94:$N$94)+AG95</f>
        <v>75.203000000000003</v>
      </c>
      <c r="AH94" s="362">
        <f>AVERAGE($H$94:$N$94)+AH95</f>
        <v>75.203000000000003</v>
      </c>
      <c r="AI94" s="362">
        <f>AVERAGE($H$94:$N$94)+AI95</f>
        <v>75.203000000000003</v>
      </c>
      <c r="AJ94" s="362">
        <f>AVERAGE($H$94:$N$94)+AJ95</f>
        <v>75.203000000000003</v>
      </c>
      <c r="AK94" s="362">
        <f t="shared" ref="AK94:AM94" si="50">AVERAGE($H$94:$N$94)+AK95</f>
        <v>75.203000000000003</v>
      </c>
      <c r="AL94" s="362">
        <f t="shared" si="50"/>
        <v>75.203000000000003</v>
      </c>
      <c r="AM94" s="362">
        <f t="shared" si="50"/>
        <v>75.203000000000003</v>
      </c>
      <c r="AN94" s="362">
        <f>AVERAGE($H$94:$N$94)+AN95</f>
        <v>75.203000000000003</v>
      </c>
      <c r="AO94" s="232"/>
      <c r="AP94" s="232"/>
    </row>
    <row r="95" spans="2:42" x14ac:dyDescent="0.25">
      <c r="B95" s="333" t="s">
        <v>1178</v>
      </c>
      <c r="C95" s="35"/>
      <c r="D95" s="333"/>
      <c r="E95" s="35"/>
      <c r="F95" s="35"/>
      <c r="G95" s="35"/>
      <c r="H95" s="35"/>
      <c r="I95" s="35"/>
      <c r="J95" s="35"/>
      <c r="K95" s="35"/>
      <c r="L95" s="35"/>
      <c r="M95" s="35"/>
      <c r="N95" s="35"/>
      <c r="O95" s="35"/>
      <c r="P95" s="35"/>
      <c r="Q95" s="35"/>
      <c r="R95" s="35"/>
      <c r="S95" s="338">
        <f>'IRA and CHIPS'!E185</f>
        <v>0</v>
      </c>
      <c r="T95" s="338">
        <f>'IRA and CHIPS'!F185</f>
        <v>0.81899999999999995</v>
      </c>
      <c r="U95" s="338">
        <f>'IRA and CHIPS'!G185</f>
        <v>0.81899999999999995</v>
      </c>
      <c r="V95" s="338">
        <f>'IRA and CHIPS'!H185</f>
        <v>0.81899999999999995</v>
      </c>
      <c r="W95" s="338">
        <f>'IRA and CHIPS'!I185</f>
        <v>0.81899999999999995</v>
      </c>
      <c r="X95" s="361">
        <f>'IRA and CHIPS'!J185</f>
        <v>2.4780000000000002</v>
      </c>
      <c r="Y95" s="361">
        <f>'IRA and CHIPS'!K185</f>
        <v>2.4780000000000002</v>
      </c>
      <c r="Z95" s="361">
        <f>'IRA and CHIPS'!L185</f>
        <v>2.4780000000000002</v>
      </c>
      <c r="AA95" s="361">
        <f>'IRA and CHIPS'!M185</f>
        <v>2.4780000000000002</v>
      </c>
      <c r="AB95" s="361">
        <f>'IRA and CHIPS'!N185</f>
        <v>4.0720000000000001</v>
      </c>
      <c r="AC95" s="361">
        <f>'IRA and CHIPS'!O185</f>
        <v>4.0720000000000001</v>
      </c>
      <c r="AD95" s="361">
        <f>'IRA and CHIPS'!T185</f>
        <v>0</v>
      </c>
      <c r="AE95" s="361">
        <v>0</v>
      </c>
      <c r="AF95" s="361">
        <v>0</v>
      </c>
      <c r="AG95" s="361">
        <v>0</v>
      </c>
      <c r="AH95" s="361">
        <v>0</v>
      </c>
      <c r="AI95" s="361">
        <v>0</v>
      </c>
      <c r="AJ95" s="361">
        <v>0</v>
      </c>
      <c r="AK95" s="361">
        <v>0</v>
      </c>
      <c r="AL95" s="361">
        <v>0</v>
      </c>
      <c r="AM95" s="361">
        <v>0</v>
      </c>
      <c r="AN95" s="361">
        <v>0</v>
      </c>
    </row>
    <row r="96" spans="2:42" ht="18.75" customHeight="1" x14ac:dyDescent="0.25"/>
    <row r="97" ht="21.75" customHeight="1" x14ac:dyDescent="0.25"/>
  </sheetData>
  <mergeCells count="47">
    <mergeCell ref="AK92:AN92"/>
    <mergeCell ref="D70:AA70"/>
    <mergeCell ref="U71:X71"/>
    <mergeCell ref="AB70:AN70"/>
    <mergeCell ref="U92:X92"/>
    <mergeCell ref="D91:AA91"/>
    <mergeCell ref="AB91:AN91"/>
    <mergeCell ref="AG92:AJ92"/>
    <mergeCell ref="AC92:AF92"/>
    <mergeCell ref="AK71:AN71"/>
    <mergeCell ref="AP27:AQ28"/>
    <mergeCell ref="AP33:AQ33"/>
    <mergeCell ref="AG7:AJ7"/>
    <mergeCell ref="AG71:AJ71"/>
    <mergeCell ref="AP6:AP8"/>
    <mergeCell ref="AO6:AO8"/>
    <mergeCell ref="AK7:AN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s>
  <pageMargins left="0.7" right="0.7" top="0.75" bottom="0.75" header="0.3" footer="0.3"/>
  <pageSetup orientation="portrait"/>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BT65"/>
  <sheetViews>
    <sheetView zoomScale="85" zoomScaleNormal="85" workbookViewId="0">
      <pane xSplit="2" ySplit="4" topLeftCell="T5" activePane="bottomRight" state="frozen"/>
      <selection pane="topRight" activeCell="C1" sqref="C1"/>
      <selection pane="bottomLeft" activeCell="A5" sqref="A5"/>
      <selection pane="bottomRight" activeCell="B14" sqref="B14"/>
    </sheetView>
  </sheetViews>
  <sheetFormatPr defaultColWidth="10.85546875" defaultRowHeight="15" x14ac:dyDescent="0.25"/>
  <cols>
    <col min="1" max="1" width="17.140625" customWidth="1"/>
    <col min="2" max="2" width="56.85546875" customWidth="1"/>
    <col min="3" max="3" width="18" customWidth="1"/>
    <col min="4" max="7" width="10" customWidth="1"/>
    <col min="8" max="8" width="14.140625" customWidth="1"/>
    <col min="9" max="9" width="10.140625" customWidth="1"/>
    <col min="10" max="10" width="11.85546875" customWidth="1"/>
    <col min="11" max="11" width="13.42578125" customWidth="1"/>
    <col min="12" max="12" width="11.42578125" customWidth="1"/>
    <col min="13" max="13" width="12" customWidth="1"/>
    <col min="14" max="14" width="9" customWidth="1"/>
    <col min="15" max="16" width="10.140625" customWidth="1"/>
    <col min="17" max="17" width="12.140625" customWidth="1"/>
    <col min="18" max="18" width="10" customWidth="1"/>
    <col min="19" max="19" width="9" customWidth="1"/>
    <col min="20" max="26" width="8.85546875" customWidth="1"/>
    <col min="38" max="38" width="14.140625" customWidth="1"/>
    <col min="44" max="44" width="31.85546875" customWidth="1"/>
    <col min="46" max="46" width="10.140625" customWidth="1"/>
  </cols>
  <sheetData>
    <row r="1" spans="2:72" ht="20.25" customHeight="1" x14ac:dyDescent="0.25">
      <c r="B1" s="1264" t="s">
        <v>384</v>
      </c>
      <c r="C1" s="1264"/>
      <c r="D1" s="1264"/>
      <c r="E1" s="1264"/>
      <c r="F1" s="1264"/>
      <c r="G1" s="1264"/>
      <c r="H1" s="1264"/>
      <c r="I1" s="1264"/>
      <c r="J1" s="1264"/>
      <c r="K1" s="1264"/>
      <c r="L1" s="1264"/>
      <c r="M1" s="1264"/>
      <c r="N1" s="1264"/>
      <c r="O1" s="1264"/>
      <c r="P1" s="1264"/>
      <c r="Q1" s="1264"/>
      <c r="R1" s="1264"/>
      <c r="S1" s="1264"/>
      <c r="T1" s="1264"/>
      <c r="U1" s="1264"/>
      <c r="V1" s="1264"/>
      <c r="W1" s="1264"/>
      <c r="X1" s="1264"/>
      <c r="Y1" s="1264"/>
      <c r="Z1" s="1264"/>
      <c r="AA1" s="1264"/>
      <c r="AB1" s="1264"/>
      <c r="AC1" s="1264"/>
      <c r="AD1" s="212"/>
      <c r="AE1" s="212"/>
      <c r="AF1" s="212"/>
      <c r="AG1" s="212"/>
      <c r="AH1" s="212"/>
    </row>
    <row r="2" spans="2:72" ht="14.25" customHeight="1" x14ac:dyDescent="0.25">
      <c r="B2" s="1306" t="s">
        <v>385</v>
      </c>
      <c r="C2" s="1306"/>
      <c r="D2" s="1306"/>
      <c r="E2" s="1306"/>
      <c r="F2" s="1306"/>
      <c r="G2" s="1306"/>
      <c r="H2" s="1306"/>
      <c r="I2" s="1306"/>
      <c r="J2" s="1306"/>
      <c r="K2" s="1306"/>
      <c r="L2" s="1306"/>
      <c r="M2" s="1306"/>
      <c r="N2" s="1306"/>
      <c r="O2" s="1306"/>
      <c r="P2" s="1306"/>
      <c r="Q2" s="1306"/>
      <c r="R2" s="1306"/>
      <c r="S2" s="1306"/>
      <c r="T2" s="1306"/>
      <c r="U2" s="1306"/>
      <c r="V2" s="1306"/>
      <c r="W2" s="1306"/>
      <c r="X2" s="1306"/>
      <c r="Y2" s="1306"/>
      <c r="Z2" s="1306"/>
      <c r="AA2" s="1306"/>
      <c r="AB2" s="1306"/>
      <c r="AC2" s="1306"/>
      <c r="AD2" s="244"/>
      <c r="AE2" s="244"/>
      <c r="AF2" s="244"/>
      <c r="AG2" s="244"/>
      <c r="AH2" s="244"/>
    </row>
    <row r="3" spans="2:72" ht="9" customHeight="1" x14ac:dyDescent="0.25">
      <c r="B3" s="1306"/>
      <c r="C3" s="1306"/>
      <c r="D3" s="1306"/>
      <c r="E3" s="1306"/>
      <c r="F3" s="1306"/>
      <c r="G3" s="1306"/>
      <c r="H3" s="1306"/>
      <c r="I3" s="1306"/>
      <c r="J3" s="1306"/>
      <c r="K3" s="1306"/>
      <c r="L3" s="1306"/>
      <c r="M3" s="1306"/>
      <c r="N3" s="1306"/>
      <c r="O3" s="1306"/>
      <c r="P3" s="1306"/>
      <c r="Q3" s="1306"/>
      <c r="R3" s="1306"/>
      <c r="S3" s="1306"/>
      <c r="T3" s="1306"/>
      <c r="U3" s="1306"/>
      <c r="V3" s="1306"/>
      <c r="W3" s="1306"/>
      <c r="X3" s="1306"/>
      <c r="Y3" s="1306"/>
      <c r="Z3" s="1306"/>
      <c r="AA3" s="1306"/>
      <c r="AB3" s="1306"/>
      <c r="AC3" s="1306"/>
      <c r="AD3" s="244"/>
      <c r="AE3" s="244"/>
      <c r="AF3" s="244"/>
      <c r="AG3" s="244"/>
      <c r="AH3" s="244"/>
    </row>
    <row r="4" spans="2:72" ht="27" customHeight="1" x14ac:dyDescent="0.25">
      <c r="B4" s="1306"/>
      <c r="C4" s="1306"/>
      <c r="D4" s="1306"/>
      <c r="E4" s="1306"/>
      <c r="F4" s="1306"/>
      <c r="G4" s="1306"/>
      <c r="H4" s="1306"/>
      <c r="I4" s="1306"/>
      <c r="J4" s="1306"/>
      <c r="K4" s="1306"/>
      <c r="L4" s="1306"/>
      <c r="M4" s="1306"/>
      <c r="N4" s="1306"/>
      <c r="O4" s="1306"/>
      <c r="P4" s="1306"/>
      <c r="Q4" s="1306"/>
      <c r="R4" s="1306"/>
      <c r="S4" s="1306"/>
      <c r="T4" s="1306"/>
      <c r="U4" s="1306"/>
      <c r="V4" s="1306"/>
      <c r="W4" s="1306"/>
      <c r="X4" s="1306"/>
      <c r="Y4" s="1306"/>
      <c r="Z4" s="1306"/>
      <c r="AA4" s="1306"/>
      <c r="AB4" s="1306"/>
      <c r="AC4" s="1306"/>
      <c r="AD4" s="244"/>
      <c r="AE4" s="244"/>
      <c r="AF4" s="244"/>
      <c r="AG4" s="244"/>
      <c r="AH4" s="244"/>
      <c r="AJ4" s="484"/>
      <c r="AK4" s="484"/>
      <c r="AL4" s="484"/>
      <c r="AM4" s="484"/>
      <c r="AN4" s="484"/>
      <c r="AO4" s="484"/>
      <c r="AP4" s="484"/>
      <c r="AQ4" s="484"/>
      <c r="AR4" s="484"/>
    </row>
    <row r="5" spans="2:72" x14ac:dyDescent="0.25">
      <c r="B5" s="273"/>
      <c r="AC5" s="227"/>
      <c r="AD5" s="227"/>
      <c r="AE5" s="227"/>
      <c r="AF5" s="227"/>
      <c r="AG5" s="227"/>
      <c r="AH5" s="227"/>
      <c r="AI5" s="227"/>
      <c r="AJ5" s="227"/>
      <c r="AK5" s="227"/>
    </row>
    <row r="6" spans="2:72" ht="14.85" customHeight="1" x14ac:dyDescent="0.25">
      <c r="B6" s="1316" t="s">
        <v>278</v>
      </c>
      <c r="C6" s="1317"/>
      <c r="D6" s="1323" t="s">
        <v>279</v>
      </c>
      <c r="E6" s="1323"/>
      <c r="F6" s="1323"/>
      <c r="G6" s="1323"/>
      <c r="H6" s="1323"/>
      <c r="I6" s="1323"/>
      <c r="J6" s="1323"/>
      <c r="K6" s="1323"/>
      <c r="L6" s="1323"/>
      <c r="M6" s="1323"/>
      <c r="N6" s="1323"/>
      <c r="O6" s="1323"/>
      <c r="P6" s="1323"/>
      <c r="Q6" s="1323"/>
      <c r="R6" s="1323"/>
      <c r="S6" s="1323"/>
      <c r="T6" s="1323"/>
      <c r="U6" s="1323"/>
      <c r="V6" s="1323"/>
      <c r="W6" s="1323"/>
      <c r="X6" s="1323"/>
      <c r="Y6" s="1323"/>
      <c r="Z6" s="1323"/>
      <c r="AA6" s="1323"/>
      <c r="AB6" s="1323"/>
      <c r="AC6" s="1277" t="s">
        <v>280</v>
      </c>
      <c r="AD6" s="1277"/>
      <c r="AE6" s="1277"/>
      <c r="AF6" s="1277"/>
      <c r="AG6" s="1277"/>
      <c r="AH6" s="1277"/>
      <c r="AI6" s="1277"/>
      <c r="AJ6" s="1277"/>
      <c r="AK6" s="1277"/>
      <c r="AL6" s="1277"/>
      <c r="AM6" s="1277"/>
      <c r="AN6" s="1278"/>
    </row>
    <row r="7" spans="2:72" ht="14.85" customHeight="1" x14ac:dyDescent="0.25">
      <c r="B7" s="1318"/>
      <c r="C7" s="1319"/>
      <c r="D7" s="433">
        <v>2018</v>
      </c>
      <c r="E7" s="1320">
        <v>2019</v>
      </c>
      <c r="F7" s="1321"/>
      <c r="G7" s="1321"/>
      <c r="H7" s="1322"/>
      <c r="I7" s="1320">
        <v>2020</v>
      </c>
      <c r="J7" s="1321"/>
      <c r="K7" s="1321"/>
      <c r="L7" s="1321"/>
      <c r="M7" s="1320">
        <v>2021</v>
      </c>
      <c r="N7" s="1321"/>
      <c r="O7" s="1321"/>
      <c r="P7" s="1321"/>
      <c r="Q7" s="1320">
        <v>2022</v>
      </c>
      <c r="R7" s="1321"/>
      <c r="S7" s="1321"/>
      <c r="T7" s="1322"/>
      <c r="U7" s="282"/>
      <c r="V7" s="220">
        <v>2023</v>
      </c>
      <c r="W7" s="220"/>
      <c r="X7" s="219"/>
      <c r="Y7" s="71"/>
      <c r="Z7" s="220">
        <v>2024</v>
      </c>
      <c r="AA7" s="220"/>
      <c r="AB7" s="219"/>
      <c r="AC7" s="1275">
        <v>2025</v>
      </c>
      <c r="AD7" s="1276"/>
      <c r="AE7" s="1276"/>
      <c r="AF7" s="1280"/>
      <c r="AG7" s="1275">
        <v>2026</v>
      </c>
      <c r="AH7" s="1276"/>
      <c r="AI7" s="1276"/>
      <c r="AJ7" s="1280"/>
      <c r="AK7" s="1275">
        <v>2027</v>
      </c>
      <c r="AL7" s="1276"/>
      <c r="AM7" s="1276"/>
      <c r="AN7" s="1280"/>
    </row>
    <row r="8" spans="2:72" x14ac:dyDescent="0.25">
      <c r="B8" s="1318"/>
      <c r="C8" s="1319"/>
      <c r="D8" s="433" t="s">
        <v>281</v>
      </c>
      <c r="E8" s="433" t="s">
        <v>282</v>
      </c>
      <c r="F8" s="434" t="s">
        <v>283</v>
      </c>
      <c r="G8" s="434" t="s">
        <v>238</v>
      </c>
      <c r="H8" s="471" t="s">
        <v>281</v>
      </c>
      <c r="I8" s="434" t="s">
        <v>282</v>
      </c>
      <c r="J8" s="434" t="s">
        <v>283</v>
      </c>
      <c r="K8" s="434" t="s">
        <v>238</v>
      </c>
      <c r="L8" s="434" t="s">
        <v>281</v>
      </c>
      <c r="M8" s="446" t="s">
        <v>282</v>
      </c>
      <c r="N8" s="447" t="s">
        <v>283</v>
      </c>
      <c r="O8" s="447" t="s">
        <v>238</v>
      </c>
      <c r="P8" s="447" t="s">
        <v>281</v>
      </c>
      <c r="Q8" s="446" t="s">
        <v>282</v>
      </c>
      <c r="R8" s="447" t="s">
        <v>283</v>
      </c>
      <c r="S8" s="447" t="s">
        <v>238</v>
      </c>
      <c r="T8" s="448" t="s">
        <v>281</v>
      </c>
      <c r="U8" s="275" t="s">
        <v>282</v>
      </c>
      <c r="V8" s="276" t="s">
        <v>283</v>
      </c>
      <c r="W8" s="276" t="s">
        <v>238</v>
      </c>
      <c r="X8" s="274" t="s">
        <v>281</v>
      </c>
      <c r="Y8" s="276" t="s">
        <v>282</v>
      </c>
      <c r="Z8" s="281" t="s">
        <v>283</v>
      </c>
      <c r="AA8" s="276" t="s">
        <v>238</v>
      </c>
      <c r="AB8" s="276" t="s">
        <v>281</v>
      </c>
      <c r="AC8" s="275" t="s">
        <v>282</v>
      </c>
      <c r="AD8" s="260" t="s">
        <v>283</v>
      </c>
      <c r="AE8" s="262" t="s">
        <v>238</v>
      </c>
      <c r="AF8" s="290" t="s">
        <v>281</v>
      </c>
      <c r="AG8" s="225" t="s">
        <v>282</v>
      </c>
      <c r="AH8" s="260" t="s">
        <v>283</v>
      </c>
      <c r="AI8" s="260" t="s">
        <v>238</v>
      </c>
      <c r="AJ8" s="279" t="s">
        <v>281</v>
      </c>
      <c r="AK8" s="225" t="s">
        <v>282</v>
      </c>
      <c r="AL8" s="260" t="s">
        <v>283</v>
      </c>
      <c r="AM8" s="260" t="s">
        <v>238</v>
      </c>
      <c r="AN8" s="279" t="s">
        <v>281</v>
      </c>
    </row>
    <row r="9" spans="2:72" ht="18" customHeight="1" x14ac:dyDescent="0.25">
      <c r="B9" s="466" t="s">
        <v>1961</v>
      </c>
      <c r="C9" s="467"/>
      <c r="D9" s="468"/>
      <c r="E9" s="468"/>
      <c r="F9" s="468"/>
      <c r="G9" s="468"/>
      <c r="H9" s="468"/>
      <c r="I9" s="468"/>
      <c r="J9" s="468"/>
      <c r="K9" s="468"/>
      <c r="L9" s="468"/>
      <c r="M9" s="444">
        <v>1609.9</v>
      </c>
      <c r="N9" s="444">
        <v>1588.5</v>
      </c>
      <c r="O9" s="444">
        <v>1576.4</v>
      </c>
      <c r="P9" s="444">
        <v>1602.5</v>
      </c>
      <c r="Q9" s="444">
        <v>1606.5</v>
      </c>
      <c r="R9" s="444">
        <v>1622.1</v>
      </c>
      <c r="S9" s="444">
        <v>1641.4</v>
      </c>
      <c r="T9" s="444">
        <v>1694.2</v>
      </c>
      <c r="U9" s="444">
        <v>1731.6</v>
      </c>
      <c r="V9" s="444">
        <v>1741.8</v>
      </c>
      <c r="W9" s="444">
        <v>1780.9</v>
      </c>
      <c r="X9" s="444">
        <v>1796.2</v>
      </c>
      <c r="Y9" s="444">
        <v>1810.3</v>
      </c>
      <c r="Z9" s="445">
        <v>1842.2</v>
      </c>
      <c r="AA9" s="445">
        <v>1893.4</v>
      </c>
      <c r="AB9" s="445">
        <v>1899.3</v>
      </c>
      <c r="AC9" s="445">
        <v>1905.1</v>
      </c>
      <c r="AD9" s="445">
        <v>1910.7</v>
      </c>
      <c r="AE9" s="445">
        <v>1916.3</v>
      </c>
      <c r="AF9" s="445">
        <v>1922.1</v>
      </c>
      <c r="AG9" s="445">
        <v>1932.1</v>
      </c>
      <c r="AH9" s="445">
        <v>1942.5</v>
      </c>
      <c r="AI9" s="445">
        <v>1953.7</v>
      </c>
      <c r="AJ9" s="445">
        <v>1963.7</v>
      </c>
      <c r="AK9" s="445">
        <v>1973.3</v>
      </c>
      <c r="AL9" s="445">
        <v>1984.4</v>
      </c>
      <c r="AM9" s="445">
        <v>1996</v>
      </c>
      <c r="AN9" s="445">
        <v>2006.3</v>
      </c>
      <c r="AO9" s="445">
        <v>2016.1</v>
      </c>
      <c r="AP9" s="445">
        <v>2026.1</v>
      </c>
      <c r="AQ9" s="445">
        <v>2036.2</v>
      </c>
      <c r="AR9" s="445">
        <v>2047.6</v>
      </c>
      <c r="AS9" s="445">
        <v>2057.4</v>
      </c>
      <c r="AT9" s="445">
        <v>2068.8000000000002</v>
      </c>
      <c r="AU9" s="445">
        <v>2080.3000000000002</v>
      </c>
      <c r="AV9" s="445">
        <v>2091.8000000000002</v>
      </c>
      <c r="AW9" s="445">
        <v>2103.1999999999998</v>
      </c>
      <c r="AX9" s="445">
        <v>2114.6999999999998</v>
      </c>
      <c r="AY9" s="445">
        <v>2124.6999999999998</v>
      </c>
      <c r="AZ9" s="445">
        <v>2134.8000000000002</v>
      </c>
      <c r="BA9" s="445">
        <v>2144.9</v>
      </c>
      <c r="BB9" s="445">
        <v>2156.6</v>
      </c>
      <c r="BC9" s="445">
        <v>2169.1</v>
      </c>
      <c r="BD9" s="445">
        <v>2181.9</v>
      </c>
      <c r="BE9" s="445">
        <v>2194.8000000000002</v>
      </c>
      <c r="BF9" s="445">
        <v>2207.5</v>
      </c>
      <c r="BG9" s="445">
        <v>2221.3000000000002</v>
      </c>
      <c r="BH9" s="445">
        <v>2235.5</v>
      </c>
      <c r="BI9" s="445">
        <v>2249.3000000000002</v>
      </c>
      <c r="BJ9" s="445">
        <v>2263.1999999999998</v>
      </c>
      <c r="BK9" s="445">
        <v>2277.4</v>
      </c>
      <c r="BL9" s="445">
        <v>2290.6999999999998</v>
      </c>
      <c r="BM9" s="445">
        <v>2304.1999999999998</v>
      </c>
      <c r="BN9" s="445">
        <v>2317.3000000000002</v>
      </c>
      <c r="BO9" s="445">
        <v>2330.5</v>
      </c>
      <c r="BP9" s="445">
        <v>2343.6</v>
      </c>
      <c r="BQ9" s="445">
        <v>2356.9</v>
      </c>
      <c r="BR9">
        <v>2370.1999999999998</v>
      </c>
      <c r="BS9">
        <v>2383.6999999999998</v>
      </c>
      <c r="BT9">
        <v>2397.6</v>
      </c>
    </row>
    <row r="10" spans="2:72" ht="17.100000000000001" customHeight="1" x14ac:dyDescent="0.25">
      <c r="B10" s="470" t="s">
        <v>1962</v>
      </c>
      <c r="C10" s="463"/>
      <c r="D10" s="463"/>
      <c r="E10" s="463"/>
      <c r="F10" s="463"/>
      <c r="G10" s="463"/>
      <c r="H10" s="464"/>
      <c r="I10" s="464"/>
      <c r="J10" s="464"/>
      <c r="K10" s="464"/>
      <c r="L10" s="464"/>
      <c r="M10" s="227">
        <v>22.143000000000001</v>
      </c>
      <c r="N10" s="227">
        <v>-5.2320000000000002</v>
      </c>
      <c r="O10" s="227">
        <v>-2.996</v>
      </c>
      <c r="P10" s="227">
        <v>6.7709999999999999</v>
      </c>
      <c r="Q10" s="227">
        <v>-2.56</v>
      </c>
      <c r="R10" s="227">
        <v>3.9369999999999998</v>
      </c>
      <c r="S10" s="227">
        <v>4.8460000000000001</v>
      </c>
      <c r="T10" s="227">
        <v>13.507</v>
      </c>
      <c r="U10" s="227">
        <v>9.1310000000000002</v>
      </c>
      <c r="V10" s="227">
        <v>2.3679999999999999</v>
      </c>
      <c r="W10" s="227">
        <v>9.2949999999999999</v>
      </c>
      <c r="X10" s="227">
        <v>3.4710000000000001</v>
      </c>
      <c r="Y10" s="227">
        <v>3.1720000000000002</v>
      </c>
      <c r="Z10" s="443">
        <v>7.2409999999999997</v>
      </c>
      <c r="AA10" s="443">
        <v>11.583</v>
      </c>
      <c r="AB10" s="443">
        <v>1.272</v>
      </c>
      <c r="AC10" s="443">
        <v>1.2130000000000001</v>
      </c>
      <c r="AD10" s="443">
        <v>1.194</v>
      </c>
      <c r="AE10" s="443">
        <v>1.1639999999999999</v>
      </c>
      <c r="AF10" s="443">
        <v>1.2110000000000001</v>
      </c>
      <c r="AG10" s="443">
        <v>2.1070000000000002</v>
      </c>
      <c r="AH10" s="443">
        <v>2.1749999999999998</v>
      </c>
      <c r="AI10" s="443">
        <v>2.3199999999999998</v>
      </c>
      <c r="AJ10" s="443">
        <v>2.0579999999999998</v>
      </c>
      <c r="AK10" s="443">
        <v>1.9690000000000001</v>
      </c>
      <c r="AL10" s="443">
        <v>2.2799999999999998</v>
      </c>
      <c r="AM10" s="443">
        <v>2.34</v>
      </c>
      <c r="AN10" s="443">
        <v>2.0960000000000001</v>
      </c>
      <c r="AO10" s="443">
        <v>1.9670000000000001</v>
      </c>
      <c r="AP10" s="443">
        <v>1.992</v>
      </c>
      <c r="AQ10" s="443">
        <v>2.016</v>
      </c>
      <c r="AR10" s="443">
        <v>2.258</v>
      </c>
      <c r="AS10" s="443">
        <v>1.9179999999999999</v>
      </c>
      <c r="AT10" s="443">
        <v>2.2320000000000002</v>
      </c>
      <c r="AU10" s="443">
        <v>2.238</v>
      </c>
      <c r="AV10" s="443">
        <v>2.2429999999999999</v>
      </c>
      <c r="AW10" s="443">
        <v>2.1970000000000001</v>
      </c>
      <c r="AX10" s="443">
        <v>2.1989999999999998</v>
      </c>
      <c r="AY10" s="443">
        <v>1.9039999999999999</v>
      </c>
      <c r="AZ10" s="443">
        <v>1.9059999999999999</v>
      </c>
      <c r="BA10" s="443">
        <v>1.9059999999999999</v>
      </c>
      <c r="BB10" s="443">
        <v>2.1970000000000001</v>
      </c>
      <c r="BC10" s="443">
        <v>2.3420000000000001</v>
      </c>
      <c r="BD10" s="443">
        <v>2.391</v>
      </c>
      <c r="BE10" s="443">
        <v>2.3769999999999998</v>
      </c>
      <c r="BF10" s="443">
        <v>2.3330000000000002</v>
      </c>
      <c r="BG10" s="443">
        <v>2.536</v>
      </c>
      <c r="BH10" s="443">
        <v>2.5720000000000001</v>
      </c>
      <c r="BI10" s="443">
        <v>2.4940000000000002</v>
      </c>
      <c r="BJ10" s="443">
        <v>2.4929999999999999</v>
      </c>
      <c r="BK10" s="443">
        <v>2.5270000000000001</v>
      </c>
      <c r="BL10" s="443">
        <v>2.3690000000000002</v>
      </c>
      <c r="BM10" s="443">
        <v>2.367</v>
      </c>
      <c r="BN10" s="443">
        <v>2.2959999999999998</v>
      </c>
      <c r="BO10" s="443">
        <v>2.3010000000000002</v>
      </c>
      <c r="BP10" s="443">
        <v>2.2730000000000001</v>
      </c>
      <c r="BQ10" s="443">
        <v>2.2770000000000001</v>
      </c>
      <c r="BR10">
        <v>2.282</v>
      </c>
      <c r="BS10">
        <v>2.2869999999999999</v>
      </c>
      <c r="BT10">
        <v>2.3580000000000001</v>
      </c>
    </row>
    <row r="11" spans="2:72" ht="17.25" customHeight="1" x14ac:dyDescent="0.25">
      <c r="B11" s="475" t="s">
        <v>195</v>
      </c>
      <c r="C11" s="463" t="s">
        <v>902</v>
      </c>
      <c r="D11" s="463"/>
      <c r="E11" s="463"/>
      <c r="F11" s="463"/>
      <c r="G11" s="463"/>
      <c r="H11" s="455">
        <f>'Haver Pivoted'!GS23</f>
        <v>1439.9</v>
      </c>
      <c r="I11" s="455">
        <f>'Haver Pivoted'!GT23</f>
        <v>1459.3</v>
      </c>
      <c r="J11" s="455">
        <f>'Haver Pivoted'!GU23</f>
        <v>1567.7</v>
      </c>
      <c r="K11" s="455">
        <f>'Haver Pivoted'!GV23</f>
        <v>1526.5</v>
      </c>
      <c r="L11" s="455">
        <f>'Haver Pivoted'!GW23</f>
        <v>1538.6</v>
      </c>
      <c r="M11" s="455">
        <f>'Haver Pivoted'!GX23</f>
        <v>1613.4</v>
      </c>
      <c r="N11" s="455">
        <f>'Haver Pivoted'!GY23</f>
        <v>1597.4</v>
      </c>
      <c r="O11" s="455">
        <f>'Haver Pivoted'!GZ23</f>
        <v>1585</v>
      </c>
      <c r="P11" s="455">
        <f>'Haver Pivoted'!HA23</f>
        <v>1616.9</v>
      </c>
      <c r="Q11" s="455">
        <f>'Haver Pivoted'!HB23</f>
        <v>1606.5</v>
      </c>
      <c r="R11" s="455">
        <f>'Haver Pivoted'!HC23</f>
        <v>1622.1</v>
      </c>
      <c r="S11" s="465">
        <f>'Haver Pivoted'!HD23</f>
        <v>1641.4</v>
      </c>
      <c r="T11" s="465">
        <f>'Haver Pivoted'!HE23</f>
        <v>1694.2</v>
      </c>
      <c r="U11" s="465">
        <f>'Haver Pivoted'!HF23</f>
        <v>1731.6</v>
      </c>
      <c r="V11" s="465">
        <f>'Haver Pivoted'!HG23</f>
        <v>1741.8</v>
      </c>
      <c r="W11" s="465">
        <f>'Haver Pivoted'!HH23</f>
        <v>1780.9</v>
      </c>
      <c r="X11" s="465">
        <f>'Haver Pivoted'!HI23</f>
        <v>1796.2</v>
      </c>
      <c r="Y11" s="465">
        <f>'Haver Pivoted'!HJ23</f>
        <v>1810.3</v>
      </c>
      <c r="Z11" s="465">
        <f>'Haver Pivoted'!HK23</f>
        <v>1842.2</v>
      </c>
      <c r="AA11" s="465">
        <f>'Haver Pivoted'!HL23</f>
        <v>1893.4</v>
      </c>
      <c r="AB11" s="465">
        <f>'Haver Pivoted'!HM23</f>
        <v>1924.7</v>
      </c>
      <c r="AC11" s="465">
        <f>'Haver Pivoted'!HN23</f>
        <v>1925.3</v>
      </c>
      <c r="AD11" s="457">
        <f>(1+(AD10/100))^(1/4)*AC11+AD16</f>
        <v>1925.0214659829066</v>
      </c>
      <c r="AE11" s="457">
        <f>(1+(AE10/100))^(1/4)*AD11+AE16</f>
        <v>1930.5989912488317</v>
      </c>
      <c r="AF11" s="457">
        <f>(1+(AF10/100))^(1/4)*AE11+AF16</f>
        <v>1936.4175225530107</v>
      </c>
      <c r="AG11" s="457">
        <f>(1+(AG10/100))^(1/4)*AF11+AG16</f>
        <v>1946.5379849104011</v>
      </c>
      <c r="AH11" s="457">
        <f>(1+(AH10/100))^(1/4)*AG11+AH16</f>
        <v>1957.037036177768</v>
      </c>
      <c r="AI11" s="457">
        <f>(1+(AI10/100))^(1/4)*AH11+AI16</f>
        <v>1968.2904143916112</v>
      </c>
      <c r="AJ11" s="457">
        <f>(1+(AJ10/100))^(1/4)*AI11+AJ16</f>
        <v>1978.3400397419518</v>
      </c>
      <c r="AK11" s="457">
        <f>(1+(AK10/100))^(1/4)*AJ11+AK16</f>
        <v>1988.0073277127929</v>
      </c>
      <c r="AL11" s="457">
        <f>(1+(AL10/100))^(1/4)*AK11+AL16</f>
        <v>1999.2433526621023</v>
      </c>
      <c r="AM11" s="457">
        <f>(1+(AM10/100))^(1/4)*AL11+AM16</f>
        <v>2010.8376763495623</v>
      </c>
      <c r="AN11" s="457">
        <f>(1+(AN10/100))^(1/4)*AM11+AN16</f>
        <v>2021.2926448451219</v>
      </c>
    </row>
    <row r="12" spans="2:72" ht="17.25" customHeight="1" x14ac:dyDescent="0.25">
      <c r="B12" s="475" t="s">
        <v>112</v>
      </c>
      <c r="C12" s="463"/>
      <c r="D12" s="463"/>
      <c r="E12" s="463"/>
      <c r="F12" s="463"/>
      <c r="G12" s="463"/>
      <c r="H12" s="455"/>
      <c r="I12" s="455"/>
      <c r="J12" s="455"/>
      <c r="K12" s="455"/>
      <c r="L12" s="455"/>
      <c r="M12" s="455"/>
      <c r="N12" s="455"/>
      <c r="O12" s="455"/>
      <c r="P12" s="455"/>
      <c r="Q12" s="455"/>
      <c r="R12" s="455"/>
      <c r="S12" s="465">
        <f>S11/S13</f>
        <v>1412.9</v>
      </c>
      <c r="T12" s="465">
        <f t="shared" ref="T12:AN12" si="0">T11/T13</f>
        <v>1443.601062446656</v>
      </c>
      <c r="U12" s="465">
        <f t="shared" si="0"/>
        <v>1460.0562632146969</v>
      </c>
      <c r="V12" s="465">
        <f t="shared" si="0"/>
        <v>1456.0736835277405</v>
      </c>
      <c r="W12" s="465">
        <f t="shared" si="0"/>
        <v>1474.9026173326019</v>
      </c>
      <c r="X12" s="465">
        <f t="shared" si="0"/>
        <v>1473.6619479231717</v>
      </c>
      <c r="Y12" s="465">
        <f t="shared" si="0"/>
        <v>1472.330449981227</v>
      </c>
      <c r="Z12" s="465">
        <f t="shared" si="0"/>
        <v>1487.8932094301031</v>
      </c>
      <c r="AA12" s="465">
        <f t="shared" si="0"/>
        <v>1520.0270308686263</v>
      </c>
      <c r="AB12" s="465">
        <f t="shared" si="0"/>
        <v>1535.0260739971839</v>
      </c>
      <c r="AC12" s="465">
        <f t="shared" si="0"/>
        <v>1515.2406501068738</v>
      </c>
      <c r="AD12" s="1426">
        <f t="shared" si="0"/>
        <v>1509.2813075673444</v>
      </c>
      <c r="AE12" s="1426">
        <f t="shared" si="0"/>
        <v>1508.1311211450009</v>
      </c>
      <c r="AF12" s="1426">
        <f t="shared" si="0"/>
        <v>1507.0120579608033</v>
      </c>
      <c r="AG12" s="1426">
        <f t="shared" si="0"/>
        <v>1506.8476849465403</v>
      </c>
      <c r="AH12" s="1426">
        <f t="shared" si="0"/>
        <v>1506.4641751324348</v>
      </c>
      <c r="AI12" s="1426">
        <f t="shared" si="0"/>
        <v>1506.4408785443622</v>
      </c>
      <c r="AJ12" s="1426">
        <f t="shared" si="0"/>
        <v>1505.2220213523024</v>
      </c>
      <c r="AK12" s="1426">
        <f t="shared" si="0"/>
        <v>1504.218965097446</v>
      </c>
      <c r="AL12" s="1426">
        <f t="shared" si="0"/>
        <v>1504.459032857719</v>
      </c>
      <c r="AM12" s="1426">
        <f t="shared" si="0"/>
        <v>1504.6898094784385</v>
      </c>
      <c r="AN12" s="1426">
        <f t="shared" si="0"/>
        <v>1503.8483258184051</v>
      </c>
    </row>
    <row r="13" spans="2:72" ht="17.25" customHeight="1" x14ac:dyDescent="0.25">
      <c r="B13" s="475" t="s">
        <v>97</v>
      </c>
      <c r="C13" s="463"/>
      <c r="D13" s="463"/>
      <c r="E13" s="463"/>
      <c r="F13" s="463"/>
      <c r="G13" s="463"/>
      <c r="H13" s="455"/>
      <c r="I13" s="455"/>
      <c r="J13" s="455"/>
      <c r="K13" s="455"/>
      <c r="L13" s="455"/>
      <c r="M13" s="455"/>
      <c r="N13" s="455"/>
      <c r="O13" s="455"/>
      <c r="P13" s="455"/>
      <c r="Q13" s="455"/>
      <c r="R13" s="455"/>
      <c r="S13" s="465">
        <f>Deflators!S56</f>
        <v>1.1617241135253733</v>
      </c>
      <c r="T13" s="465">
        <f>Deflators!T56</f>
        <v>1.1735929295650571</v>
      </c>
      <c r="U13" s="465">
        <f>Deflators!U56</f>
        <v>1.1859816937379031</v>
      </c>
      <c r="V13" s="465">
        <f>Deflators!V56</f>
        <v>1.1962306713627353</v>
      </c>
      <c r="W13" s="465">
        <f>Deflators!W56</f>
        <v>1.2074695502410877</v>
      </c>
      <c r="X13" s="465">
        <f>Deflators!X56</f>
        <v>1.2188684131604133</v>
      </c>
      <c r="Y13" s="465">
        <f>Deflators!Y56</f>
        <v>1.2295473478953602</v>
      </c>
      <c r="Z13" s="465">
        <f>Deflators!Z56</f>
        <v>1.238126492092537</v>
      </c>
      <c r="AA13" s="465">
        <f>Deflators!AA56</f>
        <v>1.2456357430157068</v>
      </c>
      <c r="AB13" s="465">
        <f>Deflators!AB56</f>
        <v>1.2538549231206941</v>
      </c>
      <c r="AC13" s="465">
        <f>Deflators!AC56</f>
        <v>1.2706232504151758</v>
      </c>
      <c r="AD13" s="1426">
        <f>Deflators!AD56</f>
        <v>1.2754557128158244</v>
      </c>
      <c r="AE13" s="1426">
        <f>Deflators!AE56</f>
        <v>1.2801267503737244</v>
      </c>
      <c r="AF13" s="1426">
        <f>Deflators!AF56</f>
        <v>1.2849383071116582</v>
      </c>
      <c r="AG13" s="1426">
        <f>Deflators!AG56</f>
        <v>1.2917947874601938</v>
      </c>
      <c r="AH13" s="1426">
        <f>Deflators!AH56</f>
        <v>1.2990929810897911</v>
      </c>
      <c r="AI13" s="1426">
        <f>Deflators!AI56</f>
        <v>1.3065832469267051</v>
      </c>
      <c r="AJ13" s="1426">
        <f>Deflators!AJ56</f>
        <v>1.3143177628803204</v>
      </c>
      <c r="AK13" s="1426">
        <f>Deflators!AK56</f>
        <v>1.3216209699789327</v>
      </c>
      <c r="AL13" s="1426">
        <f>Deflators!AL56</f>
        <v>1.3288785596670858</v>
      </c>
      <c r="AM13" s="1426">
        <f>Deflators!AM56</f>
        <v>1.3363802051976192</v>
      </c>
      <c r="AN13" s="1426">
        <f>Deflators!AN56</f>
        <v>1.3440801244002583</v>
      </c>
    </row>
    <row r="14" spans="2:72" ht="17.25" customHeight="1" x14ac:dyDescent="0.25">
      <c r="B14" s="475"/>
      <c r="C14" s="463"/>
      <c r="D14" s="463"/>
      <c r="E14" s="463"/>
      <c r="F14" s="463"/>
      <c r="G14" s="463"/>
      <c r="H14" s="455"/>
      <c r="I14" s="455"/>
      <c r="J14" s="455"/>
      <c r="K14" s="455"/>
      <c r="L14" s="455"/>
      <c r="M14" s="455"/>
      <c r="N14" s="455"/>
      <c r="O14" s="455"/>
      <c r="P14" s="455"/>
      <c r="Q14" s="455"/>
      <c r="R14" s="455"/>
      <c r="S14" s="465"/>
      <c r="T14" s="1425">
        <f>(T13/S13)^4-1</f>
        <v>4.1496756379381328E-2</v>
      </c>
      <c r="U14" s="1425">
        <f t="shared" ref="U14:AN14" si="1">(U13/T13)^4-1</f>
        <v>4.2898407970302532E-2</v>
      </c>
      <c r="V14" s="1425">
        <f t="shared" si="1"/>
        <v>3.5017736429978852E-2</v>
      </c>
      <c r="W14" s="1425">
        <f t="shared" si="1"/>
        <v>3.8113924198168725E-2</v>
      </c>
      <c r="X14" s="1425">
        <f t="shared" si="1"/>
        <v>3.8299248311242984E-2</v>
      </c>
      <c r="Y14" s="1425">
        <f t="shared" si="1"/>
        <v>3.5508670157945676E-2</v>
      </c>
      <c r="Z14" s="1425">
        <f t="shared" si="1"/>
        <v>2.8203399736230539E-2</v>
      </c>
      <c r="AA14" s="1425">
        <f t="shared" si="1"/>
        <v>2.4481644318991469E-2</v>
      </c>
      <c r="AB14" s="1425">
        <f t="shared" si="1"/>
        <v>2.665590972416565E-2</v>
      </c>
      <c r="AC14" s="1425">
        <f t="shared" si="1"/>
        <v>5.4576365396832749E-2</v>
      </c>
      <c r="AD14" s="1427">
        <f t="shared" si="1"/>
        <v>1.5299895562953081E-2</v>
      </c>
      <c r="AE14" s="1427">
        <f t="shared" si="1"/>
        <v>1.4729668703095777E-2</v>
      </c>
      <c r="AF14" s="1427">
        <f t="shared" si="1"/>
        <v>1.5119603614899724E-2</v>
      </c>
      <c r="AG14" s="1427">
        <f t="shared" si="1"/>
        <v>2.1515602617293128E-2</v>
      </c>
      <c r="AH14" s="1427">
        <f t="shared" si="1"/>
        <v>2.2790850007197161E-2</v>
      </c>
      <c r="AI14" s="1427">
        <f t="shared" si="1"/>
        <v>2.3263295207157642E-2</v>
      </c>
      <c r="AJ14" s="1427">
        <f t="shared" si="1"/>
        <v>2.3889685874715294E-2</v>
      </c>
      <c r="AK14" s="1427">
        <f t="shared" si="1"/>
        <v>2.2412555601408091E-2</v>
      </c>
      <c r="AL14" s="1427">
        <f t="shared" si="1"/>
        <v>2.2147320108405477E-2</v>
      </c>
      <c r="AM14" s="1427">
        <f t="shared" si="1"/>
        <v>2.2772302614111117E-2</v>
      </c>
      <c r="AN14" s="1427">
        <f t="shared" si="1"/>
        <v>2.3247045836330082E-2</v>
      </c>
    </row>
    <row r="15" spans="2:72" ht="17.25" customHeight="1" x14ac:dyDescent="0.25">
      <c r="B15" s="475" t="s">
        <v>2304</v>
      </c>
      <c r="C15" s="463"/>
      <c r="D15" s="463"/>
      <c r="E15" s="463"/>
      <c r="F15" s="463"/>
      <c r="G15" s="463"/>
      <c r="H15" s="455"/>
      <c r="I15" s="455"/>
      <c r="J15" s="455"/>
      <c r="K15" s="455"/>
      <c r="L15" s="455"/>
      <c r="M15" s="455"/>
      <c r="N15" s="455"/>
      <c r="O15" s="455"/>
      <c r="P15" s="455"/>
      <c r="Q15" s="455"/>
      <c r="R15" s="455"/>
      <c r="S15" s="465"/>
      <c r="T15" s="1425">
        <f>(T12/S12)^4-1</f>
        <v>8.9790635062496849E-2</v>
      </c>
      <c r="U15" s="1425">
        <f t="shared" ref="U15:AN15" si="2">(U12/T12)^4-1</f>
        <v>4.6380395835613042E-2</v>
      </c>
      <c r="V15" s="1425">
        <f t="shared" si="2"/>
        <v>-1.0866196156615104E-2</v>
      </c>
      <c r="W15" s="1425">
        <f t="shared" si="2"/>
        <v>5.2737211849036569E-2</v>
      </c>
      <c r="X15" s="1425">
        <f t="shared" si="2"/>
        <v>-3.360506163529231E-3</v>
      </c>
      <c r="Y15" s="1425">
        <f t="shared" si="2"/>
        <v>-3.6092251899172423E-3</v>
      </c>
      <c r="Z15" s="1425">
        <f t="shared" si="2"/>
        <v>4.2955720941680875E-2</v>
      </c>
      <c r="AA15" s="1425">
        <f t="shared" si="2"/>
        <v>8.9226497214647704E-2</v>
      </c>
      <c r="AB15" s="1425">
        <f t="shared" si="2"/>
        <v>4.0058535999288658E-2</v>
      </c>
      <c r="AC15" s="1425">
        <f t="shared" si="2"/>
        <v>-5.0568964344260392E-2</v>
      </c>
      <c r="AD15" s="1427">
        <f t="shared" si="2"/>
        <v>-1.563917406730353E-2</v>
      </c>
      <c r="AE15" s="1427">
        <f t="shared" si="2"/>
        <v>-3.0448195203006678E-3</v>
      </c>
      <c r="AF15" s="1427">
        <f t="shared" si="2"/>
        <v>-2.9647773564630553E-3</v>
      </c>
      <c r="AG15" s="1427">
        <f t="shared" si="2"/>
        <v>-4.3621714259867161E-4</v>
      </c>
      <c r="AH15" s="1427">
        <f t="shared" si="2"/>
        <v>-1.0176567449637908E-3</v>
      </c>
      <c r="AI15" s="1427">
        <f t="shared" si="2"/>
        <v>-6.1856227477341541E-5</v>
      </c>
      <c r="AJ15" s="1427">
        <f t="shared" si="2"/>
        <v>-3.2324633408991055E-3</v>
      </c>
      <c r="AK15" s="1427">
        <f t="shared" si="2"/>
        <v>-2.6628737944315306E-3</v>
      </c>
      <c r="AL15" s="1427">
        <f t="shared" si="2"/>
        <v>6.3853798640778336E-4</v>
      </c>
      <c r="AM15" s="1427">
        <f t="shared" si="2"/>
        <v>6.1372153340832902E-4</v>
      </c>
      <c r="AN15" s="1427">
        <f t="shared" si="2"/>
        <v>-2.2350866739720976E-3</v>
      </c>
    </row>
    <row r="16" spans="2:72" ht="17.25" customHeight="1" x14ac:dyDescent="0.25">
      <c r="B16" s="475" t="s">
        <v>1953</v>
      </c>
      <c r="C16" s="463"/>
      <c r="D16" s="463"/>
      <c r="E16" s="463"/>
      <c r="F16" s="463"/>
      <c r="G16" s="463"/>
      <c r="H16" s="455"/>
      <c r="I16" s="455"/>
      <c r="J16" s="455"/>
      <c r="K16" s="455"/>
      <c r="L16" s="455"/>
      <c r="M16" s="455"/>
      <c r="N16" s="455"/>
      <c r="O16" s="455"/>
      <c r="P16" s="455"/>
      <c r="Q16" s="455"/>
      <c r="R16" s="455"/>
      <c r="S16" s="465"/>
      <c r="T16" s="465"/>
      <c r="U16" s="465"/>
      <c r="V16" s="465"/>
      <c r="W16" s="465"/>
      <c r="X16" s="465"/>
      <c r="Y16" s="465"/>
      <c r="Z16" s="465"/>
      <c r="AA16" s="465"/>
      <c r="AB16" s="465"/>
      <c r="AC16" s="465"/>
      <c r="AD16" s="457">
        <f>-6</f>
        <v>-6</v>
      </c>
      <c r="AE16" s="457"/>
      <c r="AF16" s="457"/>
      <c r="AG16" s="457"/>
      <c r="AH16" s="457"/>
      <c r="AI16" s="457"/>
      <c r="AJ16" s="457"/>
      <c r="AK16" s="457"/>
      <c r="AL16" s="457"/>
      <c r="AM16" s="457"/>
      <c r="AN16" s="457"/>
    </row>
    <row r="17" spans="2:72" x14ac:dyDescent="0.25">
      <c r="B17" s="472" t="s">
        <v>386</v>
      </c>
      <c r="C17" s="473"/>
      <c r="D17" s="473"/>
      <c r="E17" s="473"/>
      <c r="F17" s="473"/>
      <c r="G17" s="473"/>
      <c r="H17" s="453">
        <f>H11+H55</f>
        <v>1721.212</v>
      </c>
      <c r="I17" s="453">
        <f>I11+I55</f>
        <v>1747.059</v>
      </c>
      <c r="J17" s="453">
        <f>J11+J55</f>
        <v>1964.3780000000002</v>
      </c>
      <c r="K17" s="453">
        <f>K11+K55</f>
        <v>1901.364</v>
      </c>
      <c r="L17" s="453">
        <f>L11+L55</f>
        <v>1907.3589999999999</v>
      </c>
      <c r="M17" s="453">
        <f>M11+M55</f>
        <v>2004.8540000000003</v>
      </c>
      <c r="N17" s="453">
        <f>N11+N55</f>
        <v>2026.6750000000002</v>
      </c>
      <c r="O17" s="453">
        <f>O11+O55</f>
        <v>2028.4519999999998</v>
      </c>
      <c r="P17" s="453">
        <f>P11+P55</f>
        <v>2089.0478520000001</v>
      </c>
      <c r="Q17" s="453">
        <f>Q11+Q55</f>
        <v>2112.3222747999998</v>
      </c>
      <c r="R17" s="453">
        <f>R11+R55</f>
        <v>2197.6360319999999</v>
      </c>
      <c r="S17" s="453">
        <f>S11+S55</f>
        <v>2199.7388679999999</v>
      </c>
      <c r="T17" s="453">
        <f>T11+T55</f>
        <v>2220.3329279999998</v>
      </c>
      <c r="U17" s="454">
        <f>U11+U55</f>
        <v>2248.6365432000002</v>
      </c>
      <c r="V17" s="454">
        <f>V11+V55</f>
        <v>2251.6037200000001</v>
      </c>
      <c r="W17" s="454">
        <f>W11+W55</f>
        <v>2274.603944</v>
      </c>
      <c r="X17" s="454">
        <f>X11+X55</f>
        <v>2306.1809440000002</v>
      </c>
      <c r="Y17" s="474">
        <f>Y11+Y55</f>
        <v>2322.6879440000002</v>
      </c>
      <c r="Z17" s="474">
        <f>Z11+Z55</f>
        <v>2360.4781090000001</v>
      </c>
      <c r="AA17" s="474">
        <f>AA11+AA55</f>
        <v>2433.0083300000001</v>
      </c>
      <c r="AB17" s="474">
        <f>AB11+AB55</f>
        <v>2467.5163256999999</v>
      </c>
      <c r="AC17" s="456">
        <f>AC11+AC55</f>
        <v>2428.8299969999998</v>
      </c>
      <c r="AD17" s="456"/>
      <c r="AE17" s="456"/>
      <c r="AF17" s="456"/>
      <c r="AG17" s="456"/>
      <c r="AH17" s="456"/>
      <c r="AI17" s="456"/>
      <c r="AJ17" s="456"/>
      <c r="AK17" s="456"/>
      <c r="AL17" s="456"/>
      <c r="AM17" s="456"/>
      <c r="AN17" s="456"/>
      <c r="AO17" s="238" t="s">
        <v>387</v>
      </c>
    </row>
    <row r="18" spans="2:72" ht="15.75" customHeight="1" x14ac:dyDescent="0.25">
      <c r="B18" s="246"/>
      <c r="C18" s="246"/>
      <c r="D18" s="246"/>
      <c r="E18" s="246"/>
      <c r="F18" s="246"/>
      <c r="G18" s="246"/>
      <c r="H18" s="235"/>
      <c r="I18" s="235"/>
      <c r="J18" s="235"/>
      <c r="K18" s="235"/>
      <c r="L18" s="235"/>
      <c r="M18" s="235"/>
      <c r="N18" s="235"/>
      <c r="O18" s="235"/>
      <c r="Y18" s="75"/>
      <c r="Z18" s="75"/>
      <c r="AA18" s="75"/>
      <c r="AB18" s="75"/>
      <c r="AC18" s="481"/>
      <c r="AD18" s="75"/>
      <c r="AE18" s="75"/>
      <c r="AF18" s="75"/>
      <c r="AG18" s="75"/>
      <c r="AH18" s="75"/>
      <c r="AI18" s="238"/>
    </row>
    <row r="19" spans="2:72" x14ac:dyDescent="0.25">
      <c r="B19" s="246"/>
      <c r="C19" s="246"/>
      <c r="D19" s="246"/>
      <c r="E19" s="246"/>
      <c r="F19" s="246"/>
      <c r="G19" s="246"/>
      <c r="H19" s="235"/>
      <c r="I19" s="235"/>
      <c r="J19" s="235"/>
      <c r="K19" s="235"/>
      <c r="L19" s="235"/>
      <c r="M19" s="235"/>
      <c r="N19" s="235"/>
      <c r="O19" s="235"/>
      <c r="P19" s="481"/>
      <c r="Q19" s="481"/>
      <c r="R19" s="481"/>
      <c r="S19" s="481"/>
      <c r="T19" s="481"/>
      <c r="U19" s="481"/>
      <c r="V19" s="481"/>
      <c r="W19" s="481"/>
      <c r="X19" s="481"/>
      <c r="Y19" s="481"/>
      <c r="Z19" s="481"/>
      <c r="AA19" s="481"/>
      <c r="AB19" s="481"/>
      <c r="AD19" s="481"/>
      <c r="AE19" s="481"/>
      <c r="AF19" s="481"/>
      <c r="AG19" s="481"/>
      <c r="AH19" s="481"/>
    </row>
    <row r="20" spans="2:72" ht="21.75" customHeight="1" x14ac:dyDescent="0.25">
      <c r="B20" s="1264" t="s">
        <v>165</v>
      </c>
      <c r="C20" s="1264"/>
      <c r="D20" s="1264"/>
      <c r="E20" s="1264"/>
      <c r="F20" s="1264"/>
      <c r="G20" s="1264"/>
      <c r="H20" s="1264"/>
      <c r="I20" s="1264"/>
      <c r="J20" s="1264"/>
      <c r="K20" s="1264"/>
      <c r="L20" s="1264"/>
      <c r="M20" s="1264"/>
      <c r="N20" s="1264"/>
      <c r="O20" s="1264"/>
      <c r="P20" s="1264"/>
      <c r="Q20" s="1264"/>
      <c r="R20" s="1264"/>
      <c r="S20" s="1264"/>
      <c r="T20" s="1264"/>
      <c r="U20" s="1264"/>
      <c r="V20" s="1264"/>
      <c r="W20" s="1264"/>
      <c r="X20" s="1264"/>
      <c r="Y20" s="1264"/>
      <c r="Z20" s="1264"/>
      <c r="AA20" s="1264"/>
      <c r="AB20" s="1264"/>
      <c r="AC20" s="1264"/>
      <c r="AD20" s="212"/>
      <c r="AE20" s="212"/>
      <c r="AF20" s="212"/>
      <c r="AG20" s="212"/>
      <c r="AH20" s="212"/>
      <c r="AJ20" s="107"/>
    </row>
    <row r="21" spans="2:72" ht="14.25" customHeight="1" x14ac:dyDescent="0.25">
      <c r="B21" s="1265" t="s">
        <v>388</v>
      </c>
      <c r="C21" s="1265"/>
      <c r="D21" s="1265"/>
      <c r="E21" s="1265"/>
      <c r="F21" s="1265"/>
      <c r="G21" s="1265"/>
      <c r="H21" s="1265"/>
      <c r="I21" s="1265"/>
      <c r="J21" s="1265"/>
      <c r="K21" s="1265"/>
      <c r="L21" s="1265"/>
      <c r="M21" s="1265"/>
      <c r="N21" s="1265"/>
      <c r="O21" s="1265"/>
      <c r="P21" s="1265"/>
      <c r="Q21" s="1265"/>
      <c r="R21" s="1265"/>
      <c r="S21" s="1265"/>
      <c r="T21" s="1265"/>
      <c r="U21" s="1265"/>
      <c r="V21" s="1265"/>
      <c r="W21" s="1265"/>
      <c r="X21" s="1265"/>
      <c r="Y21" s="1265"/>
      <c r="Z21" s="1265"/>
      <c r="AA21" s="1265"/>
      <c r="AB21" s="1265"/>
      <c r="AC21" s="1265"/>
      <c r="AD21" s="213"/>
      <c r="AE21" s="213"/>
      <c r="AF21" s="213"/>
      <c r="AG21" s="213"/>
      <c r="AH21" s="213"/>
      <c r="AJ21" s="107"/>
    </row>
    <row r="22" spans="2:72" x14ac:dyDescent="0.25">
      <c r="B22" s="1265"/>
      <c r="C22" s="1265"/>
      <c r="D22" s="1265"/>
      <c r="E22" s="1265"/>
      <c r="F22" s="1265"/>
      <c r="G22" s="1265"/>
      <c r="H22" s="1265"/>
      <c r="I22" s="1265"/>
      <c r="J22" s="1265"/>
      <c r="K22" s="1265"/>
      <c r="L22" s="1265"/>
      <c r="M22" s="1265"/>
      <c r="N22" s="1265"/>
      <c r="O22" s="1265"/>
      <c r="P22" s="1265"/>
      <c r="Q22" s="1265"/>
      <c r="R22" s="1265"/>
      <c r="S22" s="1265"/>
      <c r="T22" s="1265"/>
      <c r="U22" s="1265"/>
      <c r="V22" s="1265"/>
      <c r="W22" s="1265"/>
      <c r="X22" s="1265"/>
      <c r="Y22" s="1265"/>
      <c r="Z22" s="1265"/>
      <c r="AA22" s="1265"/>
      <c r="AB22" s="1265"/>
      <c r="AC22" s="1265"/>
      <c r="AD22" s="213"/>
      <c r="AE22" s="213"/>
      <c r="AF22" s="213"/>
      <c r="AG22" s="213"/>
      <c r="AH22" s="213"/>
    </row>
    <row r="23" spans="2:72" x14ac:dyDescent="0.25">
      <c r="B23" s="1265"/>
      <c r="C23" s="1265"/>
      <c r="D23" s="1265"/>
      <c r="E23" s="1265"/>
      <c r="F23" s="1265"/>
      <c r="G23" s="1265"/>
      <c r="H23" s="1265"/>
      <c r="I23" s="1265"/>
      <c r="J23" s="1265"/>
      <c r="K23" s="1265"/>
      <c r="L23" s="1265"/>
      <c r="M23" s="1265"/>
      <c r="N23" s="1265"/>
      <c r="O23" s="1265"/>
      <c r="P23" s="1265"/>
      <c r="Q23" s="1265"/>
      <c r="R23" s="1265"/>
      <c r="S23" s="1265"/>
      <c r="T23" s="1265"/>
      <c r="U23" s="1265"/>
      <c r="V23" s="1265"/>
      <c r="W23" s="1265"/>
      <c r="X23" s="1265"/>
      <c r="Y23" s="1265"/>
      <c r="Z23" s="1265"/>
      <c r="AA23" s="1265"/>
      <c r="AB23" s="1265"/>
      <c r="AC23" s="1265"/>
      <c r="AD23" s="213"/>
      <c r="AE23" s="213"/>
      <c r="AF23" s="213"/>
      <c r="AG23" s="213"/>
      <c r="AH23" s="213"/>
    </row>
    <row r="25" spans="2:72" x14ac:dyDescent="0.25">
      <c r="B25" s="1269" t="s">
        <v>278</v>
      </c>
      <c r="C25" s="1310"/>
      <c r="D25" s="1279" t="s">
        <v>279</v>
      </c>
      <c r="E25" s="1279"/>
      <c r="F25" s="1279"/>
      <c r="G25" s="1279"/>
      <c r="H25" s="1279"/>
      <c r="I25" s="1279"/>
      <c r="J25" s="1279"/>
      <c r="K25" s="1279"/>
      <c r="L25" s="1279"/>
      <c r="M25" s="1279"/>
      <c r="N25" s="1279"/>
      <c r="O25" s="1279"/>
      <c r="P25" s="1279"/>
      <c r="Q25" s="1279"/>
      <c r="R25" s="1279"/>
      <c r="S25" s="1279"/>
      <c r="T25" s="1279"/>
      <c r="U25" s="1279"/>
      <c r="V25" s="1279"/>
      <c r="W25" s="1279"/>
      <c r="X25" s="1279"/>
      <c r="Y25" s="1279"/>
      <c r="Z25" s="1279"/>
      <c r="AA25" s="1279"/>
      <c r="AB25" s="1279"/>
      <c r="AC25" s="1277" t="s">
        <v>280</v>
      </c>
      <c r="AD25" s="1277"/>
      <c r="AE25" s="1277"/>
      <c r="AF25" s="1277"/>
      <c r="AG25" s="1277"/>
      <c r="AH25" s="1277"/>
      <c r="AI25" s="1277"/>
      <c r="AJ25" s="1277"/>
      <c r="AK25" s="1277"/>
      <c r="AL25" s="1277"/>
      <c r="AM25" s="1277"/>
      <c r="AN25" s="1278"/>
    </row>
    <row r="26" spans="2:72" x14ac:dyDescent="0.25">
      <c r="B26" s="1271"/>
      <c r="C26" s="1272"/>
      <c r="D26" s="214">
        <v>2018</v>
      </c>
      <c r="E26" s="1266">
        <v>2019</v>
      </c>
      <c r="F26" s="1267"/>
      <c r="G26" s="1267"/>
      <c r="H26" s="1268"/>
      <c r="I26" s="1266">
        <v>2020</v>
      </c>
      <c r="J26" s="1267"/>
      <c r="K26" s="1267"/>
      <c r="L26" s="1267"/>
      <c r="M26" s="1266">
        <v>2021</v>
      </c>
      <c r="N26" s="1267"/>
      <c r="O26" s="1267"/>
      <c r="P26" s="1267"/>
      <c r="Q26" s="1266">
        <v>2022</v>
      </c>
      <c r="R26" s="1267"/>
      <c r="S26" s="1267"/>
      <c r="T26" s="1268"/>
      <c r="U26" s="1266">
        <v>2023</v>
      </c>
      <c r="V26" s="1267"/>
      <c r="W26" s="1267"/>
      <c r="X26" s="1268"/>
      <c r="Y26" s="282"/>
      <c r="Z26" s="220">
        <v>2024</v>
      </c>
      <c r="AA26" s="220"/>
      <c r="AB26" s="219"/>
      <c r="AC26" s="1275">
        <v>2025</v>
      </c>
      <c r="AD26" s="1276"/>
      <c r="AE26" s="1276"/>
      <c r="AF26" s="1276"/>
      <c r="AG26" s="1275">
        <v>2026</v>
      </c>
      <c r="AH26" s="1276"/>
      <c r="AI26" s="1276"/>
      <c r="AJ26" s="1280"/>
      <c r="AK26" s="1275">
        <v>2027</v>
      </c>
      <c r="AL26" s="1276"/>
      <c r="AM26" s="1276"/>
      <c r="AN26" s="1280"/>
    </row>
    <row r="27" spans="2:72" x14ac:dyDescent="0.25">
      <c r="B27" s="1271"/>
      <c r="C27" s="1272"/>
      <c r="D27" s="214" t="s">
        <v>281</v>
      </c>
      <c r="E27" s="214" t="s">
        <v>282</v>
      </c>
      <c r="F27" s="215" t="s">
        <v>283</v>
      </c>
      <c r="G27" s="215" t="s">
        <v>238</v>
      </c>
      <c r="H27" s="221" t="s">
        <v>281</v>
      </c>
      <c r="I27" s="215" t="s">
        <v>282</v>
      </c>
      <c r="J27" s="215" t="s">
        <v>283</v>
      </c>
      <c r="K27" s="215" t="s">
        <v>238</v>
      </c>
      <c r="L27" s="215" t="s">
        <v>281</v>
      </c>
      <c r="M27" s="214" t="s">
        <v>282</v>
      </c>
      <c r="N27" s="215" t="s">
        <v>283</v>
      </c>
      <c r="O27" s="215" t="s">
        <v>238</v>
      </c>
      <c r="P27" s="215" t="s">
        <v>281</v>
      </c>
      <c r="Q27" s="214" t="s">
        <v>282</v>
      </c>
      <c r="R27" s="215" t="s">
        <v>283</v>
      </c>
      <c r="S27" s="215" t="s">
        <v>238</v>
      </c>
      <c r="T27" s="221" t="s">
        <v>281</v>
      </c>
      <c r="U27" s="275" t="s">
        <v>282</v>
      </c>
      <c r="V27" s="276" t="s">
        <v>283</v>
      </c>
      <c r="W27" s="276" t="s">
        <v>238</v>
      </c>
      <c r="X27" s="274" t="s">
        <v>281</v>
      </c>
      <c r="Y27" s="275" t="s">
        <v>282</v>
      </c>
      <c r="Z27" s="281" t="s">
        <v>283</v>
      </c>
      <c r="AA27" s="276" t="s">
        <v>238</v>
      </c>
      <c r="AB27" s="274" t="s">
        <v>281</v>
      </c>
      <c r="AC27" s="275" t="s">
        <v>282</v>
      </c>
      <c r="AD27" s="260" t="s">
        <v>283</v>
      </c>
      <c r="AE27" s="262" t="s">
        <v>238</v>
      </c>
      <c r="AF27" s="262" t="s">
        <v>281</v>
      </c>
      <c r="AG27" s="225" t="s">
        <v>282</v>
      </c>
      <c r="AH27" s="260" t="s">
        <v>283</v>
      </c>
      <c r="AI27" s="260" t="s">
        <v>238</v>
      </c>
      <c r="AJ27" s="279" t="s">
        <v>281</v>
      </c>
      <c r="AK27" s="225" t="s">
        <v>282</v>
      </c>
      <c r="AL27" s="260" t="s">
        <v>283</v>
      </c>
      <c r="AM27" s="260" t="s">
        <v>238</v>
      </c>
      <c r="AN27" s="279" t="s">
        <v>281</v>
      </c>
    </row>
    <row r="28" spans="2:72" x14ac:dyDescent="0.25">
      <c r="B28" s="485" t="s">
        <v>111</v>
      </c>
      <c r="C28" s="479" t="s">
        <v>389</v>
      </c>
      <c r="D28" s="309"/>
      <c r="E28" s="309"/>
      <c r="F28" s="309"/>
      <c r="G28" s="309"/>
      <c r="H28" s="460">
        <f>'Haver Pivoted'!GS24</f>
        <v>2425.1</v>
      </c>
      <c r="I28" s="460">
        <f>'Haver Pivoted'!GT24</f>
        <v>2483.6999999999998</v>
      </c>
      <c r="J28" s="460">
        <f>'Haver Pivoted'!GU24</f>
        <v>2458.1999999999998</v>
      </c>
      <c r="K28" s="460">
        <f>'Haver Pivoted'!GV24</f>
        <v>2475.1</v>
      </c>
      <c r="L28" s="460">
        <f>'Haver Pivoted'!GW24</f>
        <v>2489.4</v>
      </c>
      <c r="M28" s="460">
        <f>'Haver Pivoted'!GX24</f>
        <v>2534.1999999999998</v>
      </c>
      <c r="N28" s="460">
        <f>'Haver Pivoted'!GY24</f>
        <v>2572.6</v>
      </c>
      <c r="O28" s="460">
        <f>'Haver Pivoted'!GZ24</f>
        <v>2629</v>
      </c>
      <c r="P28" s="460">
        <f>'Haver Pivoted'!HA24</f>
        <v>2665.4</v>
      </c>
      <c r="Q28" s="460">
        <f>'Haver Pivoted'!HB24</f>
        <v>2726.1</v>
      </c>
      <c r="R28" s="460">
        <f>'Haver Pivoted'!HC24</f>
        <v>2815.5</v>
      </c>
      <c r="S28" s="469">
        <f>'Haver Pivoted'!HD24</f>
        <v>2838.7</v>
      </c>
      <c r="T28" s="469">
        <f>'Haver Pivoted'!HE24</f>
        <v>2870.6</v>
      </c>
      <c r="U28" s="295">
        <f>'Haver Pivoted'!HF24</f>
        <v>2893</v>
      </c>
      <c r="V28" s="295">
        <f>'Haver Pivoted'!HG24</f>
        <v>2904.1</v>
      </c>
      <c r="W28" s="295">
        <f>'Haver Pivoted'!HH24</f>
        <v>2975.5</v>
      </c>
      <c r="X28" s="295">
        <f>'Haver Pivoted'!HI24</f>
        <v>3019</v>
      </c>
      <c r="Y28" s="295">
        <f>'Haver Pivoted'!HJ24</f>
        <v>3070.7</v>
      </c>
      <c r="Z28" s="295">
        <f>'Haver Pivoted'!HK24</f>
        <v>3100.9</v>
      </c>
      <c r="AA28" s="295">
        <f>'Haver Pivoted'!HL24</f>
        <v>3141.6</v>
      </c>
      <c r="AB28" s="295">
        <f>'Haver Pivoted'!HM24</f>
        <v>3175</v>
      </c>
      <c r="AC28" s="295">
        <f>'Haver Pivoted'!HN24</f>
        <v>3215.2</v>
      </c>
      <c r="AD28" s="224"/>
      <c r="AE28" s="224"/>
      <c r="AF28" s="224"/>
      <c r="AG28" s="224"/>
      <c r="AH28" s="224"/>
      <c r="AI28" s="224"/>
      <c r="AJ28" s="224"/>
      <c r="AK28" s="224"/>
      <c r="AL28" s="224"/>
      <c r="AM28" s="224"/>
      <c r="AN28" s="224"/>
    </row>
    <row r="29" spans="2:72" ht="29.25" customHeight="1" x14ac:dyDescent="0.25">
      <c r="B29" s="488" t="s">
        <v>1963</v>
      </c>
      <c r="C29" s="223"/>
      <c r="D29" s="222"/>
      <c r="E29" s="222"/>
      <c r="F29" s="222"/>
      <c r="G29" s="222"/>
      <c r="H29" s="235"/>
      <c r="I29" s="235"/>
      <c r="J29" s="235"/>
      <c r="K29" s="235"/>
      <c r="L29" s="235"/>
      <c r="M29" s="430">
        <v>2533.9</v>
      </c>
      <c r="N29" s="430">
        <v>2571.6999999999998</v>
      </c>
      <c r="O29" s="430">
        <v>2625.1</v>
      </c>
      <c r="P29" s="430">
        <v>2664.2</v>
      </c>
      <c r="Q29" s="430">
        <v>2726.1</v>
      </c>
      <c r="R29" s="430">
        <v>2815.5</v>
      </c>
      <c r="S29" s="430">
        <v>2838.7</v>
      </c>
      <c r="T29" s="430">
        <v>2870.6</v>
      </c>
      <c r="U29" s="430">
        <v>2893</v>
      </c>
      <c r="V29" s="430">
        <v>2904.1</v>
      </c>
      <c r="W29" s="430">
        <v>2975.5</v>
      </c>
      <c r="X29" s="430">
        <v>3019</v>
      </c>
      <c r="Y29" s="430">
        <v>3070.7</v>
      </c>
      <c r="Z29" s="430">
        <v>3100.9</v>
      </c>
      <c r="AA29" s="430">
        <v>3139.2</v>
      </c>
      <c r="AB29" s="430">
        <v>3171.3</v>
      </c>
      <c r="AC29" s="430">
        <v>3201.4</v>
      </c>
      <c r="AD29" s="430">
        <v>3227.6</v>
      </c>
      <c r="AE29" s="430">
        <v>3257.1</v>
      </c>
      <c r="AF29" s="430">
        <v>3287.7</v>
      </c>
      <c r="AG29" s="430">
        <v>3319.2</v>
      </c>
      <c r="AH29" s="430">
        <v>3348.5</v>
      </c>
      <c r="AI29" s="430">
        <v>3378.4</v>
      </c>
      <c r="AJ29" s="430">
        <v>3407.6</v>
      </c>
      <c r="AK29" s="430">
        <v>3436.1</v>
      </c>
      <c r="AL29" s="430">
        <v>3465.5</v>
      </c>
      <c r="AM29" s="430">
        <v>3495</v>
      </c>
      <c r="AN29" s="430">
        <v>3524.3</v>
      </c>
      <c r="AO29" s="444">
        <v>3553.2</v>
      </c>
      <c r="AP29" s="444">
        <v>3582.3</v>
      </c>
      <c r="AQ29" s="444">
        <v>3611.3</v>
      </c>
      <c r="AR29" s="444">
        <v>3640.4</v>
      </c>
      <c r="AS29" s="444">
        <v>3669.2</v>
      </c>
      <c r="AT29" s="444">
        <v>3698.1</v>
      </c>
      <c r="AU29" s="444">
        <v>3727.3</v>
      </c>
      <c r="AV29" s="444">
        <v>3756.6</v>
      </c>
      <c r="AW29" s="444">
        <v>3785.8</v>
      </c>
      <c r="AX29" s="444">
        <v>3815.2</v>
      </c>
      <c r="AY29" s="444">
        <v>3845</v>
      </c>
      <c r="AZ29" s="444">
        <v>3874.9</v>
      </c>
      <c r="BA29" s="444">
        <v>3905.2</v>
      </c>
      <c r="BB29" s="444">
        <v>3935.8</v>
      </c>
      <c r="BC29" s="444">
        <v>3966.6</v>
      </c>
      <c r="BD29" s="444">
        <v>3997.8</v>
      </c>
      <c r="BE29" s="444">
        <v>4029.2</v>
      </c>
      <c r="BF29" s="444">
        <v>4060.9</v>
      </c>
      <c r="BG29" s="444">
        <v>4092.8</v>
      </c>
      <c r="BH29" s="444">
        <v>4125</v>
      </c>
      <c r="BI29" s="444">
        <v>4157.3999999999996</v>
      </c>
      <c r="BJ29" s="444">
        <v>4190</v>
      </c>
      <c r="BK29" s="444">
        <v>4222.8</v>
      </c>
      <c r="BL29" s="444">
        <v>4255.8</v>
      </c>
      <c r="BM29" s="444">
        <v>4289</v>
      </c>
      <c r="BN29" s="444">
        <v>4322.3</v>
      </c>
      <c r="BO29" s="444">
        <v>4355.7</v>
      </c>
      <c r="BP29" s="444">
        <v>4389</v>
      </c>
      <c r="BQ29" s="444">
        <v>4422.3999999999996</v>
      </c>
      <c r="BR29">
        <v>4456</v>
      </c>
      <c r="BS29">
        <v>4489.8</v>
      </c>
      <c r="BT29">
        <v>4524</v>
      </c>
    </row>
    <row r="30" spans="2:72" ht="29.25" customHeight="1" x14ac:dyDescent="0.25">
      <c r="B30" s="488" t="s">
        <v>1964</v>
      </c>
      <c r="C30" s="223"/>
      <c r="D30" s="222"/>
      <c r="E30" s="222"/>
      <c r="F30" s="222"/>
      <c r="G30" s="222"/>
      <c r="H30" s="235"/>
      <c r="I30" s="491"/>
      <c r="J30" s="491"/>
      <c r="K30" s="491"/>
      <c r="L30" s="491"/>
      <c r="M30" s="491">
        <v>7.7759999999999998</v>
      </c>
      <c r="N30" s="491">
        <v>6.1050000000000004</v>
      </c>
      <c r="O30" s="491">
        <v>8.5640000000000001</v>
      </c>
      <c r="P30" s="491">
        <v>6.0890000000000004</v>
      </c>
      <c r="Q30" s="491">
        <v>9.4320000000000004</v>
      </c>
      <c r="R30" s="491">
        <v>13.778</v>
      </c>
      <c r="S30" s="491">
        <v>3.327</v>
      </c>
      <c r="T30" s="491">
        <v>4.5739999999999998</v>
      </c>
      <c r="U30" s="491">
        <v>3.1539999999999999</v>
      </c>
      <c r="V30" s="491">
        <v>1.5509999999999999</v>
      </c>
      <c r="W30" s="491">
        <v>10.202999999999999</v>
      </c>
      <c r="X30" s="491">
        <v>5.9690000000000003</v>
      </c>
      <c r="Y30" s="491">
        <v>7.032</v>
      </c>
      <c r="Z30" s="491">
        <v>3.9870000000000001</v>
      </c>
      <c r="AA30" s="491">
        <v>5.0410000000000004</v>
      </c>
      <c r="AB30" s="491">
        <v>4.1500000000000004</v>
      </c>
      <c r="AC30" s="491">
        <v>3.847</v>
      </c>
      <c r="AD30" s="491">
        <v>3.3180000000000001</v>
      </c>
      <c r="AE30" s="491">
        <v>3.706</v>
      </c>
      <c r="AF30" s="491">
        <v>3.8109999999999999</v>
      </c>
      <c r="AG30" s="491">
        <v>3.8839999999999999</v>
      </c>
      <c r="AH30" s="491">
        <v>3.5830000000000002</v>
      </c>
      <c r="AI30" s="491">
        <v>3.6190000000000002</v>
      </c>
      <c r="AJ30" s="491">
        <v>3.4990000000000001</v>
      </c>
      <c r="AK30" s="491">
        <v>3.3919999999999999</v>
      </c>
      <c r="AL30" s="491">
        <v>3.4580000000000002</v>
      </c>
      <c r="AM30" s="491">
        <v>3.4540000000000002</v>
      </c>
      <c r="AN30" s="491">
        <v>3.3879999999999999</v>
      </c>
      <c r="AO30" s="227">
        <v>3.3220000000000001</v>
      </c>
      <c r="AP30" s="227">
        <v>3.3210000000000002</v>
      </c>
      <c r="AQ30" s="227">
        <v>3.2770000000000001</v>
      </c>
      <c r="AR30" s="227">
        <v>3.258</v>
      </c>
      <c r="AS30" s="227">
        <v>3.2040000000000002</v>
      </c>
      <c r="AT30" s="227">
        <v>3.1819999999999999</v>
      </c>
      <c r="AU30" s="227">
        <v>3.1970000000000001</v>
      </c>
      <c r="AV30" s="227">
        <v>3.1829999999999998</v>
      </c>
      <c r="AW30" s="227">
        <v>3.1469999999999998</v>
      </c>
      <c r="AX30" s="227">
        <v>3.1389999999999998</v>
      </c>
      <c r="AY30" s="227">
        <v>3.161</v>
      </c>
      <c r="AZ30" s="227">
        <v>3.1440000000000001</v>
      </c>
      <c r="BA30" s="227">
        <v>3.1659999999999999</v>
      </c>
      <c r="BB30" s="227">
        <v>3.17</v>
      </c>
      <c r="BC30" s="227">
        <v>3.1749999999999998</v>
      </c>
      <c r="BD30" s="227">
        <v>3.177</v>
      </c>
      <c r="BE30" s="227">
        <v>3.1829999999999998</v>
      </c>
      <c r="BF30" s="227">
        <v>3.181</v>
      </c>
      <c r="BG30" s="227">
        <v>3.1789999999999998</v>
      </c>
      <c r="BH30" s="227">
        <v>3.18</v>
      </c>
      <c r="BI30" s="227">
        <v>3.181</v>
      </c>
      <c r="BJ30" s="227">
        <v>3.1720000000000002</v>
      </c>
      <c r="BK30" s="227">
        <v>3.1659999999999999</v>
      </c>
      <c r="BL30" s="227">
        <v>3.161</v>
      </c>
      <c r="BM30" s="227">
        <v>3.1589999999999998</v>
      </c>
      <c r="BN30" s="227">
        <v>3.1469999999999998</v>
      </c>
      <c r="BO30" s="227">
        <v>3.1190000000000002</v>
      </c>
      <c r="BP30" s="227">
        <v>3.0939999999999999</v>
      </c>
      <c r="BQ30" s="227">
        <v>3.0779999999999998</v>
      </c>
      <c r="BR30">
        <v>3.0720000000000001</v>
      </c>
      <c r="BS30">
        <v>3.0760000000000001</v>
      </c>
      <c r="BT30">
        <v>3.08</v>
      </c>
    </row>
    <row r="31" spans="2:72" ht="21" customHeight="1" x14ac:dyDescent="0.25">
      <c r="B31" s="476" t="s">
        <v>1911</v>
      </c>
      <c r="C31" s="246"/>
      <c r="D31" s="234"/>
      <c r="E31" s="234"/>
      <c r="F31" s="234"/>
      <c r="G31" s="234"/>
      <c r="H31" s="230"/>
      <c r="I31" s="230"/>
      <c r="J31" s="230"/>
      <c r="K31" s="230"/>
      <c r="L31" s="230"/>
      <c r="M31" s="230">
        <f t="shared" ref="M31:V31" si="3">((M28/L28)^4-1)*100</f>
        <v>7.3951837662748376</v>
      </c>
      <c r="N31" s="230">
        <f t="shared" si="3"/>
        <v>6.2002440796854685</v>
      </c>
      <c r="O31" s="230">
        <f t="shared" si="3"/>
        <v>9.061956208359101</v>
      </c>
      <c r="P31" s="230">
        <f t="shared" si="3"/>
        <v>5.654312677598905</v>
      </c>
      <c r="Q31" s="230">
        <f t="shared" si="3"/>
        <v>9.4252525319924239</v>
      </c>
      <c r="R31" s="230">
        <f t="shared" si="3"/>
        <v>13.777135506982653</v>
      </c>
      <c r="S31" s="230">
        <f t="shared" si="3"/>
        <v>3.3370035827759992</v>
      </c>
      <c r="T31" s="230">
        <f t="shared" si="3"/>
        <v>4.5713539197219211</v>
      </c>
      <c r="U31" s="230">
        <f t="shared" si="3"/>
        <v>3.1580235074152974</v>
      </c>
      <c r="V31" s="230">
        <f t="shared" si="3"/>
        <v>1.5435944799445434</v>
      </c>
      <c r="W31" s="449">
        <f t="shared" ref="W31:AA31" si="4">((W28/V28)^4-1)*100</f>
        <v>10.203033975028175</v>
      </c>
      <c r="X31" s="449">
        <f t="shared" si="4"/>
        <v>5.977247036875788</v>
      </c>
      <c r="Y31" s="449">
        <f t="shared" si="4"/>
        <v>7.0279245631410303</v>
      </c>
      <c r="Z31" s="449">
        <f t="shared" si="4"/>
        <v>3.9923729240887385</v>
      </c>
      <c r="AA31" s="449">
        <f t="shared" si="4"/>
        <v>5.3543589589983842</v>
      </c>
      <c r="AB31" s="449">
        <f>((AB28/AA28)^4-1)*100</f>
        <v>4.3209096808045411</v>
      </c>
      <c r="AC31" s="449">
        <f>((AC28/AB28)^4-1)*100</f>
        <v>5.1615683005485913</v>
      </c>
      <c r="AD31" s="224">
        <f t="shared" ref="AD31" si="5">AD30</f>
        <v>3.3180000000000001</v>
      </c>
      <c r="AE31" s="224">
        <f t="shared" ref="AE31:AJ31" si="6">AE30</f>
        <v>3.706</v>
      </c>
      <c r="AF31" s="224">
        <f t="shared" si="6"/>
        <v>3.8109999999999999</v>
      </c>
      <c r="AG31" s="224">
        <f t="shared" si="6"/>
        <v>3.8839999999999999</v>
      </c>
      <c r="AH31" s="224">
        <f t="shared" si="6"/>
        <v>3.5830000000000002</v>
      </c>
      <c r="AI31" s="224">
        <f t="shared" si="6"/>
        <v>3.6190000000000002</v>
      </c>
      <c r="AJ31" s="224">
        <f t="shared" si="6"/>
        <v>3.4990000000000001</v>
      </c>
      <c r="AK31" s="224">
        <f t="shared" ref="AK31:AN31" si="7">AK30</f>
        <v>3.3919999999999999</v>
      </c>
      <c r="AL31" s="224">
        <f t="shared" si="7"/>
        <v>3.4580000000000002</v>
      </c>
      <c r="AM31" s="224">
        <f t="shared" si="7"/>
        <v>3.4540000000000002</v>
      </c>
      <c r="AN31" s="224">
        <f t="shared" si="7"/>
        <v>3.3879999999999999</v>
      </c>
      <c r="AO31" s="484" t="s">
        <v>390</v>
      </c>
    </row>
    <row r="32" spans="2:72" ht="17.850000000000001" customHeight="1" x14ac:dyDescent="0.25">
      <c r="B32" s="487" t="s">
        <v>391</v>
      </c>
      <c r="C32" s="251"/>
      <c r="D32" s="489"/>
      <c r="E32" s="489"/>
      <c r="F32" s="489"/>
      <c r="G32" s="489"/>
      <c r="H32" s="233">
        <f t="shared" ref="H32:T32" si="8">H28</f>
        <v>2425.1</v>
      </c>
      <c r="I32" s="233">
        <f t="shared" si="8"/>
        <v>2483.6999999999998</v>
      </c>
      <c r="J32" s="233">
        <f t="shared" si="8"/>
        <v>2458.1999999999998</v>
      </c>
      <c r="K32" s="233">
        <f t="shared" si="8"/>
        <v>2475.1</v>
      </c>
      <c r="L32" s="233">
        <f t="shared" si="8"/>
        <v>2489.4</v>
      </c>
      <c r="M32" s="233">
        <f t="shared" si="8"/>
        <v>2534.1999999999998</v>
      </c>
      <c r="N32" s="233">
        <f t="shared" si="8"/>
        <v>2572.6</v>
      </c>
      <c r="O32" s="233">
        <f t="shared" si="8"/>
        <v>2629</v>
      </c>
      <c r="P32" s="233">
        <f t="shared" si="8"/>
        <v>2665.4</v>
      </c>
      <c r="Q32" s="233">
        <f t="shared" si="8"/>
        <v>2726.1</v>
      </c>
      <c r="R32" s="233">
        <f t="shared" si="8"/>
        <v>2815.5</v>
      </c>
      <c r="S32" s="296">
        <f t="shared" si="8"/>
        <v>2838.7</v>
      </c>
      <c r="T32" s="296">
        <f t="shared" si="8"/>
        <v>2870.6</v>
      </c>
      <c r="U32" s="296">
        <f t="shared" ref="U32:Z32" si="9">U28</f>
        <v>2893</v>
      </c>
      <c r="V32" s="296">
        <f t="shared" si="9"/>
        <v>2904.1</v>
      </c>
      <c r="W32" s="296">
        <f t="shared" si="9"/>
        <v>2975.5</v>
      </c>
      <c r="X32" s="296">
        <f t="shared" si="9"/>
        <v>3019</v>
      </c>
      <c r="Y32" s="296">
        <f t="shared" si="9"/>
        <v>3070.7</v>
      </c>
      <c r="Z32" s="296">
        <f t="shared" si="9"/>
        <v>3100.9</v>
      </c>
      <c r="AA32" s="296">
        <f t="shared" ref="AA32" si="10">AA28</f>
        <v>3141.6</v>
      </c>
      <c r="AB32" s="296">
        <f>AB28</f>
        <v>3175</v>
      </c>
      <c r="AC32" s="296">
        <f>AC28</f>
        <v>3215.2</v>
      </c>
      <c r="AD32" s="459">
        <f>AC32*((1+AD31/100)^0.25)</f>
        <v>3241.5445213321673</v>
      </c>
      <c r="AE32" s="459">
        <f t="shared" ref="AE32:AF32" si="11">AD32*((1+AE31/100)^0.25)</f>
        <v>3271.1688483773178</v>
      </c>
      <c r="AF32" s="459">
        <f t="shared" si="11"/>
        <v>3301.899157033688</v>
      </c>
      <c r="AG32" s="459">
        <f>AF32*((1+AG31/100)^0.25)</f>
        <v>3333.5039285268008</v>
      </c>
      <c r="AH32" s="459">
        <f>AG32*((1+AH31/100)^0.25)</f>
        <v>3362.9707697495755</v>
      </c>
      <c r="AI32" s="459">
        <f t="shared" ref="AI32" si="12">AH32*((1+AI31/100)^0.25)</f>
        <v>3392.9928284806133</v>
      </c>
      <c r="AJ32" s="459">
        <f>AI32*((1+AJ31/100)^0.25)</f>
        <v>3422.2913543530881</v>
      </c>
      <c r="AK32" s="459">
        <f t="shared" ref="AK32:AN32" si="13">AJ32*((1+AK31/100)^0.25)</f>
        <v>3450.950375612596</v>
      </c>
      <c r="AL32" s="459">
        <f t="shared" si="13"/>
        <v>3480.4045990205136</v>
      </c>
      <c r="AM32" s="459">
        <f t="shared" si="13"/>
        <v>3510.0762889463845</v>
      </c>
      <c r="AN32" s="459">
        <f t="shared" si="13"/>
        <v>3539.4362065744563</v>
      </c>
    </row>
    <row r="33" spans="2:54" x14ac:dyDescent="0.25">
      <c r="B33" s="477" t="s">
        <v>392</v>
      </c>
      <c r="C33" s="478"/>
      <c r="D33" s="490"/>
      <c r="E33" s="490"/>
      <c r="F33" s="490"/>
      <c r="G33" s="490"/>
      <c r="H33" s="483">
        <f t="shared" ref="H33:P33" si="14">H28-H55</f>
        <v>2143.788</v>
      </c>
      <c r="I33" s="483">
        <f t="shared" si="14"/>
        <v>2195.9409999999998</v>
      </c>
      <c r="J33" s="483">
        <f t="shared" si="14"/>
        <v>2061.5219999999999</v>
      </c>
      <c r="K33" s="483">
        <f t="shared" si="14"/>
        <v>2100.2359999999999</v>
      </c>
      <c r="L33" s="483">
        <f t="shared" si="14"/>
        <v>2120.6410000000001</v>
      </c>
      <c r="M33" s="483">
        <f t="shared" si="14"/>
        <v>2142.7459999999996</v>
      </c>
      <c r="N33" s="483">
        <f t="shared" si="14"/>
        <v>2143.3249999999998</v>
      </c>
      <c r="O33" s="483">
        <f t="shared" si="14"/>
        <v>2185.5480000000002</v>
      </c>
      <c r="P33" s="483">
        <f t="shared" si="14"/>
        <v>2193.252148</v>
      </c>
      <c r="Q33" s="483">
        <f t="shared" ref="Q33:AC33" si="15">Q32-Q55</f>
        <v>2220.2777252000001</v>
      </c>
      <c r="R33" s="483">
        <f t="shared" si="15"/>
        <v>2239.963968</v>
      </c>
      <c r="S33" s="483">
        <f t="shared" si="15"/>
        <v>2280.361132</v>
      </c>
      <c r="T33" s="483">
        <f t="shared" si="15"/>
        <v>2344.4670719999999</v>
      </c>
      <c r="U33" s="483">
        <f t="shared" si="15"/>
        <v>2375.9634568000001</v>
      </c>
      <c r="V33" s="235">
        <f t="shared" si="15"/>
        <v>2394.29628</v>
      </c>
      <c r="W33" s="235">
        <f t="shared" si="15"/>
        <v>2481.7960560000001</v>
      </c>
      <c r="X33" s="235">
        <f t="shared" si="15"/>
        <v>2509.0190560000001</v>
      </c>
      <c r="Y33" s="345">
        <f t="shared" si="15"/>
        <v>2558.3120559999998</v>
      </c>
      <c r="Z33" s="345">
        <f t="shared" si="15"/>
        <v>2582.6218910000002</v>
      </c>
      <c r="AA33" s="345">
        <f t="shared" si="15"/>
        <v>2601.9916699999999</v>
      </c>
      <c r="AB33" s="345">
        <f t="shared" si="15"/>
        <v>2632.1836742999999</v>
      </c>
      <c r="AC33" s="345">
        <f t="shared" si="15"/>
        <v>2711.6700029999997</v>
      </c>
      <c r="AD33" s="345"/>
      <c r="AE33" s="345"/>
      <c r="AF33" s="345"/>
      <c r="AG33" s="345"/>
      <c r="AH33" s="345"/>
      <c r="AI33" s="345"/>
      <c r="AJ33" s="345"/>
      <c r="AK33" s="345"/>
      <c r="AL33" s="345"/>
      <c r="AM33" s="345"/>
      <c r="AN33" s="345"/>
      <c r="AO33" s="238" t="s">
        <v>393</v>
      </c>
    </row>
    <row r="34" spans="2:54" x14ac:dyDescent="0.25">
      <c r="B34" s="56"/>
      <c r="C34" s="56"/>
      <c r="D34" s="56"/>
      <c r="E34" s="56"/>
      <c r="F34" s="56"/>
      <c r="G34" s="56"/>
      <c r="H34" s="56"/>
      <c r="I34" s="56"/>
      <c r="J34" s="56"/>
      <c r="K34" s="56"/>
      <c r="L34" s="56"/>
      <c r="M34" s="107"/>
      <c r="N34" s="107"/>
      <c r="O34" s="107"/>
      <c r="P34" s="107"/>
      <c r="Q34" s="107"/>
      <c r="R34" s="107"/>
      <c r="S34" s="107"/>
      <c r="T34" s="107"/>
      <c r="U34" s="107"/>
      <c r="V34" s="107"/>
      <c r="W34" s="107"/>
      <c r="X34" s="107"/>
      <c r="Y34" s="107"/>
      <c r="Z34" s="106"/>
      <c r="AA34" s="106"/>
      <c r="AB34" s="106"/>
      <c r="AC34" s="106"/>
      <c r="AD34" s="106"/>
      <c r="AE34" s="106"/>
      <c r="AF34" s="106"/>
      <c r="AG34" s="106"/>
      <c r="AH34" s="106"/>
    </row>
    <row r="35" spans="2:54" x14ac:dyDescent="0.25">
      <c r="B35" s="56"/>
      <c r="C35" s="56"/>
      <c r="D35" s="56"/>
      <c r="E35" s="56"/>
      <c r="F35" s="56"/>
      <c r="G35" s="56"/>
      <c r="H35" s="56"/>
      <c r="I35" s="56"/>
      <c r="J35" s="56"/>
      <c r="K35" s="56"/>
      <c r="L35" s="56"/>
      <c r="M35" s="107"/>
      <c r="N35" s="107"/>
      <c r="O35" s="107"/>
      <c r="Q35" s="107"/>
      <c r="R35" s="107"/>
      <c r="S35" s="106"/>
      <c r="T35" s="106"/>
      <c r="U35" s="106"/>
      <c r="V35" s="106"/>
      <c r="Y35" s="106"/>
      <c r="Z35" s="106"/>
      <c r="AA35" s="106"/>
      <c r="AB35" s="106"/>
      <c r="AC35" s="106"/>
      <c r="AD35" s="106"/>
      <c r="AE35" s="106"/>
      <c r="AF35" s="106"/>
      <c r="AG35" s="106"/>
      <c r="AH35" s="106"/>
    </row>
    <row r="36" spans="2:54" x14ac:dyDescent="0.25">
      <c r="B36" s="246"/>
      <c r="C36" s="246"/>
      <c r="D36" s="246"/>
      <c r="E36" s="246"/>
      <c r="F36" s="246"/>
      <c r="G36" s="246"/>
      <c r="H36" s="235"/>
      <c r="I36" s="235"/>
      <c r="J36" s="235"/>
      <c r="K36" s="235"/>
      <c r="L36" s="235"/>
      <c r="M36" s="235"/>
      <c r="N36" s="235"/>
      <c r="O36" s="235"/>
      <c r="P36" s="235"/>
      <c r="Q36" s="482"/>
      <c r="R36" s="235"/>
      <c r="S36" s="235"/>
      <c r="T36" s="235"/>
      <c r="U36" s="235"/>
      <c r="V36" s="235"/>
      <c r="W36" s="235"/>
      <c r="X36" s="235"/>
      <c r="Y36" s="235"/>
      <c r="Z36" s="235"/>
    </row>
    <row r="37" spans="2:54" ht="85.35" customHeight="1" x14ac:dyDescent="0.25">
      <c r="B37" s="451" t="s">
        <v>877</v>
      </c>
      <c r="C37" s="452" t="s">
        <v>876</v>
      </c>
      <c r="D37" s="166">
        <v>44197</v>
      </c>
      <c r="E37" s="450">
        <v>44228</v>
      </c>
      <c r="F37" s="166">
        <v>44256</v>
      </c>
      <c r="G37" s="166">
        <v>44287</v>
      </c>
      <c r="H37" s="166">
        <v>44317</v>
      </c>
      <c r="I37" s="166">
        <v>44348</v>
      </c>
      <c r="J37" s="166">
        <v>44378</v>
      </c>
      <c r="K37" s="450">
        <v>44409</v>
      </c>
      <c r="L37" s="166">
        <v>44440</v>
      </c>
      <c r="M37" s="166">
        <v>44470</v>
      </c>
      <c r="N37" s="166">
        <v>44501</v>
      </c>
      <c r="O37" s="166">
        <v>44531</v>
      </c>
      <c r="P37" s="166">
        <v>44562</v>
      </c>
      <c r="Q37" s="450">
        <v>44593</v>
      </c>
      <c r="R37" s="166">
        <v>44621</v>
      </c>
      <c r="S37" s="166">
        <v>44652</v>
      </c>
      <c r="T37" s="166">
        <v>44682</v>
      </c>
      <c r="U37" s="166">
        <v>44713</v>
      </c>
      <c r="V37" s="166">
        <v>44743</v>
      </c>
      <c r="W37" s="166">
        <v>44774</v>
      </c>
      <c r="X37" s="166">
        <v>44805</v>
      </c>
      <c r="Y37" s="166">
        <v>44835</v>
      </c>
      <c r="Z37" s="166">
        <v>44866</v>
      </c>
      <c r="AA37" s="166">
        <v>44896</v>
      </c>
      <c r="AB37" s="166">
        <v>44927</v>
      </c>
      <c r="AC37" s="166">
        <v>44958</v>
      </c>
      <c r="AD37" s="166">
        <v>44986</v>
      </c>
      <c r="AE37" s="166">
        <v>45017</v>
      </c>
      <c r="AF37" s="166">
        <v>45047</v>
      </c>
      <c r="AG37" s="166">
        <v>45078</v>
      </c>
      <c r="AH37" s="166">
        <v>45108</v>
      </c>
      <c r="AI37" s="166">
        <v>45139</v>
      </c>
      <c r="AJ37" s="166">
        <v>45170</v>
      </c>
      <c r="AK37" s="166">
        <v>45200</v>
      </c>
      <c r="AL37" s="166">
        <v>45231</v>
      </c>
      <c r="AM37" s="166">
        <v>45261</v>
      </c>
      <c r="AN37" s="166">
        <v>45292</v>
      </c>
      <c r="AO37" s="166">
        <v>45323</v>
      </c>
      <c r="AP37" s="166">
        <v>45352</v>
      </c>
      <c r="AQ37" s="166">
        <v>45383</v>
      </c>
      <c r="AR37" s="166">
        <v>45413</v>
      </c>
      <c r="AS37" s="166">
        <v>45444</v>
      </c>
      <c r="AT37" s="166">
        <v>45474</v>
      </c>
      <c r="AU37" s="166">
        <v>45505</v>
      </c>
      <c r="AV37" s="166">
        <v>45536</v>
      </c>
      <c r="AW37" s="166">
        <v>45566</v>
      </c>
      <c r="AX37" s="166">
        <v>45597</v>
      </c>
      <c r="AY37" s="166">
        <v>45627</v>
      </c>
      <c r="AZ37" s="166">
        <v>45658</v>
      </c>
      <c r="BA37" s="166">
        <v>45689</v>
      </c>
      <c r="BB37" s="166">
        <v>45717</v>
      </c>
    </row>
    <row r="38" spans="2:54" ht="19.5" customHeight="1" x14ac:dyDescent="0.25">
      <c r="B38" s="354" t="s">
        <v>394</v>
      </c>
      <c r="C38" s="440" t="s">
        <v>1899</v>
      </c>
      <c r="D38" s="43">
        <v>5150</v>
      </c>
      <c r="E38" s="43">
        <v>5154</v>
      </c>
      <c r="F38" s="43">
        <v>5192</v>
      </c>
      <c r="G38" s="43">
        <v>5187</v>
      </c>
      <c r="H38" s="43">
        <v>5174</v>
      </c>
      <c r="I38" s="43">
        <v>5199</v>
      </c>
      <c r="J38" s="43">
        <v>5177</v>
      </c>
      <c r="K38" s="43">
        <v>5155</v>
      </c>
      <c r="L38" s="43">
        <v>5139</v>
      </c>
      <c r="M38" s="43">
        <v>5132</v>
      </c>
      <c r="N38" s="43">
        <v>5121</v>
      </c>
      <c r="O38" s="43">
        <v>5122</v>
      </c>
      <c r="P38" s="43">
        <v>5087</v>
      </c>
      <c r="Q38" s="43">
        <v>5070</v>
      </c>
      <c r="R38" s="43">
        <v>5057</v>
      </c>
      <c r="S38" s="43">
        <v>5075</v>
      </c>
      <c r="T38" s="43">
        <v>5095</v>
      </c>
      <c r="U38" s="43">
        <v>5104</v>
      </c>
      <c r="V38" s="43">
        <v>5140</v>
      </c>
      <c r="W38" s="43">
        <v>5146</v>
      </c>
      <c r="X38" s="43">
        <v>5148</v>
      </c>
      <c r="Y38" s="43">
        <v>5139</v>
      </c>
      <c r="Z38" s="43">
        <v>5162</v>
      </c>
      <c r="AA38" s="43">
        <v>5136</v>
      </c>
      <c r="AB38" s="43">
        <v>5199</v>
      </c>
      <c r="AC38" s="43">
        <v>5219</v>
      </c>
      <c r="AD38" s="43">
        <v>5235</v>
      </c>
      <c r="AE38" s="43">
        <v>5251</v>
      </c>
      <c r="AF38" s="43">
        <v>5272</v>
      </c>
      <c r="AG38" s="43">
        <v>5294</v>
      </c>
      <c r="AH38" s="43">
        <v>5303</v>
      </c>
      <c r="AI38" s="43">
        <v>5324</v>
      </c>
      <c r="AJ38" s="43">
        <v>5337</v>
      </c>
      <c r="AK38" s="43">
        <v>5359</v>
      </c>
      <c r="AL38" s="43">
        <v>5366</v>
      </c>
      <c r="AM38" s="43">
        <v>5378</v>
      </c>
      <c r="AN38" s="43">
        <v>5390</v>
      </c>
      <c r="AO38" s="43">
        <v>5404</v>
      </c>
      <c r="AP38" s="43">
        <v>5414</v>
      </c>
      <c r="AQ38" s="43">
        <v>5418</v>
      </c>
      <c r="AR38" s="43">
        <v>5420</v>
      </c>
      <c r="AS38" s="43">
        <v>5429</v>
      </c>
      <c r="AT38" s="43">
        <v>5444</v>
      </c>
      <c r="AU38" s="43">
        <v>5453</v>
      </c>
      <c r="AV38" s="43">
        <v>5468</v>
      </c>
      <c r="AW38" s="43">
        <v>5484</v>
      </c>
      <c r="AX38" s="43">
        <v>5493</v>
      </c>
      <c r="AY38" s="43">
        <v>5512</v>
      </c>
      <c r="AZ38" s="43">
        <v>5524</v>
      </c>
      <c r="BA38">
        <v>5520</v>
      </c>
      <c r="BB38">
        <v>5526</v>
      </c>
    </row>
    <row r="39" spans="2:54" ht="18" customHeight="1" x14ac:dyDescent="0.25">
      <c r="B39" s="245" t="s">
        <v>395</v>
      </c>
      <c r="C39" s="180" t="s">
        <v>1973</v>
      </c>
      <c r="D39" s="43">
        <v>13743</v>
      </c>
      <c r="E39" s="43">
        <v>13728</v>
      </c>
      <c r="F39" s="43">
        <v>13779</v>
      </c>
      <c r="G39" s="43">
        <v>13827</v>
      </c>
      <c r="H39" s="43">
        <v>13849</v>
      </c>
      <c r="I39" s="43">
        <v>13917</v>
      </c>
      <c r="J39" s="43">
        <v>13990</v>
      </c>
      <c r="K39" s="43">
        <v>14057</v>
      </c>
      <c r="L39" s="43">
        <v>14055</v>
      </c>
      <c r="M39" s="43">
        <v>14035</v>
      </c>
      <c r="N39" s="43">
        <v>14035</v>
      </c>
      <c r="O39" s="43">
        <v>14071</v>
      </c>
      <c r="P39" s="43">
        <v>14091</v>
      </c>
      <c r="Q39" s="43">
        <v>14097</v>
      </c>
      <c r="R39" s="43">
        <v>14116</v>
      </c>
      <c r="S39" s="43">
        <v>14137</v>
      </c>
      <c r="T39" s="43">
        <v>14145</v>
      </c>
      <c r="U39" s="43">
        <v>14168</v>
      </c>
      <c r="V39" s="43">
        <v>14280</v>
      </c>
      <c r="W39" s="43">
        <v>14264</v>
      </c>
      <c r="X39" s="43">
        <v>14269</v>
      </c>
      <c r="Y39" s="43">
        <v>14301</v>
      </c>
      <c r="Z39" s="43">
        <v>14337</v>
      </c>
      <c r="AA39" s="43">
        <v>14364</v>
      </c>
      <c r="AB39" s="43">
        <v>14411</v>
      </c>
      <c r="AC39" s="43">
        <v>14439</v>
      </c>
      <c r="AD39" s="43">
        <v>14453</v>
      </c>
      <c r="AE39" s="43">
        <v>14478</v>
      </c>
      <c r="AF39" s="43">
        <v>14509</v>
      </c>
      <c r="AG39" s="43">
        <v>14565</v>
      </c>
      <c r="AH39" s="43">
        <v>14589</v>
      </c>
      <c r="AI39" s="43">
        <v>14603</v>
      </c>
      <c r="AJ39" s="43">
        <v>14653</v>
      </c>
      <c r="AK39" s="43">
        <v>14693</v>
      </c>
      <c r="AL39" s="43">
        <v>14728</v>
      </c>
      <c r="AM39" s="43">
        <v>14763</v>
      </c>
      <c r="AN39" s="43">
        <v>14786</v>
      </c>
      <c r="AO39" s="43">
        <v>14835</v>
      </c>
      <c r="AP39" s="43">
        <v>14890</v>
      </c>
      <c r="AQ39" s="43">
        <v>14877</v>
      </c>
      <c r="AR39" s="43">
        <v>14905</v>
      </c>
      <c r="AS39" s="43">
        <v>14915</v>
      </c>
      <c r="AT39" s="43">
        <v>14946</v>
      </c>
      <c r="AU39" s="43">
        <v>14973</v>
      </c>
      <c r="AV39" s="43">
        <v>14986</v>
      </c>
      <c r="AW39" s="43">
        <v>15012</v>
      </c>
      <c r="AX39" s="43">
        <v>15022</v>
      </c>
      <c r="AY39" s="43">
        <v>15036</v>
      </c>
      <c r="AZ39" s="43">
        <v>15053</v>
      </c>
      <c r="BA39">
        <v>15069</v>
      </c>
      <c r="BB39">
        <v>15086</v>
      </c>
    </row>
    <row r="40" spans="2:54" ht="18" customHeight="1" x14ac:dyDescent="0.25">
      <c r="B40" s="245" t="s">
        <v>1890</v>
      </c>
      <c r="C40" s="238"/>
      <c r="D40" s="43"/>
      <c r="E40" s="43"/>
      <c r="F40" s="43"/>
      <c r="G40" s="43"/>
      <c r="H40" s="43"/>
      <c r="I40" s="43"/>
      <c r="J40" s="43"/>
      <c r="K40" s="43"/>
      <c r="L40" s="43"/>
      <c r="M40" s="43"/>
      <c r="N40" s="43"/>
      <c r="O40" s="43"/>
      <c r="P40" s="43"/>
      <c r="Q40" s="43"/>
      <c r="R40" s="435"/>
      <c r="S40" s="435"/>
      <c r="T40" s="435"/>
      <c r="U40" s="435"/>
      <c r="V40" s="435">
        <f>V38+V39</f>
        <v>19420</v>
      </c>
      <c r="W40" s="435">
        <f t="shared" ref="W40:AR40" si="16">W38+W39</f>
        <v>19410</v>
      </c>
      <c r="X40" s="435">
        <f t="shared" si="16"/>
        <v>19417</v>
      </c>
      <c r="Y40" s="435">
        <f t="shared" si="16"/>
        <v>19440</v>
      </c>
      <c r="Z40" s="435">
        <f t="shared" si="16"/>
        <v>19499</v>
      </c>
      <c r="AA40" s="435">
        <f t="shared" si="16"/>
        <v>19500</v>
      </c>
      <c r="AB40" s="435">
        <f t="shared" si="16"/>
        <v>19610</v>
      </c>
      <c r="AC40" s="435">
        <f t="shared" si="16"/>
        <v>19658</v>
      </c>
      <c r="AD40" s="435">
        <f t="shared" si="16"/>
        <v>19688</v>
      </c>
      <c r="AE40" s="435">
        <f t="shared" si="16"/>
        <v>19729</v>
      </c>
      <c r="AF40" s="435">
        <f t="shared" si="16"/>
        <v>19781</v>
      </c>
      <c r="AG40" s="435">
        <f t="shared" si="16"/>
        <v>19859</v>
      </c>
      <c r="AH40" s="435">
        <f t="shared" si="16"/>
        <v>19892</v>
      </c>
      <c r="AI40" s="435">
        <f t="shared" si="16"/>
        <v>19927</v>
      </c>
      <c r="AJ40" s="435">
        <f t="shared" si="16"/>
        <v>19990</v>
      </c>
      <c r="AK40" s="435">
        <f t="shared" si="16"/>
        <v>20052</v>
      </c>
      <c r="AL40" s="435">
        <f t="shared" si="16"/>
        <v>20094</v>
      </c>
      <c r="AM40" s="435">
        <f t="shared" si="16"/>
        <v>20141</v>
      </c>
      <c r="AN40" s="435">
        <f t="shared" si="16"/>
        <v>20176</v>
      </c>
      <c r="AO40" s="435">
        <f t="shared" si="16"/>
        <v>20239</v>
      </c>
      <c r="AP40" s="435">
        <f t="shared" si="16"/>
        <v>20304</v>
      </c>
      <c r="AQ40" s="435">
        <f t="shared" si="16"/>
        <v>20295</v>
      </c>
      <c r="AR40" s="435">
        <f t="shared" si="16"/>
        <v>20325</v>
      </c>
      <c r="AS40" s="435">
        <f t="shared" ref="AS40:BB40" si="17">AS38+AS39</f>
        <v>20344</v>
      </c>
      <c r="AT40" s="435">
        <f t="shared" si="17"/>
        <v>20390</v>
      </c>
      <c r="AU40" s="435">
        <f t="shared" si="17"/>
        <v>20426</v>
      </c>
      <c r="AV40" s="435">
        <f t="shared" si="17"/>
        <v>20454</v>
      </c>
      <c r="AW40" s="435">
        <f t="shared" si="17"/>
        <v>20496</v>
      </c>
      <c r="AX40" s="435">
        <f t="shared" si="17"/>
        <v>20515</v>
      </c>
      <c r="AY40" s="435">
        <f t="shared" si="17"/>
        <v>20548</v>
      </c>
      <c r="AZ40" s="435">
        <f t="shared" si="17"/>
        <v>20577</v>
      </c>
      <c r="BA40" s="435">
        <f t="shared" si="17"/>
        <v>20589</v>
      </c>
      <c r="BB40" s="435">
        <f t="shared" si="17"/>
        <v>20612</v>
      </c>
    </row>
    <row r="41" spans="2:54" ht="19.5" customHeight="1" x14ac:dyDescent="0.25">
      <c r="B41" s="477" t="s">
        <v>397</v>
      </c>
      <c r="C41" s="359" t="s">
        <v>398</v>
      </c>
      <c r="D41" s="436">
        <v>345102</v>
      </c>
      <c r="E41" s="437">
        <v>335151</v>
      </c>
      <c r="F41" s="437">
        <v>336955</v>
      </c>
      <c r="G41" s="437">
        <v>335574</v>
      </c>
      <c r="H41" s="437">
        <v>338521</v>
      </c>
      <c r="I41" s="437">
        <v>329746</v>
      </c>
      <c r="J41" s="437">
        <v>328919</v>
      </c>
      <c r="K41" s="437">
        <v>333989</v>
      </c>
      <c r="L41" s="437">
        <v>326840</v>
      </c>
      <c r="M41" s="437">
        <v>327373</v>
      </c>
      <c r="N41" s="437">
        <v>331380</v>
      </c>
      <c r="O41" s="437">
        <v>331492</v>
      </c>
      <c r="P41" s="437">
        <v>334244</v>
      </c>
      <c r="Q41" s="437">
        <v>338416</v>
      </c>
      <c r="R41" s="437">
        <v>339417</v>
      </c>
      <c r="S41" s="437">
        <v>345062</v>
      </c>
      <c r="T41" s="437">
        <v>339178</v>
      </c>
      <c r="U41" s="437">
        <v>342484</v>
      </c>
      <c r="V41" s="437">
        <v>350972</v>
      </c>
      <c r="W41" s="437">
        <v>350286</v>
      </c>
      <c r="X41" s="437">
        <v>355116</v>
      </c>
      <c r="Y41" s="437">
        <v>354474</v>
      </c>
      <c r="Z41" s="437">
        <v>359543</v>
      </c>
      <c r="AA41" s="437">
        <v>361033</v>
      </c>
      <c r="AB41" s="437">
        <v>364867</v>
      </c>
      <c r="AC41" s="437">
        <v>371673</v>
      </c>
      <c r="AD41" s="437">
        <v>374555</v>
      </c>
      <c r="AE41" s="437">
        <v>382073</v>
      </c>
      <c r="AF41" s="437">
        <v>388978</v>
      </c>
      <c r="AG41" s="437">
        <v>396538</v>
      </c>
      <c r="AH41" s="437">
        <v>404059</v>
      </c>
      <c r="AI41" s="437">
        <v>407847</v>
      </c>
      <c r="AJ41" s="437">
        <v>418897</v>
      </c>
      <c r="AK41" s="436">
        <v>432334</v>
      </c>
      <c r="AL41" s="437">
        <v>440095</v>
      </c>
      <c r="AM41" s="437">
        <v>446894</v>
      </c>
      <c r="AN41" s="437">
        <v>445408</v>
      </c>
      <c r="AO41" s="436">
        <v>448458</v>
      </c>
      <c r="AP41" s="437">
        <v>453062</v>
      </c>
      <c r="AQ41" s="436">
        <v>451154</v>
      </c>
      <c r="AR41" s="436"/>
      <c r="AS41" s="438"/>
      <c r="AT41" s="438"/>
      <c r="AU41" s="438"/>
      <c r="AV41" s="438"/>
      <c r="AW41" s="438"/>
      <c r="AX41" s="438"/>
      <c r="AY41" s="439"/>
      <c r="AZ41" s="439"/>
    </row>
    <row r="42" spans="2:54" ht="15.6" customHeight="1" x14ac:dyDescent="0.25">
      <c r="B42" s="251"/>
      <c r="C42" s="246"/>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row>
    <row r="43" spans="2:54" ht="12.75" customHeight="1" x14ac:dyDescent="0.25"/>
    <row r="44" spans="2:54" x14ac:dyDescent="0.25">
      <c r="B44" s="1312" t="s">
        <v>399</v>
      </c>
      <c r="C44" s="1312"/>
      <c r="D44" s="1312"/>
      <c r="E44" s="1312"/>
      <c r="F44" s="1312"/>
      <c r="G44" s="1312"/>
      <c r="H44" s="1312"/>
      <c r="I44" s="1312"/>
      <c r="J44" s="1312"/>
      <c r="K44" s="1312"/>
      <c r="L44" s="1312"/>
      <c r="M44" s="1312"/>
      <c r="N44" s="1312"/>
      <c r="O44" s="1312"/>
      <c r="P44" s="1312"/>
      <c r="Q44" s="1312"/>
      <c r="R44" s="1312"/>
      <c r="S44" s="1312"/>
      <c r="T44" s="1312"/>
      <c r="U44" s="1312"/>
      <c r="V44" s="1312"/>
      <c r="W44" s="1312"/>
      <c r="X44" s="1312"/>
      <c r="Y44" s="1312"/>
      <c r="Z44" s="1312"/>
      <c r="AA44" s="1312"/>
      <c r="AB44" s="1312"/>
      <c r="AC44" s="1312"/>
      <c r="AD44" s="212"/>
      <c r="AE44">
        <f>AVERAGE(AE41:AG41)</f>
        <v>389196.33333333331</v>
      </c>
      <c r="AF44" s="212"/>
      <c r="AG44" s="212"/>
      <c r="AH44" s="212"/>
      <c r="AL44" s="238"/>
    </row>
    <row r="45" spans="2:54" ht="20.25" customHeight="1" x14ac:dyDescent="0.25">
      <c r="B45" s="1312"/>
      <c r="C45" s="1312"/>
      <c r="D45" s="1312"/>
      <c r="E45" s="1312"/>
      <c r="F45" s="1312"/>
      <c r="G45" s="1312"/>
      <c r="H45" s="1312"/>
      <c r="I45" s="1312"/>
      <c r="J45" s="1312"/>
      <c r="K45" s="1312"/>
      <c r="L45" s="1312"/>
      <c r="M45" s="1312"/>
      <c r="N45" s="1312"/>
      <c r="O45" s="1312"/>
      <c r="P45" s="1312"/>
      <c r="Q45" s="1312"/>
      <c r="R45" s="1312"/>
      <c r="S45" s="1312"/>
      <c r="T45" s="1312"/>
      <c r="U45" s="1312"/>
      <c r="V45" s="1312"/>
      <c r="W45" s="1312"/>
      <c r="X45" s="1312"/>
      <c r="Y45" s="1312"/>
      <c r="Z45" s="1312"/>
      <c r="AA45" s="1312"/>
      <c r="AB45" s="1312"/>
      <c r="AC45" s="1312"/>
      <c r="AD45" s="212"/>
      <c r="AE45" s="212"/>
      <c r="AF45" s="212"/>
      <c r="AG45" s="212"/>
      <c r="AH45" s="212"/>
      <c r="AL45" s="238"/>
    </row>
    <row r="46" spans="2:54" ht="14.25" customHeight="1" x14ac:dyDescent="0.25">
      <c r="B46" s="1311" t="s">
        <v>400</v>
      </c>
      <c r="C46" s="1311"/>
      <c r="D46" s="1311"/>
      <c r="E46" s="1311"/>
      <c r="F46" s="1311"/>
      <c r="G46" s="1311"/>
      <c r="H46" s="1311"/>
      <c r="I46" s="1311"/>
      <c r="J46" s="1311"/>
      <c r="K46" s="1311"/>
      <c r="L46" s="1311"/>
      <c r="M46" s="1311"/>
      <c r="N46" s="1311"/>
      <c r="O46" s="1311"/>
      <c r="P46" s="1311"/>
      <c r="Q46" s="1311"/>
      <c r="R46" s="1311"/>
      <c r="S46" s="1311"/>
      <c r="T46" s="1311"/>
      <c r="U46" s="1311"/>
      <c r="V46" s="1311"/>
      <c r="W46" s="1311"/>
      <c r="X46" s="1311"/>
      <c r="Y46" s="1311"/>
      <c r="Z46" s="1311"/>
      <c r="AA46" s="1311"/>
      <c r="AB46" s="1311"/>
      <c r="AC46" s="1311"/>
      <c r="AD46" s="379"/>
      <c r="AE46" s="379"/>
      <c r="AF46" s="379"/>
      <c r="AG46" s="379"/>
      <c r="AH46" s="379"/>
      <c r="AL46" s="238"/>
    </row>
    <row r="47" spans="2:54" x14ac:dyDescent="0.25">
      <c r="B47" s="1311"/>
      <c r="C47" s="1311"/>
      <c r="D47" s="1311"/>
      <c r="E47" s="1311"/>
      <c r="F47" s="1311"/>
      <c r="G47" s="1311"/>
      <c r="H47" s="1311"/>
      <c r="I47" s="1311"/>
      <c r="J47" s="1311"/>
      <c r="K47" s="1311"/>
      <c r="L47" s="1311"/>
      <c r="M47" s="1311"/>
      <c r="N47" s="1311"/>
      <c r="O47" s="1311"/>
      <c r="P47" s="1311"/>
      <c r="Q47" s="1311"/>
      <c r="R47" s="1311"/>
      <c r="S47" s="1311"/>
      <c r="T47" s="1311"/>
      <c r="U47" s="1311"/>
      <c r="V47" s="1311"/>
      <c r="W47" s="1311"/>
      <c r="X47" s="1311"/>
      <c r="Y47" s="1311"/>
      <c r="Z47" s="1311"/>
      <c r="AA47" s="1311"/>
      <c r="AB47" s="1311"/>
      <c r="AC47" s="1311"/>
      <c r="AD47" s="379"/>
      <c r="AE47" s="379"/>
      <c r="AF47" s="379"/>
      <c r="AG47" s="379"/>
      <c r="AH47" s="379"/>
      <c r="AL47" s="238"/>
    </row>
    <row r="48" spans="2:54" ht="8.85" customHeight="1" x14ac:dyDescent="0.25">
      <c r="B48" s="1311"/>
      <c r="C48" s="1311"/>
      <c r="D48" s="1311"/>
      <c r="E48" s="1311"/>
      <c r="F48" s="1311"/>
      <c r="G48" s="1311"/>
      <c r="H48" s="1311"/>
      <c r="I48" s="1311"/>
      <c r="J48" s="1311"/>
      <c r="K48" s="1311"/>
      <c r="L48" s="1311"/>
      <c r="M48" s="1311"/>
      <c r="N48" s="1311"/>
      <c r="O48" s="1311"/>
      <c r="P48" s="1311"/>
      <c r="Q48" s="1311"/>
      <c r="R48" s="1311"/>
      <c r="S48" s="1311"/>
      <c r="T48" s="1311"/>
      <c r="U48" s="1311"/>
      <c r="V48" s="1311"/>
      <c r="W48" s="1311"/>
      <c r="X48" s="1311"/>
      <c r="Y48" s="1311"/>
      <c r="Z48" s="1311"/>
      <c r="AA48" s="1311"/>
      <c r="AB48" s="1311"/>
      <c r="AC48" s="1311"/>
      <c r="AD48" s="379"/>
      <c r="AE48" s="379"/>
      <c r="AF48" s="379"/>
      <c r="AG48" s="379"/>
      <c r="AH48" s="379"/>
      <c r="AL48" s="238"/>
    </row>
    <row r="49" spans="2:63" ht="12.75" customHeight="1" x14ac:dyDescent="0.25">
      <c r="AL49" s="238"/>
    </row>
    <row r="50" spans="2:63" ht="30.75" customHeight="1" x14ac:dyDescent="0.25">
      <c r="B50" s="1269" t="s">
        <v>278</v>
      </c>
      <c r="C50" s="1313"/>
      <c r="D50" s="1293" t="s">
        <v>279</v>
      </c>
      <c r="E50" s="1294"/>
      <c r="F50" s="1294"/>
      <c r="G50" s="1294"/>
      <c r="H50" s="1294"/>
      <c r="I50" s="1294"/>
      <c r="J50" s="1294"/>
      <c r="K50" s="1294"/>
      <c r="L50" s="1294"/>
      <c r="M50" s="1294"/>
      <c r="N50" s="1294"/>
      <c r="O50" s="1294"/>
      <c r="P50" s="1294"/>
      <c r="Q50" s="1294"/>
      <c r="R50" s="1294"/>
      <c r="S50" s="1294"/>
      <c r="T50" s="1294"/>
      <c r="U50" s="1294"/>
      <c r="V50" s="1294"/>
      <c r="W50" s="1294"/>
      <c r="X50" s="1294"/>
      <c r="Y50" s="1294"/>
      <c r="Z50" s="1294"/>
      <c r="AA50" s="1295"/>
      <c r="AB50" s="1296" t="s">
        <v>280</v>
      </c>
      <c r="AC50" s="1277"/>
      <c r="AD50" s="1277"/>
      <c r="AE50" s="1277"/>
      <c r="AF50" s="1277"/>
      <c r="AG50" s="1277"/>
      <c r="AH50" s="1277"/>
      <c r="AI50" s="1277"/>
      <c r="AJ50" s="1277"/>
      <c r="AK50" s="1277"/>
      <c r="AL50" s="1277"/>
      <c r="AM50" s="1277"/>
      <c r="AN50" s="1278"/>
    </row>
    <row r="51" spans="2:63" x14ac:dyDescent="0.25">
      <c r="B51" s="1271"/>
      <c r="C51" s="1314"/>
      <c r="D51" s="285">
        <v>2018</v>
      </c>
      <c r="E51" s="1288">
        <v>2019</v>
      </c>
      <c r="F51" s="1289"/>
      <c r="G51" s="1289"/>
      <c r="H51" s="1290"/>
      <c r="I51" s="1288">
        <v>2020</v>
      </c>
      <c r="J51" s="1289"/>
      <c r="K51" s="1289"/>
      <c r="L51" s="1289"/>
      <c r="M51" s="1288">
        <v>2021</v>
      </c>
      <c r="N51" s="1289"/>
      <c r="O51" s="1289"/>
      <c r="P51" s="1289"/>
      <c r="Q51" s="1288">
        <v>2022</v>
      </c>
      <c r="R51" s="1300"/>
      <c r="S51" s="1300"/>
      <c r="T51" s="1300"/>
      <c r="U51" s="1288">
        <v>2023</v>
      </c>
      <c r="V51" s="1300"/>
      <c r="W51" s="1300"/>
      <c r="X51" s="1290"/>
      <c r="Y51" s="441"/>
      <c r="Z51" s="291">
        <v>2024</v>
      </c>
      <c r="AA51" s="291"/>
      <c r="AB51" s="324"/>
      <c r="AC51" s="1275">
        <v>2025</v>
      </c>
      <c r="AD51" s="1276"/>
      <c r="AE51" s="1276"/>
      <c r="AF51" s="1280"/>
      <c r="AG51" s="1275">
        <v>2026</v>
      </c>
      <c r="AH51" s="1276"/>
      <c r="AI51" s="1276"/>
      <c r="AJ51" s="1280"/>
      <c r="AK51" s="1275">
        <v>2027</v>
      </c>
      <c r="AL51" s="1276"/>
      <c r="AM51" s="1276"/>
      <c r="AN51" s="1280"/>
    </row>
    <row r="52" spans="2:63" x14ac:dyDescent="0.25">
      <c r="B52" s="1273"/>
      <c r="C52" s="1315"/>
      <c r="D52" s="214" t="s">
        <v>281</v>
      </c>
      <c r="E52" s="214" t="s">
        <v>282</v>
      </c>
      <c r="F52" s="215" t="s">
        <v>283</v>
      </c>
      <c r="G52" s="215" t="s">
        <v>238</v>
      </c>
      <c r="H52" s="221" t="s">
        <v>281</v>
      </c>
      <c r="I52" s="215" t="s">
        <v>282</v>
      </c>
      <c r="J52" s="215" t="s">
        <v>283</v>
      </c>
      <c r="K52" s="215" t="s">
        <v>238</v>
      </c>
      <c r="L52" s="215" t="s">
        <v>281</v>
      </c>
      <c r="M52" s="214" t="s">
        <v>282</v>
      </c>
      <c r="N52" s="215" t="s">
        <v>283</v>
      </c>
      <c r="O52" s="215" t="s">
        <v>238</v>
      </c>
      <c r="P52" s="215" t="s">
        <v>281</v>
      </c>
      <c r="Q52" s="214" t="s">
        <v>282</v>
      </c>
      <c r="R52" s="215" t="s">
        <v>283</v>
      </c>
      <c r="S52" s="215" t="s">
        <v>238</v>
      </c>
      <c r="T52" s="215" t="s">
        <v>281</v>
      </c>
      <c r="U52" s="275" t="s">
        <v>282</v>
      </c>
      <c r="V52" s="276" t="s">
        <v>283</v>
      </c>
      <c r="W52" s="276" t="s">
        <v>238</v>
      </c>
      <c r="X52" s="274" t="s">
        <v>281</v>
      </c>
      <c r="Y52" s="275" t="s">
        <v>282</v>
      </c>
      <c r="Z52" s="281" t="s">
        <v>283</v>
      </c>
      <c r="AA52" s="276" t="s">
        <v>238</v>
      </c>
      <c r="AB52" s="290" t="s">
        <v>281</v>
      </c>
      <c r="AC52" s="288" t="s">
        <v>282</v>
      </c>
      <c r="AD52" s="260" t="s">
        <v>283</v>
      </c>
      <c r="AE52" s="262" t="s">
        <v>238</v>
      </c>
      <c r="AF52" s="290" t="s">
        <v>281</v>
      </c>
      <c r="AG52" s="225" t="s">
        <v>282</v>
      </c>
      <c r="AH52" s="260" t="s">
        <v>283</v>
      </c>
      <c r="AI52" s="260" t="s">
        <v>238</v>
      </c>
      <c r="AJ52" s="279" t="s">
        <v>281</v>
      </c>
      <c r="AK52" s="225" t="s">
        <v>282</v>
      </c>
      <c r="AL52" s="260" t="s">
        <v>283</v>
      </c>
      <c r="AM52" s="260" t="s">
        <v>238</v>
      </c>
      <c r="AN52" s="279" t="s">
        <v>281</v>
      </c>
    </row>
    <row r="53" spans="2:63" x14ac:dyDescent="0.25">
      <c r="B53" s="485" t="s">
        <v>134</v>
      </c>
      <c r="C53" s="263"/>
      <c r="D53" s="247"/>
      <c r="E53" s="479"/>
      <c r="F53" s="479"/>
      <c r="G53" s="479"/>
      <c r="H53" s="428">
        <f>Grants!H94</f>
        <v>72.497</v>
      </c>
      <c r="I53" s="428">
        <f>Grants!I94</f>
        <v>75.649000000000001</v>
      </c>
      <c r="J53" s="428">
        <f>Grants!J94</f>
        <v>75.483999999999995</v>
      </c>
      <c r="K53" s="428">
        <f>Grants!K94</f>
        <v>79.444000000000003</v>
      </c>
      <c r="L53" s="428">
        <f>Grants!L94</f>
        <v>75.742999999999995</v>
      </c>
      <c r="M53" s="428">
        <f>Grants!M94</f>
        <v>73.183000000000007</v>
      </c>
      <c r="N53" s="428">
        <f>Grants!N94</f>
        <v>74.421000000000006</v>
      </c>
      <c r="O53" s="428">
        <f>Grants!O94</f>
        <v>70.334000000000003</v>
      </c>
      <c r="P53" s="428">
        <f>Grants!P94</f>
        <v>72.707999999999998</v>
      </c>
      <c r="Q53" s="428">
        <f>Grants!Q94</f>
        <v>75.024000000000001</v>
      </c>
      <c r="R53" s="428">
        <f>Grants!R94</f>
        <v>75.203000000000003</v>
      </c>
      <c r="S53" s="480">
        <f>Grants!S94</f>
        <v>75.203000000000003</v>
      </c>
      <c r="T53" s="461">
        <f>Grants!T94</f>
        <v>76.022000000000006</v>
      </c>
      <c r="U53" s="230">
        <f>Grants!U94</f>
        <v>76.022000000000006</v>
      </c>
      <c r="V53" s="230">
        <f>Grants!V94</f>
        <v>76.022000000000006</v>
      </c>
      <c r="W53" s="230">
        <f>Grants!W94</f>
        <v>76.022000000000006</v>
      </c>
      <c r="X53" s="224">
        <f>Grants!X94</f>
        <v>77.680999999999997</v>
      </c>
      <c r="Y53" s="224">
        <f>Grants!Y94</f>
        <v>77.680999999999997</v>
      </c>
      <c r="Z53" s="224">
        <f>Grants!Z94</f>
        <v>77.680999999999997</v>
      </c>
      <c r="AA53" s="224">
        <f>Grants!AA94</f>
        <v>77.680999999999997</v>
      </c>
      <c r="AB53" s="224">
        <f>Grants!AB94</f>
        <v>79.275000000000006</v>
      </c>
      <c r="AC53" s="224">
        <f>Grants!AC94</f>
        <v>79.275000000000006</v>
      </c>
      <c r="AD53" s="224">
        <f>Grants!AD94</f>
        <v>75.203000000000003</v>
      </c>
      <c r="AE53" s="224">
        <f>Grants!AE94</f>
        <v>75.203000000000003</v>
      </c>
      <c r="AF53" s="224">
        <f>Grants!AF94</f>
        <v>75.203000000000003</v>
      </c>
      <c r="AG53" s="224">
        <f>Grants!AG94</f>
        <v>75.203000000000003</v>
      </c>
      <c r="AH53" s="224">
        <f>Grants!AH94</f>
        <v>75.203000000000003</v>
      </c>
      <c r="AI53" s="224">
        <f>Grants!AI94</f>
        <v>75.203000000000003</v>
      </c>
      <c r="AJ53" s="224">
        <f>Grants!AJ94</f>
        <v>75.203000000000003</v>
      </c>
      <c r="AK53" s="224">
        <f>Grants!AK94</f>
        <v>75.203000000000003</v>
      </c>
      <c r="AL53" s="224">
        <f>Grants!AL94</f>
        <v>75.203000000000003</v>
      </c>
      <c r="AM53" s="224">
        <f>Grants!AM94</f>
        <v>75.203000000000003</v>
      </c>
      <c r="AN53" s="224">
        <f>Grants!AN94</f>
        <v>75.203000000000003</v>
      </c>
    </row>
    <row r="54" spans="2:63" x14ac:dyDescent="0.25">
      <c r="B54" s="476" t="s">
        <v>192</v>
      </c>
      <c r="C54" s="223"/>
      <c r="D54" s="280"/>
      <c r="E54" s="223"/>
      <c r="F54" s="223"/>
      <c r="G54" s="223"/>
      <c r="H54" s="230">
        <f>Grants!H73</f>
        <v>208.815</v>
      </c>
      <c r="I54" s="230">
        <f>Grants!I73</f>
        <v>212.11</v>
      </c>
      <c r="J54" s="230">
        <f>Grants!J73</f>
        <v>321.19400000000007</v>
      </c>
      <c r="K54" s="230">
        <f>Grants!K73</f>
        <v>295.41999999999996</v>
      </c>
      <c r="L54" s="230">
        <f>Grants!L73</f>
        <v>293.01599999999996</v>
      </c>
      <c r="M54" s="230">
        <f>Grants!M73</f>
        <v>318.27100000000007</v>
      </c>
      <c r="N54" s="230">
        <f>Grants!N73</f>
        <v>354.85400000000004</v>
      </c>
      <c r="O54" s="230">
        <f>Grants!O73</f>
        <v>373.11799999999988</v>
      </c>
      <c r="P54" s="230">
        <f>Grants!P73</f>
        <v>399.43985199999997</v>
      </c>
      <c r="Q54" s="230">
        <f>Grants!Q73</f>
        <v>430.7982748</v>
      </c>
      <c r="R54" s="230">
        <f>Grants!R73</f>
        <v>500.33303199999995</v>
      </c>
      <c r="S54" s="230">
        <f>Grants!S73</f>
        <v>483.13586799999996</v>
      </c>
      <c r="T54" s="230">
        <f>Grants!T73</f>
        <v>450.110928</v>
      </c>
      <c r="U54" s="458">
        <f>Grants!U73</f>
        <v>441.01454320000011</v>
      </c>
      <c r="V54" s="458">
        <f>Grants!V73</f>
        <v>433.78172000000006</v>
      </c>
      <c r="W54" s="458">
        <f>Grants!W73</f>
        <v>417.68194400000004</v>
      </c>
      <c r="X54" s="458">
        <f>Grants!X73</f>
        <v>432.29994399999998</v>
      </c>
      <c r="Y54" s="458">
        <f>Grants!Y73</f>
        <v>434.70694400000002</v>
      </c>
      <c r="Z54" s="458">
        <f>Grants!Z73</f>
        <v>440.59710899999999</v>
      </c>
      <c r="AA54" s="458">
        <f>Grants!AA73</f>
        <v>461.9273300000001</v>
      </c>
      <c r="AB54" s="458">
        <f>Grants!AB73</f>
        <v>463.54132570000002</v>
      </c>
      <c r="AC54" s="458">
        <f>Grants!AC73</f>
        <v>424.254997</v>
      </c>
      <c r="AD54" s="458">
        <f>Grants!AD73</f>
        <v>419.73814268217643</v>
      </c>
      <c r="AE54" s="458">
        <f>Grants!AE73</f>
        <v>422.42439169649873</v>
      </c>
      <c r="AF54" s="458">
        <f>Grants!AF73</f>
        <v>421.25141049708719</v>
      </c>
      <c r="AG54" s="458">
        <f>Grants!AG73</f>
        <v>424.11699880000009</v>
      </c>
      <c r="AH54" s="458">
        <f>Grants!AH73</f>
        <v>424.20782290946357</v>
      </c>
      <c r="AI54" s="458">
        <f>Grants!AI73</f>
        <v>428.13016104435877</v>
      </c>
      <c r="AJ54" s="458">
        <f>Grants!AJ73</f>
        <v>430.08129416497064</v>
      </c>
      <c r="AK54" s="458">
        <f>Grants!AK73</f>
        <v>433.06150600000007</v>
      </c>
      <c r="AL54" s="458">
        <f>Grants!AL73</f>
        <v>436.07108307384209</v>
      </c>
      <c r="AM54" s="458">
        <f>Grants!AM73</f>
        <v>439.11031473413311</v>
      </c>
      <c r="AN54" s="458">
        <f>Grants!AN73</f>
        <v>442.17949317956948</v>
      </c>
    </row>
    <row r="55" spans="2:63" x14ac:dyDescent="0.25">
      <c r="B55" s="486" t="s">
        <v>401</v>
      </c>
      <c r="C55" s="478"/>
      <c r="D55" s="477"/>
      <c r="E55" s="478"/>
      <c r="F55" s="478"/>
      <c r="G55" s="478"/>
      <c r="H55" s="462">
        <f>H53+H54</f>
        <v>281.31200000000001</v>
      </c>
      <c r="I55" s="462">
        <f t="shared" ref="I55:AN55" si="18">I53+I54</f>
        <v>287.75900000000001</v>
      </c>
      <c r="J55" s="462">
        <f t="shared" si="18"/>
        <v>396.67800000000005</v>
      </c>
      <c r="K55" s="462">
        <f t="shared" si="18"/>
        <v>374.86399999999998</v>
      </c>
      <c r="L55" s="462">
        <f t="shared" si="18"/>
        <v>368.75899999999996</v>
      </c>
      <c r="M55" s="462">
        <f t="shared" si="18"/>
        <v>391.45400000000006</v>
      </c>
      <c r="N55" s="462">
        <f t="shared" si="18"/>
        <v>429.27500000000003</v>
      </c>
      <c r="O55" s="462">
        <f t="shared" si="18"/>
        <v>443.45199999999988</v>
      </c>
      <c r="P55" s="462">
        <f t="shared" si="18"/>
        <v>472.14785199999994</v>
      </c>
      <c r="Q55" s="462">
        <f t="shared" si="18"/>
        <v>505.8222748</v>
      </c>
      <c r="R55" s="462">
        <f t="shared" si="18"/>
        <v>575.53603199999998</v>
      </c>
      <c r="S55" s="462">
        <f t="shared" si="18"/>
        <v>558.33886799999993</v>
      </c>
      <c r="T55" s="462">
        <f t="shared" si="18"/>
        <v>526.13292799999999</v>
      </c>
      <c r="U55" s="462">
        <f t="shared" si="18"/>
        <v>517.0365432000001</v>
      </c>
      <c r="V55" s="462">
        <f t="shared" si="18"/>
        <v>509.80372000000006</v>
      </c>
      <c r="W55" s="462">
        <f t="shared" si="18"/>
        <v>493.70394400000004</v>
      </c>
      <c r="X55" s="442">
        <f t="shared" si="18"/>
        <v>509.98094399999997</v>
      </c>
      <c r="Y55" s="442">
        <f t="shared" si="18"/>
        <v>512.38794400000006</v>
      </c>
      <c r="Z55" s="442">
        <f t="shared" si="18"/>
        <v>518.27810899999997</v>
      </c>
      <c r="AA55" s="442">
        <f t="shared" si="18"/>
        <v>539.60833000000014</v>
      </c>
      <c r="AB55" s="442">
        <f t="shared" si="18"/>
        <v>542.81632569999999</v>
      </c>
      <c r="AC55" s="442">
        <f t="shared" si="18"/>
        <v>503.52999699999998</v>
      </c>
      <c r="AD55" s="442">
        <f t="shared" si="18"/>
        <v>494.94114268217641</v>
      </c>
      <c r="AE55" s="442">
        <f t="shared" si="18"/>
        <v>497.62739169649876</v>
      </c>
      <c r="AF55" s="442">
        <f t="shared" si="18"/>
        <v>496.45441049708722</v>
      </c>
      <c r="AG55" s="442">
        <f t="shared" si="18"/>
        <v>499.31999880000012</v>
      </c>
      <c r="AH55" s="442">
        <f>AH53+AH54</f>
        <v>499.4108229094636</v>
      </c>
      <c r="AI55" s="442">
        <f t="shared" si="18"/>
        <v>503.3331610443588</v>
      </c>
      <c r="AJ55" s="442">
        <f t="shared" si="18"/>
        <v>505.28429416497067</v>
      </c>
      <c r="AK55" s="442">
        <f t="shared" si="18"/>
        <v>508.2645060000001</v>
      </c>
      <c r="AL55" s="442">
        <f t="shared" si="18"/>
        <v>511.27408307384212</v>
      </c>
      <c r="AM55" s="442">
        <f t="shared" si="18"/>
        <v>514.31331473413309</v>
      </c>
      <c r="AN55" s="442">
        <f t="shared" si="18"/>
        <v>517.38249317956945</v>
      </c>
    </row>
    <row r="57" spans="2:63" x14ac:dyDescent="0.25">
      <c r="S57" s="328"/>
      <c r="T57" s="328"/>
      <c r="U57" s="328"/>
      <c r="V57" s="328"/>
      <c r="W57" s="328"/>
      <c r="X57" s="328"/>
      <c r="Y57" s="328"/>
      <c r="Z57" s="328"/>
      <c r="AA57" s="328"/>
      <c r="AB57" s="328"/>
      <c r="AC57" s="328"/>
      <c r="AD57" s="328"/>
      <c r="AE57" s="328"/>
      <c r="AF57" s="328"/>
      <c r="AG57" s="328"/>
      <c r="AH57" s="328"/>
    </row>
    <row r="58" spans="2:63" x14ac:dyDescent="0.25">
      <c r="S58" s="328"/>
      <c r="T58" s="328"/>
      <c r="U58" s="328"/>
      <c r="V58" s="328"/>
      <c r="W58" s="328"/>
      <c r="X58" s="328"/>
      <c r="Y58" s="328"/>
      <c r="Z58" s="328"/>
      <c r="AA58" s="328"/>
      <c r="AB58" s="328"/>
      <c r="AC58" s="328"/>
      <c r="AD58" s="328"/>
      <c r="AE58" s="328"/>
      <c r="AF58" s="328"/>
      <c r="AG58" s="328"/>
      <c r="AH58" s="328"/>
    </row>
    <row r="59" spans="2:63" ht="27.6" customHeight="1" x14ac:dyDescent="0.25">
      <c r="S59" s="328"/>
      <c r="T59" s="328"/>
      <c r="U59" s="328"/>
      <c r="V59" s="328"/>
      <c r="W59" s="328"/>
      <c r="X59" s="328"/>
      <c r="Y59" s="328"/>
      <c r="Z59" s="328"/>
      <c r="AA59" s="328"/>
      <c r="AB59" s="328"/>
      <c r="AC59" s="328"/>
      <c r="AD59" s="328"/>
      <c r="AE59" s="328"/>
      <c r="AF59" s="328"/>
      <c r="AG59" s="328"/>
      <c r="AH59" s="328"/>
    </row>
    <row r="60" spans="2:63" ht="27.6" customHeight="1" x14ac:dyDescent="0.25"/>
    <row r="61" spans="2:63" ht="27.6" customHeight="1" x14ac:dyDescent="0.25">
      <c r="BI61" s="444"/>
      <c r="BJ61" s="444"/>
      <c r="BK61" s="444"/>
    </row>
    <row r="63" spans="2:63" ht="27.6" customHeight="1" x14ac:dyDescent="0.25"/>
    <row r="64" spans="2:63" ht="27.6" customHeight="1" x14ac:dyDescent="0.25"/>
    <row r="65" ht="27.6" customHeight="1" x14ac:dyDescent="0.25"/>
  </sheetData>
  <mergeCells count="38">
    <mergeCell ref="B21:AC23"/>
    <mergeCell ref="AK26:AN26"/>
    <mergeCell ref="AK51:AN51"/>
    <mergeCell ref="U26:X26"/>
    <mergeCell ref="U51:X51"/>
    <mergeCell ref="D50:AA50"/>
    <mergeCell ref="AB50:AN50"/>
    <mergeCell ref="AG51:AJ51"/>
    <mergeCell ref="AC26:AF26"/>
    <mergeCell ref="AG26:AJ26"/>
    <mergeCell ref="AC51:AF51"/>
    <mergeCell ref="M51:P51"/>
    <mergeCell ref="Q26:T26"/>
    <mergeCell ref="AC25:AN25"/>
    <mergeCell ref="D25:AB25"/>
    <mergeCell ref="E26:H26"/>
    <mergeCell ref="AK7:AN7"/>
    <mergeCell ref="AG7:AJ7"/>
    <mergeCell ref="AC6:AN6"/>
    <mergeCell ref="D6:AB6"/>
    <mergeCell ref="B20:AC20"/>
    <mergeCell ref="B1:AC1"/>
    <mergeCell ref="B6:C8"/>
    <mergeCell ref="E7:H7"/>
    <mergeCell ref="I7:L7"/>
    <mergeCell ref="B2:AC4"/>
    <mergeCell ref="Q7:T7"/>
    <mergeCell ref="AC7:AF7"/>
    <mergeCell ref="M7:P7"/>
    <mergeCell ref="E51:H51"/>
    <mergeCell ref="B25:C27"/>
    <mergeCell ref="M26:P26"/>
    <mergeCell ref="I26:L26"/>
    <mergeCell ref="Q51:T51"/>
    <mergeCell ref="B46:AC48"/>
    <mergeCell ref="B44:AC45"/>
    <mergeCell ref="B50:C52"/>
    <mergeCell ref="I51:L51"/>
  </mergeCells>
  <hyperlinks>
    <hyperlink ref="C38" r:id="rId1" xr:uid="{00000000-0004-0000-0F00-000000000000}"/>
    <hyperlink ref="C39" r:id="rId2" xr:uid="{00000000-0004-0000-0F00-000001000000}"/>
  </hyperlinks>
  <pageMargins left="0.7" right="0.7" top="0.75" bottom="0.75" header="0.3" footer="0.3"/>
  <pageSetup orientation="portrait"/>
  <drawing r:id="rId3"/>
  <legacyDrawing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A84"/>
  <sheetViews>
    <sheetView zoomScale="89" zoomScaleNormal="100" workbookViewId="0">
      <pane xSplit="3" ySplit="10" topLeftCell="D68" activePane="bottomRight" state="frozen"/>
      <selection pane="topRight" activeCell="D1" sqref="D1"/>
      <selection pane="bottomLeft" activeCell="A11" sqref="A11"/>
      <selection pane="bottomRight" activeCell="AB33" sqref="AB33"/>
    </sheetView>
  </sheetViews>
  <sheetFormatPr defaultColWidth="10.85546875" defaultRowHeight="15" x14ac:dyDescent="0.25"/>
  <cols>
    <col min="1" max="1" width="17" customWidth="1"/>
    <col min="2" max="2" width="49.42578125" customWidth="1"/>
    <col min="6" max="25" width="6.42578125" customWidth="1"/>
    <col min="27" max="27" width="10.140625" customWidth="1"/>
  </cols>
  <sheetData>
    <row r="1" spans="2:40" x14ac:dyDescent="0.25">
      <c r="B1" s="1264" t="s">
        <v>52</v>
      </c>
      <c r="C1" s="1264"/>
      <c r="D1" s="1264"/>
      <c r="E1" s="1264"/>
      <c r="F1" s="1264"/>
      <c r="G1" s="1264"/>
      <c r="H1" s="1264"/>
      <c r="I1" s="1264"/>
      <c r="J1" s="1264"/>
      <c r="K1" s="1264"/>
      <c r="L1" s="1264"/>
      <c r="M1" s="1264"/>
      <c r="N1" s="1264"/>
      <c r="O1" s="1264"/>
      <c r="P1" s="1264"/>
      <c r="Q1" s="1264"/>
      <c r="R1" s="1264"/>
      <c r="S1" s="1264"/>
      <c r="T1" s="1264"/>
      <c r="U1" s="1264"/>
      <c r="V1" s="1264"/>
      <c r="W1" s="1264"/>
      <c r="X1" s="1264"/>
      <c r="Y1" s="1264"/>
      <c r="Z1" s="1264"/>
      <c r="AA1" s="1264"/>
      <c r="AB1" s="1264"/>
      <c r="AC1" s="1264"/>
    </row>
    <row r="2" spans="2:40" ht="14.85" customHeight="1" x14ac:dyDescent="0.25">
      <c r="B2" s="1265" t="s">
        <v>855</v>
      </c>
      <c r="C2" s="1265"/>
      <c r="D2" s="1265"/>
      <c r="E2" s="1265"/>
      <c r="F2" s="1265"/>
      <c r="G2" s="1265"/>
      <c r="H2" s="1265"/>
      <c r="I2" s="1265"/>
      <c r="J2" s="1265"/>
      <c r="K2" s="1265"/>
      <c r="L2" s="1265"/>
      <c r="M2" s="1265"/>
      <c r="N2" s="1265"/>
      <c r="O2" s="1265"/>
      <c r="P2" s="1265"/>
      <c r="Q2" s="1265"/>
      <c r="R2" s="1265"/>
      <c r="S2" s="1265"/>
      <c r="T2" s="1265"/>
      <c r="U2" s="1265"/>
      <c r="V2" s="1265"/>
      <c r="W2" s="1265"/>
      <c r="X2" s="1265"/>
      <c r="Y2" s="1265"/>
      <c r="Z2" s="1265"/>
      <c r="AA2" s="1265"/>
      <c r="AB2" s="1265"/>
      <c r="AC2" s="1265"/>
    </row>
    <row r="3" spans="2:40" ht="14.85" customHeight="1" x14ac:dyDescent="0.25">
      <c r="B3" s="1265"/>
      <c r="C3" s="1265"/>
      <c r="D3" s="1265"/>
      <c r="E3" s="1265"/>
      <c r="F3" s="1265"/>
      <c r="G3" s="1265"/>
      <c r="H3" s="1265"/>
      <c r="I3" s="1265"/>
      <c r="J3" s="1265"/>
      <c r="K3" s="1265"/>
      <c r="L3" s="1265"/>
      <c r="M3" s="1265"/>
      <c r="N3" s="1265"/>
      <c r="O3" s="1265"/>
      <c r="P3" s="1265"/>
      <c r="Q3" s="1265"/>
      <c r="R3" s="1265"/>
      <c r="S3" s="1265"/>
      <c r="T3" s="1265"/>
      <c r="U3" s="1265"/>
      <c r="V3" s="1265"/>
      <c r="W3" s="1265"/>
      <c r="X3" s="1265"/>
      <c r="Y3" s="1265"/>
      <c r="Z3" s="1265"/>
      <c r="AA3" s="1265"/>
      <c r="AB3" s="1265"/>
      <c r="AC3" s="1265"/>
    </row>
    <row r="4" spans="2:40" ht="5.85" customHeight="1" x14ac:dyDescent="0.25">
      <c r="B4" s="1265"/>
      <c r="C4" s="1265"/>
      <c r="D4" s="1265"/>
      <c r="E4" s="1265"/>
      <c r="F4" s="1265"/>
      <c r="G4" s="1265"/>
      <c r="H4" s="1265"/>
      <c r="I4" s="1265"/>
      <c r="J4" s="1265"/>
      <c r="K4" s="1265"/>
      <c r="L4" s="1265"/>
      <c r="M4" s="1265"/>
      <c r="N4" s="1265"/>
      <c r="O4" s="1265"/>
      <c r="P4" s="1265"/>
      <c r="Q4" s="1265"/>
      <c r="R4" s="1265"/>
      <c r="S4" s="1265"/>
      <c r="T4" s="1265"/>
      <c r="U4" s="1265"/>
      <c r="V4" s="1265"/>
      <c r="W4" s="1265"/>
      <c r="X4" s="1265"/>
      <c r="Y4" s="1265"/>
      <c r="Z4" s="1265"/>
      <c r="AA4" s="1265"/>
      <c r="AB4" s="1265"/>
      <c r="AC4" s="1265"/>
    </row>
    <row r="5" spans="2:40" ht="1.5" customHeight="1" x14ac:dyDescent="0.25">
      <c r="B5" s="1265"/>
      <c r="C5" s="1265"/>
      <c r="D5" s="1265"/>
      <c r="E5" s="1265"/>
      <c r="F5" s="1265"/>
      <c r="G5" s="1265"/>
      <c r="H5" s="1265"/>
      <c r="I5" s="1265"/>
      <c r="J5" s="1265"/>
      <c r="K5" s="1265"/>
      <c r="L5" s="1265"/>
      <c r="M5" s="1265"/>
      <c r="N5" s="1265"/>
      <c r="O5" s="1265"/>
      <c r="P5" s="1265"/>
      <c r="Q5" s="1265"/>
      <c r="R5" s="1265"/>
      <c r="S5" s="1265"/>
      <c r="T5" s="1265"/>
      <c r="U5" s="1265"/>
      <c r="V5" s="1265"/>
      <c r="W5" s="1265"/>
      <c r="X5" s="1265"/>
      <c r="Y5" s="1265"/>
      <c r="Z5" s="1265"/>
      <c r="AA5" s="1265"/>
      <c r="AB5" s="1265"/>
      <c r="AC5" s="1265"/>
    </row>
    <row r="6" spans="2:40" ht="14.85" customHeight="1" x14ac:dyDescent="0.25">
      <c r="B6" s="1265"/>
      <c r="C6" s="1265"/>
      <c r="D6" s="1265"/>
      <c r="E6" s="1265"/>
      <c r="F6" s="1265"/>
      <c r="G6" s="1265"/>
      <c r="H6" s="1265"/>
      <c r="I6" s="1265"/>
      <c r="J6" s="1265"/>
      <c r="K6" s="1265"/>
      <c r="L6" s="1265"/>
      <c r="M6" s="1265"/>
      <c r="N6" s="1265"/>
      <c r="O6" s="1265"/>
      <c r="P6" s="1265"/>
      <c r="Q6" s="1265"/>
      <c r="R6" s="1265"/>
      <c r="S6" s="1265"/>
      <c r="T6" s="1265"/>
      <c r="U6" s="1265"/>
      <c r="V6" s="1265"/>
      <c r="W6" s="1265"/>
      <c r="X6" s="1265"/>
      <c r="Y6" s="1265"/>
      <c r="Z6" s="1265"/>
      <c r="AA6" s="1265"/>
      <c r="AB6" s="1265"/>
      <c r="AC6" s="1265"/>
    </row>
    <row r="7" spans="2:40" ht="33.75" customHeight="1" x14ac:dyDescent="0.25">
      <c r="B7" s="55"/>
      <c r="C7" s="55"/>
      <c r="D7" s="55"/>
      <c r="E7" s="55"/>
      <c r="F7" s="55"/>
      <c r="G7" s="55"/>
      <c r="H7" s="55"/>
      <c r="I7" s="55"/>
      <c r="J7" s="55"/>
      <c r="K7" s="55"/>
      <c r="L7" s="55"/>
      <c r="M7" s="55"/>
      <c r="N7" s="55"/>
      <c r="O7" s="55"/>
      <c r="P7" s="55"/>
      <c r="Q7" s="55"/>
      <c r="R7" s="55"/>
      <c r="S7" s="55"/>
      <c r="T7" s="55"/>
      <c r="U7" s="55"/>
      <c r="V7" s="55"/>
      <c r="W7" s="55"/>
      <c r="X7" s="55"/>
      <c r="Y7" s="55"/>
    </row>
    <row r="8" spans="2:40" ht="14.85" customHeight="1" x14ac:dyDescent="0.25">
      <c r="B8" s="1269" t="s">
        <v>402</v>
      </c>
      <c r="C8" s="1270"/>
      <c r="D8" s="1293" t="s">
        <v>279</v>
      </c>
      <c r="E8" s="1294"/>
      <c r="F8" s="1294"/>
      <c r="G8" s="1294"/>
      <c r="H8" s="1294"/>
      <c r="I8" s="1294"/>
      <c r="J8" s="1294"/>
      <c r="K8" s="1294"/>
      <c r="L8" s="1294"/>
      <c r="M8" s="1294"/>
      <c r="N8" s="1294"/>
      <c r="O8" s="1294"/>
      <c r="P8" s="1294"/>
      <c r="Q8" s="1294"/>
      <c r="R8" s="1294"/>
      <c r="S8" s="1294"/>
      <c r="T8" s="1294"/>
      <c r="U8" s="1294"/>
      <c r="V8" s="1294"/>
      <c r="W8" s="1294"/>
      <c r="X8" s="1294"/>
      <c r="Y8" s="1294"/>
      <c r="Z8" s="1294"/>
      <c r="AA8" s="1294"/>
      <c r="AB8" s="1295"/>
      <c r="AC8" s="1296" t="s">
        <v>280</v>
      </c>
      <c r="AD8" s="1277"/>
      <c r="AE8" s="1277"/>
      <c r="AF8" s="1277"/>
      <c r="AG8" s="1277"/>
      <c r="AH8" s="1277"/>
      <c r="AI8" s="1277"/>
      <c r="AJ8" s="1277"/>
      <c r="AK8" s="1277"/>
      <c r="AL8" s="1277"/>
      <c r="AM8" s="1277"/>
      <c r="AN8" s="1278"/>
    </row>
    <row r="9" spans="2:40" x14ac:dyDescent="0.25">
      <c r="B9" s="1271"/>
      <c r="C9" s="1272"/>
      <c r="D9" s="214">
        <v>2018</v>
      </c>
      <c r="E9" s="1266">
        <v>2019</v>
      </c>
      <c r="F9" s="1267"/>
      <c r="G9" s="1267"/>
      <c r="H9" s="1328"/>
      <c r="I9" s="1266">
        <v>2020</v>
      </c>
      <c r="J9" s="1267"/>
      <c r="K9" s="1267"/>
      <c r="L9" s="1267"/>
      <c r="M9" s="1266">
        <v>2021</v>
      </c>
      <c r="N9" s="1267"/>
      <c r="O9" s="1267"/>
      <c r="P9" s="1267"/>
      <c r="Q9" s="1288">
        <v>2022</v>
      </c>
      <c r="R9" s="1300"/>
      <c r="S9" s="1300"/>
      <c r="T9" s="1300"/>
      <c r="U9" s="1288">
        <v>2023</v>
      </c>
      <c r="V9" s="1300"/>
      <c r="W9" s="1300"/>
      <c r="X9" s="1290"/>
      <c r="Y9" s="441"/>
      <c r="Z9" s="431">
        <v>2024</v>
      </c>
      <c r="AA9" s="431"/>
      <c r="AB9" s="298"/>
      <c r="AC9" s="1275">
        <v>2025</v>
      </c>
      <c r="AD9" s="1281"/>
      <c r="AE9" s="1281"/>
      <c r="AF9" s="1280"/>
      <c r="AG9" s="1275">
        <v>2026</v>
      </c>
      <c r="AH9" s="1276"/>
      <c r="AI9" s="1276"/>
      <c r="AJ9" s="1280"/>
      <c r="AK9" s="1275">
        <v>2027</v>
      </c>
      <c r="AL9" s="1276"/>
      <c r="AM9" s="1276"/>
      <c r="AN9" s="1280"/>
    </row>
    <row r="10" spans="2:40" x14ac:dyDescent="0.25">
      <c r="B10" s="1273"/>
      <c r="C10" s="1274"/>
      <c r="D10" s="214" t="s">
        <v>281</v>
      </c>
      <c r="E10" s="214" t="s">
        <v>282</v>
      </c>
      <c r="F10" s="215" t="s">
        <v>283</v>
      </c>
      <c r="G10" s="215" t="s">
        <v>238</v>
      </c>
      <c r="H10" s="221" t="s">
        <v>281</v>
      </c>
      <c r="I10" s="215" t="s">
        <v>282</v>
      </c>
      <c r="J10" s="215" t="s">
        <v>283</v>
      </c>
      <c r="K10" s="215" t="s">
        <v>238</v>
      </c>
      <c r="L10" s="215" t="s">
        <v>281</v>
      </c>
      <c r="M10" s="214" t="s">
        <v>282</v>
      </c>
      <c r="N10" s="215" t="s">
        <v>283</v>
      </c>
      <c r="O10" s="215" t="s">
        <v>238</v>
      </c>
      <c r="P10" s="215" t="s">
        <v>281</v>
      </c>
      <c r="Q10" s="214" t="s">
        <v>282</v>
      </c>
      <c r="R10" s="215" t="s">
        <v>283</v>
      </c>
      <c r="S10" s="215" t="s">
        <v>238</v>
      </c>
      <c r="T10" s="215" t="s">
        <v>281</v>
      </c>
      <c r="U10" s="275" t="s">
        <v>282</v>
      </c>
      <c r="V10" s="276" t="s">
        <v>283</v>
      </c>
      <c r="W10" s="276" t="s">
        <v>238</v>
      </c>
      <c r="X10" s="274" t="s">
        <v>281</v>
      </c>
      <c r="Y10" s="275" t="s">
        <v>282</v>
      </c>
      <c r="Z10" s="281" t="s">
        <v>283</v>
      </c>
      <c r="AA10" s="276" t="s">
        <v>238</v>
      </c>
      <c r="AB10" s="276" t="s">
        <v>281</v>
      </c>
      <c r="AC10" s="275" t="s">
        <v>282</v>
      </c>
      <c r="AD10" s="260" t="s">
        <v>283</v>
      </c>
      <c r="AE10" s="262" t="s">
        <v>238</v>
      </c>
      <c r="AF10" s="262" t="s">
        <v>281</v>
      </c>
      <c r="AG10" s="225" t="s">
        <v>282</v>
      </c>
      <c r="AH10" s="260" t="s">
        <v>283</v>
      </c>
      <c r="AI10" s="260" t="s">
        <v>238</v>
      </c>
      <c r="AJ10" s="279" t="s">
        <v>281</v>
      </c>
      <c r="AK10" s="225" t="s">
        <v>282</v>
      </c>
      <c r="AL10" s="260" t="s">
        <v>283</v>
      </c>
      <c r="AM10" s="260" t="s">
        <v>238</v>
      </c>
      <c r="AN10" s="279" t="s">
        <v>281</v>
      </c>
    </row>
    <row r="11" spans="2:40" x14ac:dyDescent="0.25">
      <c r="B11" s="520" t="s">
        <v>861</v>
      </c>
      <c r="C11" s="55" t="s">
        <v>517</v>
      </c>
      <c r="D11" s="492"/>
      <c r="E11" s="526"/>
      <c r="F11" s="530">
        <v>60.5</v>
      </c>
      <c r="G11" s="530">
        <v>81.400000000000006</v>
      </c>
      <c r="H11" s="530">
        <f>'Haver Pivoted'!GS42</f>
        <v>82.1</v>
      </c>
      <c r="I11" s="530">
        <f>'Haver Pivoted'!GT42</f>
        <v>80</v>
      </c>
      <c r="J11" s="530">
        <f>'Haver Pivoted'!GU42</f>
        <v>1031.8</v>
      </c>
      <c r="K11" s="530">
        <f>'Haver Pivoted'!GV42</f>
        <v>1163.3</v>
      </c>
      <c r="L11" s="530">
        <f>'Haver Pivoted'!GW42</f>
        <v>516.4</v>
      </c>
      <c r="M11" s="530">
        <f>'Haver Pivoted'!GX42</f>
        <v>518.1</v>
      </c>
      <c r="N11" s="530">
        <f>'Haver Pivoted'!GY42</f>
        <v>822</v>
      </c>
      <c r="O11" s="530">
        <f>'Haver Pivoted'!GZ42</f>
        <v>673.4</v>
      </c>
      <c r="P11" s="530">
        <f>'Haver Pivoted'!HA42</f>
        <v>413.4</v>
      </c>
      <c r="Q11" s="530">
        <f>'Haver Pivoted'!HB42</f>
        <v>150.80000000000001</v>
      </c>
      <c r="R11" s="530">
        <f>'Haver Pivoted'!HC42</f>
        <v>129.30000000000001</v>
      </c>
      <c r="S11" s="531">
        <f>'Haver Pivoted'!HD42</f>
        <v>118.4</v>
      </c>
      <c r="T11" s="531">
        <f>'Haver Pivoted'!HE42</f>
        <v>110.8</v>
      </c>
      <c r="U11" s="342">
        <f>'Haver Pivoted'!HF42</f>
        <v>103.8</v>
      </c>
      <c r="V11" s="342">
        <f>'Haver Pivoted'!HG42</f>
        <v>101.8</v>
      </c>
      <c r="W11" s="342">
        <f>'Haver Pivoted'!HH42</f>
        <v>104</v>
      </c>
      <c r="X11" s="342">
        <f>'Haver Pivoted'!HI42</f>
        <v>98.9</v>
      </c>
      <c r="Y11" s="342">
        <f>'Haver Pivoted'!HJ42</f>
        <v>96.1</v>
      </c>
      <c r="Z11" s="342">
        <f>'Haver Pivoted'!HK42</f>
        <v>93.7</v>
      </c>
      <c r="AA11" s="342">
        <f>'Haver Pivoted'!HL42</f>
        <v>92.1</v>
      </c>
      <c r="AB11" s="342">
        <f>'Haver Pivoted'!HM42</f>
        <v>93.5</v>
      </c>
      <c r="AC11" s="342">
        <f>'Haver Pivoted'!HN42</f>
        <v>104.8</v>
      </c>
      <c r="AD11" s="507">
        <f t="shared" ref="AD11:AE11" si="0">AD12+AD13</f>
        <v>96.777999999999992</v>
      </c>
      <c r="AE11" s="507">
        <f t="shared" si="0"/>
        <v>96.777999999999992</v>
      </c>
      <c r="AF11" s="507">
        <f t="shared" ref="AF11" si="1">AF12+AF13</f>
        <v>99.867999999999995</v>
      </c>
      <c r="AG11" s="346">
        <f>AG12+AG13</f>
        <v>99.867999999999995</v>
      </c>
      <c r="AH11" s="346">
        <f>AH12+AH13</f>
        <v>99.867999999999995</v>
      </c>
      <c r="AI11" s="346">
        <f t="shared" ref="AI11" si="2">AI12+AI13</f>
        <v>99.867999999999995</v>
      </c>
      <c r="AJ11" s="346">
        <f>AJ12+AJ13</f>
        <v>99.867999999999995</v>
      </c>
      <c r="AK11" s="346">
        <f t="shared" ref="AK11:AN11" si="3">AK12+AK13</f>
        <v>99.867999999999995</v>
      </c>
      <c r="AL11" s="346">
        <f t="shared" si="3"/>
        <v>99.867999999999995</v>
      </c>
      <c r="AM11" s="346">
        <f t="shared" si="3"/>
        <v>99.867999999999995</v>
      </c>
      <c r="AN11" s="346">
        <f t="shared" si="3"/>
        <v>99.867999999999995</v>
      </c>
    </row>
    <row r="12" spans="2:40" ht="16.5" customHeight="1" x14ac:dyDescent="0.25">
      <c r="B12" s="421" t="s">
        <v>403</v>
      </c>
      <c r="C12" s="55"/>
      <c r="D12" s="520"/>
      <c r="E12" s="55"/>
      <c r="F12" s="54">
        <f>F11</f>
        <v>60.5</v>
      </c>
      <c r="G12" s="54">
        <f>G11</f>
        <v>81.400000000000006</v>
      </c>
      <c r="H12" s="54">
        <f t="shared" ref="H12:M12" si="4">H11-H13</f>
        <v>82.1</v>
      </c>
      <c r="I12" s="54">
        <f t="shared" si="4"/>
        <v>80</v>
      </c>
      <c r="J12" s="54">
        <f>J11-J13</f>
        <v>42.299999999999955</v>
      </c>
      <c r="K12" s="54">
        <f t="shared" si="4"/>
        <v>36.700000000000045</v>
      </c>
      <c r="L12" s="54">
        <f>L11-L13</f>
        <v>-22.000000000000114</v>
      </c>
      <c r="M12" s="54">
        <f t="shared" si="4"/>
        <v>210.3</v>
      </c>
      <c r="N12" s="54">
        <f t="shared" ref="N12:T12" si="5">N11-N13</f>
        <v>218.39999999999998</v>
      </c>
      <c r="O12" s="54">
        <f t="shared" si="5"/>
        <v>217.38351999999998</v>
      </c>
      <c r="P12" s="54">
        <f t="shared" si="5"/>
        <v>208.49999999999997</v>
      </c>
      <c r="Q12" s="54">
        <f t="shared" si="5"/>
        <v>90.100000000000009</v>
      </c>
      <c r="R12" s="54">
        <f t="shared" si="5"/>
        <v>75.800000000000011</v>
      </c>
      <c r="S12" s="342">
        <f t="shared" si="5"/>
        <v>75.7</v>
      </c>
      <c r="T12" s="342">
        <f t="shared" si="5"/>
        <v>78.977999999999994</v>
      </c>
      <c r="U12" s="342">
        <f t="shared" ref="U12:V12" si="6">U11-U13</f>
        <v>91.292000000000002</v>
      </c>
      <c r="V12" s="342">
        <f t="shared" si="6"/>
        <v>89.292000000000002</v>
      </c>
      <c r="W12" s="342">
        <f t="shared" ref="W12:AB12" si="7">W11-W13</f>
        <v>91.49199999999999</v>
      </c>
      <c r="X12" s="342">
        <f t="shared" si="7"/>
        <v>89.269000000000005</v>
      </c>
      <c r="Y12" s="342">
        <f t="shared" si="7"/>
        <v>86.468999999999994</v>
      </c>
      <c r="Z12" s="342">
        <f t="shared" si="7"/>
        <v>84.069000000000003</v>
      </c>
      <c r="AA12" s="342">
        <f t="shared" si="7"/>
        <v>82.468999999999994</v>
      </c>
      <c r="AB12" s="342">
        <f t="shared" si="7"/>
        <v>79.036000000000001</v>
      </c>
      <c r="AC12" s="342">
        <f>AC11-AC13</f>
        <v>90.335999999999999</v>
      </c>
      <c r="AD12" s="346">
        <f>AC12</f>
        <v>90.335999999999999</v>
      </c>
      <c r="AE12" s="346">
        <f t="shared" ref="AE12:AF12" si="8">AD12</f>
        <v>90.335999999999999</v>
      </c>
      <c r="AF12" s="346">
        <f t="shared" si="8"/>
        <v>90.335999999999999</v>
      </c>
      <c r="AG12" s="346">
        <f>AF12</f>
        <v>90.335999999999999</v>
      </c>
      <c r="AH12" s="346">
        <f>AG12</f>
        <v>90.335999999999999</v>
      </c>
      <c r="AI12" s="346">
        <f>AH12</f>
        <v>90.335999999999999</v>
      </c>
      <c r="AJ12" s="346">
        <f>AI12</f>
        <v>90.335999999999999</v>
      </c>
      <c r="AK12" s="346">
        <f t="shared" ref="AK12:AN12" si="9">AJ12</f>
        <v>90.335999999999999</v>
      </c>
      <c r="AL12" s="346">
        <f t="shared" si="9"/>
        <v>90.335999999999999</v>
      </c>
      <c r="AM12" s="346">
        <f t="shared" si="9"/>
        <v>90.335999999999999</v>
      </c>
      <c r="AN12" s="346">
        <f t="shared" si="9"/>
        <v>90.335999999999999</v>
      </c>
    </row>
    <row r="13" spans="2:40" x14ac:dyDescent="0.25">
      <c r="B13" s="420" t="s">
        <v>404</v>
      </c>
      <c r="C13" s="55"/>
      <c r="D13" s="520"/>
      <c r="E13" s="55"/>
      <c r="F13" s="528"/>
      <c r="G13" s="528"/>
      <c r="H13" s="54">
        <f>SUM(H16:H25)</f>
        <v>0</v>
      </c>
      <c r="I13" s="54">
        <f>SUM(I16:I25)</f>
        <v>0</v>
      </c>
      <c r="J13" s="54">
        <f t="shared" ref="J13:S13" si="10">SUM(J16:J25)+J14</f>
        <v>989.5</v>
      </c>
      <c r="K13" s="54">
        <f t="shared" si="10"/>
        <v>1126.5999999999999</v>
      </c>
      <c r="L13" s="54">
        <f t="shared" si="10"/>
        <v>538.40000000000009</v>
      </c>
      <c r="M13" s="54">
        <f t="shared" si="10"/>
        <v>307.8</v>
      </c>
      <c r="N13" s="37">
        <f t="shared" si="10"/>
        <v>603.6</v>
      </c>
      <c r="O13" s="37">
        <f>SUM(O16:O25)+O14</f>
        <v>456.01648</v>
      </c>
      <c r="P13" s="37">
        <f>SUM(P16:P25)+P14</f>
        <v>204.9</v>
      </c>
      <c r="Q13" s="37">
        <f t="shared" si="10"/>
        <v>60.7</v>
      </c>
      <c r="R13" s="37">
        <f t="shared" si="10"/>
        <v>53.5</v>
      </c>
      <c r="S13" s="37">
        <f t="shared" si="10"/>
        <v>42.7</v>
      </c>
      <c r="T13" s="37">
        <f t="shared" ref="T13:AB13" si="11">SUM(T16:T27)+T14</f>
        <v>31.822000000000003</v>
      </c>
      <c r="U13" s="37">
        <f t="shared" si="11"/>
        <v>12.508000000000003</v>
      </c>
      <c r="V13" s="37">
        <f t="shared" si="11"/>
        <v>12.508000000000003</v>
      </c>
      <c r="W13" s="37">
        <f>SUM(W16:W27)+W14</f>
        <v>12.508000000000003</v>
      </c>
      <c r="X13" s="37">
        <f>SUM(X16:X27)+X14</f>
        <v>9.6310000000000002</v>
      </c>
      <c r="Y13" s="346">
        <f t="shared" si="11"/>
        <v>9.6310000000000002</v>
      </c>
      <c r="Z13" s="346">
        <f t="shared" si="11"/>
        <v>9.6310000000000002</v>
      </c>
      <c r="AA13" s="346">
        <f t="shared" si="11"/>
        <v>9.6310000000000002</v>
      </c>
      <c r="AB13" s="346">
        <f t="shared" si="11"/>
        <v>14.464</v>
      </c>
      <c r="AC13" s="346">
        <f>SUM(AC16:AC27)+AC14</f>
        <v>14.464</v>
      </c>
      <c r="AD13" s="346">
        <f t="shared" ref="AD13:AE13" si="12">SUM(AD16:AD27)+AD14</f>
        <v>6.4420000000000002</v>
      </c>
      <c r="AE13" s="346">
        <f t="shared" si="12"/>
        <v>6.4420000000000002</v>
      </c>
      <c r="AF13" s="346">
        <f t="shared" ref="AF13:AH13" si="13">SUM(AF16:AF27)+AF14</f>
        <v>9.532</v>
      </c>
      <c r="AG13" s="346">
        <f>SUM(AG16:AG27)+AG14</f>
        <v>9.532</v>
      </c>
      <c r="AH13" s="346">
        <f t="shared" si="13"/>
        <v>9.532</v>
      </c>
      <c r="AI13" s="346">
        <f t="shared" ref="AI13" si="14">SUM(AI16:AI27)+AI14</f>
        <v>9.532</v>
      </c>
      <c r="AJ13" s="346">
        <f>SUM(AJ16:AJ27)+AJ14</f>
        <v>9.532</v>
      </c>
      <c r="AK13" s="346">
        <f>SUM(AK16:AK27)+AK14</f>
        <v>9.532</v>
      </c>
      <c r="AL13" s="346">
        <f t="shared" ref="AL13:AN13" si="15">SUM(AL16:AL27)+AL14</f>
        <v>9.532</v>
      </c>
      <c r="AM13" s="346">
        <f t="shared" si="15"/>
        <v>9.532</v>
      </c>
      <c r="AN13" s="346">
        <f t="shared" si="15"/>
        <v>9.532</v>
      </c>
    </row>
    <row r="14" spans="2:40" x14ac:dyDescent="0.25">
      <c r="B14" s="363" t="s">
        <v>50</v>
      </c>
      <c r="C14" s="36" t="s">
        <v>328</v>
      </c>
      <c r="D14" s="360"/>
      <c r="E14" s="36"/>
      <c r="F14" s="54"/>
      <c r="G14" s="54"/>
      <c r="H14" s="54">
        <f>'Haver Pivoted'!GS49</f>
        <v>0</v>
      </c>
      <c r="I14" s="54">
        <f>'Haver Pivoted'!GT49</f>
        <v>0</v>
      </c>
      <c r="J14" s="54">
        <f>'Haver Pivoted'!GU49</f>
        <v>576.9</v>
      </c>
      <c r="K14" s="54">
        <f>'Haver Pivoted'!GV49</f>
        <v>819.5</v>
      </c>
      <c r="L14" s="54">
        <f>'Haver Pivoted'!GW49</f>
        <v>246.3</v>
      </c>
      <c r="M14" s="54">
        <f>'Haver Pivoted'!GX49</f>
        <v>197</v>
      </c>
      <c r="N14" s="54">
        <f>'Haver Pivoted'!GY49</f>
        <v>441.2</v>
      </c>
      <c r="O14" s="54">
        <f>'Haver Pivoted'!GZ49</f>
        <v>276.7</v>
      </c>
      <c r="P14" s="54">
        <f>'Haver Pivoted'!HA49</f>
        <v>28.2</v>
      </c>
      <c r="Q14" s="54">
        <f>'Haver Pivoted'!HB49</f>
        <v>0</v>
      </c>
      <c r="R14" s="54">
        <f>'Haver Pivoted'!HC49</f>
        <v>0</v>
      </c>
      <c r="S14" s="342">
        <f>'Haver Pivoted'!HD49</f>
        <v>0</v>
      </c>
      <c r="T14" s="342">
        <f>'Haver Pivoted'!HE49</f>
        <v>0</v>
      </c>
      <c r="U14" s="342">
        <f>'Haver Pivoted'!HF49</f>
        <v>0</v>
      </c>
      <c r="V14" s="342">
        <f>'Haver Pivoted'!HG49</f>
        <v>0</v>
      </c>
      <c r="W14" s="538">
        <f>'Haver Pivoted'!HH49</f>
        <v>0</v>
      </c>
      <c r="X14" s="538">
        <f>'Haver Pivoted'!HI49</f>
        <v>0</v>
      </c>
      <c r="Y14" s="538">
        <f>'Haver Pivoted'!HJ49</f>
        <v>0</v>
      </c>
      <c r="Z14" s="538">
        <f>'Haver Pivoted'!HK49</f>
        <v>0</v>
      </c>
      <c r="AA14" s="538">
        <f>'Haver Pivoted'!HL49</f>
        <v>0</v>
      </c>
      <c r="AB14" s="538">
        <f>'Haver Pivoted'!HM49</f>
        <v>0</v>
      </c>
      <c r="AC14" s="538">
        <f>'Haver Pivoted'!HN49</f>
        <v>0</v>
      </c>
      <c r="AD14" s="218"/>
      <c r="AE14" s="218"/>
      <c r="AF14" s="218"/>
      <c r="AG14" s="218"/>
      <c r="AH14" s="218"/>
      <c r="AI14" s="218"/>
      <c r="AJ14" s="218"/>
      <c r="AK14" s="218"/>
      <c r="AL14" s="218"/>
      <c r="AM14" s="218"/>
      <c r="AN14" s="218"/>
    </row>
    <row r="15" spans="2:40" x14ac:dyDescent="0.25">
      <c r="B15" s="420" t="s">
        <v>405</v>
      </c>
      <c r="C15" s="55"/>
      <c r="D15" s="520"/>
      <c r="E15" s="55"/>
      <c r="F15" s="528"/>
      <c r="G15" s="528"/>
      <c r="H15" s="54">
        <f t="shared" ref="H15:AC15" si="16">SUM(H16:H25)</f>
        <v>0</v>
      </c>
      <c r="I15" s="54">
        <f t="shared" si="16"/>
        <v>0</v>
      </c>
      <c r="J15" s="54">
        <f t="shared" si="16"/>
        <v>412.6</v>
      </c>
      <c r="K15" s="54">
        <f t="shared" si="16"/>
        <v>307.10000000000002</v>
      </c>
      <c r="L15" s="54">
        <f t="shared" si="16"/>
        <v>292.10000000000002</v>
      </c>
      <c r="M15" s="54">
        <f t="shared" si="16"/>
        <v>110.8</v>
      </c>
      <c r="N15" s="54">
        <f t="shared" si="16"/>
        <v>162.4</v>
      </c>
      <c r="O15" s="54">
        <f t="shared" si="16"/>
        <v>179.31648000000001</v>
      </c>
      <c r="P15" s="54">
        <f>SUM(P16:P25)</f>
        <v>176.70000000000002</v>
      </c>
      <c r="Q15" s="54">
        <f t="shared" si="16"/>
        <v>60.7</v>
      </c>
      <c r="R15" s="54">
        <f t="shared" si="16"/>
        <v>53.5</v>
      </c>
      <c r="S15" s="54">
        <f t="shared" si="16"/>
        <v>42.7</v>
      </c>
      <c r="T15" s="54">
        <f t="shared" si="16"/>
        <v>28.200000000000003</v>
      </c>
      <c r="U15" s="54">
        <f t="shared" si="16"/>
        <v>8.886000000000001</v>
      </c>
      <c r="V15" s="54">
        <f t="shared" si="16"/>
        <v>8.886000000000001</v>
      </c>
      <c r="W15" s="400">
        <f t="shared" si="16"/>
        <v>8.886000000000001</v>
      </c>
      <c r="X15" s="54">
        <f t="shared" si="16"/>
        <v>0.2</v>
      </c>
      <c r="Y15" s="508">
        <f t="shared" si="16"/>
        <v>0.2</v>
      </c>
      <c r="Z15" s="508">
        <f t="shared" si="16"/>
        <v>0.2</v>
      </c>
      <c r="AA15" s="508">
        <f t="shared" si="16"/>
        <v>0.2</v>
      </c>
      <c r="AB15" s="508">
        <f t="shared" si="16"/>
        <v>0</v>
      </c>
      <c r="AC15" s="508">
        <f t="shared" si="16"/>
        <v>0</v>
      </c>
      <c r="AD15" s="508">
        <f t="shared" ref="AD15:AE15" si="17">SUM(AD16:AD25)</f>
        <v>0</v>
      </c>
      <c r="AE15" s="508">
        <f t="shared" si="17"/>
        <v>0</v>
      </c>
      <c r="AF15" s="508">
        <f t="shared" ref="AF15:AG15" si="18">SUM(AF16:AF25)</f>
        <v>0</v>
      </c>
      <c r="AG15" s="508">
        <f t="shared" si="18"/>
        <v>0</v>
      </c>
      <c r="AH15" s="508"/>
      <c r="AI15" s="508"/>
      <c r="AJ15" s="508"/>
      <c r="AK15" s="508"/>
      <c r="AL15" s="508"/>
      <c r="AM15" s="508"/>
      <c r="AN15" s="508"/>
    </row>
    <row r="16" spans="2:40" x14ac:dyDescent="0.25">
      <c r="B16" s="517" t="s">
        <v>145</v>
      </c>
      <c r="C16" s="39" t="s">
        <v>406</v>
      </c>
      <c r="D16" s="425"/>
      <c r="E16" s="39"/>
      <c r="F16" s="54"/>
      <c r="G16" s="54"/>
      <c r="H16" s="54">
        <f>'Haver Pivoted'!GS53</f>
        <v>0</v>
      </c>
      <c r="I16" s="54">
        <f>'Haver Pivoted'!GT53</f>
        <v>0</v>
      </c>
      <c r="J16" s="54">
        <f>'Haver Pivoted'!GU53</f>
        <v>16.899999999999999</v>
      </c>
      <c r="K16" s="54">
        <f>'Haver Pivoted'!GV53</f>
        <v>18.399999999999999</v>
      </c>
      <c r="L16" s="54">
        <f>'Haver Pivoted'!GW53</f>
        <v>46.2</v>
      </c>
      <c r="M16" s="54">
        <f>'Haver Pivoted'!GX53</f>
        <v>0.9</v>
      </c>
      <c r="N16" s="54">
        <f>'Haver Pivoted'!GY53</f>
        <v>14.1</v>
      </c>
      <c r="O16" s="54">
        <f>'Haver Pivoted'!GZ53</f>
        <v>8.6</v>
      </c>
      <c r="P16" s="54">
        <f>'Haver Pivoted'!HA53</f>
        <v>1.2</v>
      </c>
      <c r="Q16" s="54">
        <f>'Haver Pivoted'!HB53</f>
        <v>0.6</v>
      </c>
      <c r="R16" s="54">
        <f>'Haver Pivoted'!HC53</f>
        <v>0</v>
      </c>
      <c r="S16" s="342">
        <f>'Haver Pivoted'!HD53</f>
        <v>0</v>
      </c>
      <c r="T16" s="342">
        <f>'Haver Pivoted'!HE53</f>
        <v>0</v>
      </c>
      <c r="U16" s="342">
        <f>'Haver Pivoted'!HF53</f>
        <v>0</v>
      </c>
      <c r="V16" s="342">
        <f>'Haver Pivoted'!HG53</f>
        <v>0</v>
      </c>
      <c r="W16" s="538">
        <f>'Haver Pivoted'!HH53</f>
        <v>0</v>
      </c>
      <c r="X16" s="538">
        <f>'Haver Pivoted'!HI53</f>
        <v>0</v>
      </c>
      <c r="Y16" s="538">
        <f>'Haver Pivoted'!HJ53</f>
        <v>0</v>
      </c>
      <c r="Z16" s="538">
        <f>'Haver Pivoted'!HK53</f>
        <v>0</v>
      </c>
      <c r="AA16" s="538">
        <f>'Haver Pivoted'!HL53</f>
        <v>0</v>
      </c>
      <c r="AB16" s="538">
        <f>'Haver Pivoted'!HM53</f>
        <v>0</v>
      </c>
      <c r="AC16" s="538">
        <f>'Haver Pivoted'!HN53</f>
        <v>0</v>
      </c>
      <c r="AD16" s="218"/>
      <c r="AE16" s="218"/>
      <c r="AF16" s="218"/>
      <c r="AG16" s="218"/>
      <c r="AH16" s="218"/>
      <c r="AI16" s="218"/>
      <c r="AJ16" s="218"/>
      <c r="AK16" s="218"/>
      <c r="AL16" s="218"/>
      <c r="AM16" s="218"/>
      <c r="AN16" s="218"/>
    </row>
    <row r="17" spans="2:40" x14ac:dyDescent="0.25">
      <c r="B17" s="517" t="s">
        <v>143</v>
      </c>
      <c r="C17" s="39" t="s">
        <v>407</v>
      </c>
      <c r="D17" s="425"/>
      <c r="E17" s="39"/>
      <c r="F17" s="54"/>
      <c r="G17" s="54"/>
      <c r="H17" s="54">
        <f>'Haver Pivoted'!GS51</f>
        <v>0</v>
      </c>
      <c r="I17" s="54">
        <f>'Haver Pivoted'!GT51</f>
        <v>0</v>
      </c>
      <c r="J17" s="54">
        <f>'Haver Pivoted'!GU51</f>
        <v>73.3</v>
      </c>
      <c r="K17" s="54">
        <f>'Haver Pivoted'!GV51</f>
        <v>73.3</v>
      </c>
      <c r="L17" s="54">
        <f>'Haver Pivoted'!GW51</f>
        <v>73.3</v>
      </c>
      <c r="M17" s="54">
        <f>'Haver Pivoted'!GX51</f>
        <v>39.799999999999997</v>
      </c>
      <c r="N17" s="54">
        <f>'Haver Pivoted'!GY51</f>
        <v>43</v>
      </c>
      <c r="O17" s="54">
        <f>'Haver Pivoted'!GZ51</f>
        <v>45.7</v>
      </c>
      <c r="P17" s="54">
        <f>'Haver Pivoted'!HA51</f>
        <v>51.5</v>
      </c>
      <c r="Q17" s="54">
        <f>'Haver Pivoted'!HB51</f>
        <v>0</v>
      </c>
      <c r="R17" s="54">
        <f>'Haver Pivoted'!HC51</f>
        <v>0</v>
      </c>
      <c r="S17" s="342">
        <f>'Haver Pivoted'!HD51</f>
        <v>0</v>
      </c>
      <c r="T17" s="342">
        <f>'Haver Pivoted'!HE51</f>
        <v>0</v>
      </c>
      <c r="U17" s="342">
        <f>'Haver Pivoted'!HF51</f>
        <v>0</v>
      </c>
      <c r="V17" s="342">
        <f>'Haver Pivoted'!HG51</f>
        <v>0</v>
      </c>
      <c r="W17" s="538">
        <f>'Haver Pivoted'!HH51</f>
        <v>0</v>
      </c>
      <c r="X17" s="538">
        <f>'Haver Pivoted'!HI51</f>
        <v>0</v>
      </c>
      <c r="Y17" s="538">
        <f>'Haver Pivoted'!HJ51</f>
        <v>0</v>
      </c>
      <c r="Z17" s="538">
        <f>'Haver Pivoted'!HK51</f>
        <v>0</v>
      </c>
      <c r="AA17" s="538">
        <f>'Haver Pivoted'!HL51</f>
        <v>0</v>
      </c>
      <c r="AB17" s="538">
        <f>'Haver Pivoted'!HM51</f>
        <v>0</v>
      </c>
      <c r="AC17" s="538">
        <f>'Haver Pivoted'!HN51</f>
        <v>0</v>
      </c>
      <c r="AD17" s="346">
        <f t="shared" ref="AD17" si="19">AC17</f>
        <v>0</v>
      </c>
      <c r="AE17" s="346">
        <f t="shared" ref="AE17" si="20">AD17</f>
        <v>0</v>
      </c>
      <c r="AF17" s="346">
        <f t="shared" ref="AF17" si="21">AE17</f>
        <v>0</v>
      </c>
      <c r="AG17" s="346">
        <f t="shared" ref="AG17:AH17" si="22">AF17</f>
        <v>0</v>
      </c>
      <c r="AH17" s="346">
        <f t="shared" si="22"/>
        <v>0</v>
      </c>
      <c r="AI17" s="346">
        <f t="shared" ref="AI17" si="23">AH17</f>
        <v>0</v>
      </c>
      <c r="AJ17" s="346">
        <f t="shared" ref="AJ17" si="24">AI17</f>
        <v>0</v>
      </c>
      <c r="AK17" s="346">
        <f t="shared" ref="AK17" si="25">AJ17</f>
        <v>0</v>
      </c>
      <c r="AL17" s="346">
        <f t="shared" ref="AL17" si="26">AK17</f>
        <v>0</v>
      </c>
      <c r="AM17" s="346">
        <f t="shared" ref="AM17" si="27">AL17</f>
        <v>0</v>
      </c>
      <c r="AN17" s="346">
        <f t="shared" ref="AN17" si="28">AM17</f>
        <v>0</v>
      </c>
    </row>
    <row r="18" spans="2:40" x14ac:dyDescent="0.25">
      <c r="B18" s="517" t="s">
        <v>142</v>
      </c>
      <c r="C18" s="36" t="s">
        <v>408</v>
      </c>
      <c r="D18" s="360"/>
      <c r="E18" s="36"/>
      <c r="F18" s="54"/>
      <c r="G18" s="54"/>
      <c r="H18" s="54">
        <f>'Haver Pivoted'!GS50</f>
        <v>0</v>
      </c>
      <c r="I18" s="54">
        <f>'Haver Pivoted'!GT50</f>
        <v>0</v>
      </c>
      <c r="J18" s="54">
        <f>'Haver Pivoted'!GU50</f>
        <v>63.8</v>
      </c>
      <c r="K18" s="54">
        <f>'Haver Pivoted'!GV50</f>
        <v>15</v>
      </c>
      <c r="L18" s="54">
        <f>'Haver Pivoted'!GW50</f>
        <v>0.1</v>
      </c>
      <c r="M18" s="54">
        <f>'Haver Pivoted'!GX50</f>
        <v>38</v>
      </c>
      <c r="N18" s="54">
        <f>'Haver Pivoted'!GY50</f>
        <v>47.3</v>
      </c>
      <c r="O18" s="54">
        <f>'Haver Pivoted'!GZ50</f>
        <v>0.7</v>
      </c>
      <c r="P18" s="54">
        <f>'Haver Pivoted'!HA50</f>
        <v>0</v>
      </c>
      <c r="Q18" s="54">
        <f>'Haver Pivoted'!HB50</f>
        <v>0.3</v>
      </c>
      <c r="R18" s="54">
        <f>'Haver Pivoted'!HC50</f>
        <v>0.2</v>
      </c>
      <c r="S18" s="342">
        <f>'Haver Pivoted'!HD50</f>
        <v>0.3</v>
      </c>
      <c r="T18" s="342">
        <f>'Haver Pivoted'!HE50</f>
        <v>0.4</v>
      </c>
      <c r="U18" s="342">
        <f>'Haver Pivoted'!HF50</f>
        <v>0</v>
      </c>
      <c r="V18" s="342">
        <f>'Haver Pivoted'!HG50</f>
        <v>0</v>
      </c>
      <c r="W18" s="538">
        <f>'Haver Pivoted'!HH50</f>
        <v>0</v>
      </c>
      <c r="X18" s="538">
        <f>'Haver Pivoted'!HI50</f>
        <v>0</v>
      </c>
      <c r="Y18" s="538">
        <f>'Haver Pivoted'!HJ50</f>
        <v>0</v>
      </c>
      <c r="Z18" s="538">
        <f>'Haver Pivoted'!HK50</f>
        <v>0</v>
      </c>
      <c r="AA18" s="538">
        <f>'Haver Pivoted'!HL50</f>
        <v>0</v>
      </c>
      <c r="AB18" s="538">
        <f>'Haver Pivoted'!HM50</f>
        <v>0</v>
      </c>
      <c r="AC18" s="538">
        <f>'Haver Pivoted'!HN50</f>
        <v>0</v>
      </c>
      <c r="AD18" s="346">
        <f t="shared" ref="AD18:AE18" si="29">AD30</f>
        <v>0</v>
      </c>
      <c r="AE18" s="346">
        <f t="shared" si="29"/>
        <v>0</v>
      </c>
      <c r="AF18" s="346">
        <f t="shared" ref="AF18:AG18" si="30">AF30</f>
        <v>0</v>
      </c>
      <c r="AG18" s="346">
        <f t="shared" si="30"/>
        <v>0</v>
      </c>
      <c r="AH18" s="346">
        <f t="shared" ref="AH18:AJ18" si="31">AH30</f>
        <v>0</v>
      </c>
      <c r="AI18" s="346">
        <f t="shared" si="31"/>
        <v>0</v>
      </c>
      <c r="AJ18" s="346">
        <f t="shared" si="31"/>
        <v>0</v>
      </c>
      <c r="AK18" s="346">
        <f t="shared" ref="AK18:AN18" si="32">AK30</f>
        <v>0</v>
      </c>
      <c r="AL18" s="346">
        <f t="shared" si="32"/>
        <v>0</v>
      </c>
      <c r="AM18" s="346">
        <f t="shared" si="32"/>
        <v>0</v>
      </c>
      <c r="AN18" s="346">
        <f t="shared" si="32"/>
        <v>0</v>
      </c>
    </row>
    <row r="19" spans="2:40" x14ac:dyDescent="0.25">
      <c r="B19" s="517" t="s">
        <v>409</v>
      </c>
      <c r="C19" s="36" t="s">
        <v>308</v>
      </c>
      <c r="D19" s="360"/>
      <c r="E19" s="36"/>
      <c r="F19" s="54"/>
      <c r="G19" s="54"/>
      <c r="H19" s="54">
        <f>'Haver Pivoted'!GS54</f>
        <v>0</v>
      </c>
      <c r="I19" s="54">
        <f>'Haver Pivoted'!GT54</f>
        <v>0</v>
      </c>
      <c r="J19" s="54">
        <f>'Haver Pivoted'!GU54</f>
        <v>96.6</v>
      </c>
      <c r="K19" s="54">
        <f>'Haver Pivoted'!GV54</f>
        <v>35.1</v>
      </c>
      <c r="L19" s="54">
        <f>'Haver Pivoted'!GW54</f>
        <v>20.7</v>
      </c>
      <c r="M19" s="54">
        <f>'Haver Pivoted'!GX54</f>
        <v>15.4</v>
      </c>
      <c r="N19" s="54">
        <f>'Haver Pivoted'!GY54</f>
        <v>9.6</v>
      </c>
      <c r="O19" s="54">
        <f>'Haver Pivoted'!GZ54</f>
        <v>13.5</v>
      </c>
      <c r="P19" s="54">
        <f>'Haver Pivoted'!HA54</f>
        <v>23.2</v>
      </c>
      <c r="Q19" s="54">
        <f>'Haver Pivoted'!HB54</f>
        <v>19.3</v>
      </c>
      <c r="R19" s="54">
        <f>'Haver Pivoted'!HC54</f>
        <v>14.4</v>
      </c>
      <c r="S19" s="342">
        <f>'Haver Pivoted'!HD54</f>
        <v>5.9</v>
      </c>
      <c r="T19" s="342">
        <f>'Haver Pivoted'!HE54</f>
        <v>3.6</v>
      </c>
      <c r="U19" s="342">
        <f>'Haver Pivoted'!HF54</f>
        <v>0</v>
      </c>
      <c r="V19" s="342">
        <f>'Haver Pivoted'!HG54</f>
        <v>0</v>
      </c>
      <c r="W19" s="538">
        <f>'Haver Pivoted'!HH54</f>
        <v>0</v>
      </c>
      <c r="X19" s="538">
        <f>'Haver Pivoted'!HI54</f>
        <v>0</v>
      </c>
      <c r="Y19" s="538">
        <f>'Haver Pivoted'!HJ54</f>
        <v>0</v>
      </c>
      <c r="Z19" s="538">
        <f>'Haver Pivoted'!HK54</f>
        <v>0</v>
      </c>
      <c r="AA19" s="538">
        <f>'Haver Pivoted'!HL54</f>
        <v>0</v>
      </c>
      <c r="AB19" s="538">
        <f>'Haver Pivoted'!HM54</f>
        <v>0</v>
      </c>
      <c r="AC19" s="538">
        <f>'Haver Pivoted'!HN54</f>
        <v>0</v>
      </c>
      <c r="AD19" s="218"/>
      <c r="AE19" s="218"/>
      <c r="AF19" s="218"/>
      <c r="AG19" s="218"/>
      <c r="AH19" s="218"/>
      <c r="AI19" s="218"/>
      <c r="AJ19" s="218"/>
      <c r="AK19" s="218"/>
      <c r="AL19" s="218"/>
      <c r="AM19" s="218"/>
      <c r="AN19" s="218"/>
    </row>
    <row r="20" spans="2:40" x14ac:dyDescent="0.25">
      <c r="B20" s="517" t="s">
        <v>144</v>
      </c>
      <c r="C20" s="36" t="s">
        <v>410</v>
      </c>
      <c r="D20" s="360"/>
      <c r="E20" s="36"/>
      <c r="F20" s="54"/>
      <c r="G20" s="54"/>
      <c r="H20" s="54">
        <f>'Haver Pivoted'!GS52</f>
        <v>0</v>
      </c>
      <c r="I20" s="54">
        <f>'Haver Pivoted'!GT52</f>
        <v>0</v>
      </c>
      <c r="J20" s="54">
        <f>'Haver Pivoted'!GU52</f>
        <v>22</v>
      </c>
      <c r="K20" s="54">
        <f>'Haver Pivoted'!GV52</f>
        <v>25.3</v>
      </c>
      <c r="L20" s="54">
        <f>'Haver Pivoted'!GW52</f>
        <v>11.8</v>
      </c>
      <c r="M20" s="54">
        <f>'Haver Pivoted'!GX52</f>
        <v>11.9</v>
      </c>
      <c r="N20" s="54">
        <f>'Haver Pivoted'!GY52</f>
        <v>11.3</v>
      </c>
      <c r="O20" s="54">
        <f>'Haver Pivoted'!GZ52</f>
        <v>13.6</v>
      </c>
      <c r="P20" s="54">
        <f>'Haver Pivoted'!HA52</f>
        <v>19</v>
      </c>
      <c r="Q20" s="54">
        <f>'Haver Pivoted'!HB52</f>
        <v>21.8</v>
      </c>
      <c r="R20" s="54">
        <f>'Haver Pivoted'!HC52</f>
        <v>22.3</v>
      </c>
      <c r="S20" s="342">
        <f>'Haver Pivoted'!HD52</f>
        <v>20.2</v>
      </c>
      <c r="T20" s="342">
        <f>'Haver Pivoted'!HE52</f>
        <v>15.8</v>
      </c>
      <c r="U20" s="37">
        <f t="shared" ref="U20:AC20" si="33">U37</f>
        <v>0.48599999999999993</v>
      </c>
      <c r="V20" s="37">
        <f t="shared" si="33"/>
        <v>0.48599999999999993</v>
      </c>
      <c r="W20" s="400">
        <f t="shared" si="33"/>
        <v>0.48599999999999993</v>
      </c>
      <c r="X20" s="37">
        <f t="shared" si="33"/>
        <v>0</v>
      </c>
      <c r="Y20" s="346">
        <f t="shared" si="33"/>
        <v>0</v>
      </c>
      <c r="Z20" s="346">
        <f t="shared" si="33"/>
        <v>0</v>
      </c>
      <c r="AA20" s="346">
        <f t="shared" si="33"/>
        <v>0</v>
      </c>
      <c r="AB20" s="346">
        <f t="shared" si="33"/>
        <v>0</v>
      </c>
      <c r="AC20" s="346">
        <f t="shared" si="33"/>
        <v>0</v>
      </c>
      <c r="AD20" s="346">
        <f t="shared" ref="AD20:AE20" si="34">AD37</f>
        <v>0</v>
      </c>
      <c r="AE20" s="346">
        <f t="shared" si="34"/>
        <v>0</v>
      </c>
      <c r="AF20" s="346">
        <f t="shared" ref="AF20:AG20" si="35">AF37</f>
        <v>0</v>
      </c>
      <c r="AG20" s="346">
        <f t="shared" si="35"/>
        <v>0</v>
      </c>
      <c r="AH20" s="346">
        <f t="shared" ref="AH20:AJ20" si="36">AH37</f>
        <v>0</v>
      </c>
      <c r="AI20" s="346">
        <f t="shared" si="36"/>
        <v>0</v>
      </c>
      <c r="AJ20" s="346">
        <f t="shared" si="36"/>
        <v>0</v>
      </c>
      <c r="AK20" s="346">
        <f t="shared" ref="AK20:AN20" si="37">AK37</f>
        <v>0</v>
      </c>
      <c r="AL20" s="346">
        <f t="shared" si="37"/>
        <v>0</v>
      </c>
      <c r="AM20" s="346">
        <f t="shared" si="37"/>
        <v>0</v>
      </c>
      <c r="AN20" s="346">
        <f t="shared" si="37"/>
        <v>0</v>
      </c>
    </row>
    <row r="21" spans="2:40" x14ac:dyDescent="0.25">
      <c r="B21" s="517" t="s">
        <v>148</v>
      </c>
      <c r="C21" s="36" t="s">
        <v>411</v>
      </c>
      <c r="D21" s="360"/>
      <c r="E21" s="36"/>
      <c r="F21" s="54"/>
      <c r="G21" s="54"/>
      <c r="H21" s="54">
        <f>'Haver Pivoted'!GS55</f>
        <v>0</v>
      </c>
      <c r="I21" s="54">
        <f>'Haver Pivoted'!GT55</f>
        <v>0</v>
      </c>
      <c r="J21" s="54">
        <f>'Haver Pivoted'!GU55</f>
        <v>140</v>
      </c>
      <c r="K21" s="54">
        <f>'Haver Pivoted'!GV55</f>
        <v>140</v>
      </c>
      <c r="L21" s="54">
        <f>'Haver Pivoted'!GW55</f>
        <v>140</v>
      </c>
      <c r="M21" s="54">
        <f>'Haver Pivoted'!GX55</f>
        <v>4.8</v>
      </c>
      <c r="N21" s="54">
        <f>'Haver Pivoted'!GY55</f>
        <v>4.4000000000000004</v>
      </c>
      <c r="O21" s="54">
        <f>'Haver Pivoted'!GZ55</f>
        <v>5.3</v>
      </c>
      <c r="P21" s="54">
        <f>'Haver Pivoted'!HA55</f>
        <v>4.7</v>
      </c>
      <c r="Q21" s="54">
        <f>'Haver Pivoted'!HB55</f>
        <v>0</v>
      </c>
      <c r="R21" s="54">
        <f>'Haver Pivoted'!HC55</f>
        <v>0</v>
      </c>
      <c r="S21" s="342">
        <f>'Haver Pivoted'!HD55</f>
        <v>0</v>
      </c>
      <c r="T21" s="342">
        <f>'Haver Pivoted'!HE55</f>
        <v>0</v>
      </c>
      <c r="U21" s="342">
        <f>'Haver Pivoted'!HF55</f>
        <v>0</v>
      </c>
      <c r="V21" s="342">
        <f>'Haver Pivoted'!HG55</f>
        <v>0</v>
      </c>
      <c r="W21" s="538">
        <f>'Haver Pivoted'!HH55</f>
        <v>0</v>
      </c>
      <c r="X21" s="538">
        <f>'Haver Pivoted'!HI55</f>
        <v>0</v>
      </c>
      <c r="Y21" s="538">
        <f>'Haver Pivoted'!HJ55</f>
        <v>0</v>
      </c>
      <c r="Z21" s="538">
        <f>'Haver Pivoted'!HK55</f>
        <v>0</v>
      </c>
      <c r="AA21" s="538">
        <f>'Haver Pivoted'!HL55</f>
        <v>0</v>
      </c>
      <c r="AB21" s="538">
        <f>'Haver Pivoted'!HM55</f>
        <v>0</v>
      </c>
      <c r="AC21" s="538">
        <f>'Haver Pivoted'!HN55</f>
        <v>0</v>
      </c>
      <c r="AD21" s="346">
        <f t="shared" ref="AD21" si="38">AC21</f>
        <v>0</v>
      </c>
      <c r="AE21" s="346">
        <f t="shared" ref="AE21" si="39">AD21</f>
        <v>0</v>
      </c>
      <c r="AF21" s="346">
        <f t="shared" ref="AF21" si="40">AE21</f>
        <v>0</v>
      </c>
      <c r="AG21" s="346">
        <f t="shared" ref="AG21:AH21" si="41">AF21</f>
        <v>0</v>
      </c>
      <c r="AH21" s="346">
        <f t="shared" si="41"/>
        <v>0</v>
      </c>
      <c r="AI21" s="346">
        <f t="shared" ref="AI21" si="42">AH21</f>
        <v>0</v>
      </c>
      <c r="AJ21" s="346">
        <f t="shared" ref="AJ21" si="43">AI21</f>
        <v>0</v>
      </c>
      <c r="AK21" s="346">
        <f t="shared" ref="AK21" si="44">AJ21</f>
        <v>0</v>
      </c>
      <c r="AL21" s="346">
        <f t="shared" ref="AL21" si="45">AK21</f>
        <v>0</v>
      </c>
      <c r="AM21" s="346">
        <f t="shared" ref="AM21" si="46">AL21</f>
        <v>0</v>
      </c>
      <c r="AN21" s="346">
        <f t="shared" ref="AN21" si="47">AM21</f>
        <v>0</v>
      </c>
    </row>
    <row r="22" spans="2:40" x14ac:dyDescent="0.25">
      <c r="B22" s="517" t="s">
        <v>412</v>
      </c>
      <c r="C22" s="36" t="s">
        <v>785</v>
      </c>
      <c r="D22" s="372"/>
      <c r="E22" s="54"/>
      <c r="F22" s="54"/>
      <c r="G22" s="54"/>
      <c r="H22" s="54"/>
      <c r="I22" s="54"/>
      <c r="J22" s="54"/>
      <c r="K22" s="54"/>
      <c r="L22" s="54"/>
      <c r="M22" s="54"/>
      <c r="N22" s="54">
        <f>'Haver Pivoted'!GY87</f>
        <v>11.3</v>
      </c>
      <c r="O22" s="54">
        <f>'Haver Pivoted'!GZ87</f>
        <v>10.4</v>
      </c>
      <c r="P22" s="54">
        <f>'Haver Pivoted'!HA87</f>
        <v>5.3</v>
      </c>
      <c r="Q22" s="54">
        <f>'Haver Pivoted'!HB87</f>
        <v>2.4</v>
      </c>
      <c r="R22" s="54">
        <f>'Haver Pivoted'!HC87</f>
        <v>0.3</v>
      </c>
      <c r="S22" s="342">
        <f>'Haver Pivoted'!HD87</f>
        <v>0</v>
      </c>
      <c r="T22" s="342">
        <f>'Haver Pivoted'!HE87</f>
        <v>0</v>
      </c>
      <c r="U22" s="342">
        <f>'Haver Pivoted'!HF87</f>
        <v>0</v>
      </c>
      <c r="V22" s="342">
        <f>'Haver Pivoted'!HG87</f>
        <v>0</v>
      </c>
      <c r="W22" s="538">
        <f>'Haver Pivoted'!HH87</f>
        <v>0</v>
      </c>
      <c r="X22" s="538">
        <f>'Haver Pivoted'!HI87</f>
        <v>0</v>
      </c>
      <c r="Y22" s="538">
        <f>'Haver Pivoted'!HJ87</f>
        <v>0</v>
      </c>
      <c r="Z22" s="538">
        <f>'Haver Pivoted'!HK87</f>
        <v>0</v>
      </c>
      <c r="AA22" s="538">
        <f>'Haver Pivoted'!HL87</f>
        <v>0</v>
      </c>
      <c r="AB22" s="538">
        <f>'Haver Pivoted'!HM87</f>
        <v>0</v>
      </c>
      <c r="AC22" s="538">
        <f>'Haver Pivoted'!HN87</f>
        <v>0</v>
      </c>
      <c r="AD22" s="346">
        <v>0</v>
      </c>
      <c r="AE22" s="346">
        <v>0</v>
      </c>
      <c r="AF22" s="346">
        <v>0</v>
      </c>
      <c r="AG22" s="346">
        <v>0</v>
      </c>
      <c r="AH22" s="346">
        <v>0</v>
      </c>
      <c r="AI22" s="346">
        <v>0</v>
      </c>
      <c r="AJ22" s="346">
        <v>0</v>
      </c>
      <c r="AK22" s="346">
        <v>0</v>
      </c>
      <c r="AL22" s="346">
        <v>0</v>
      </c>
      <c r="AM22" s="346">
        <v>0</v>
      </c>
      <c r="AN22" s="346">
        <v>0</v>
      </c>
    </row>
    <row r="23" spans="2:40" x14ac:dyDescent="0.25">
      <c r="B23" s="517" t="s">
        <v>413</v>
      </c>
      <c r="C23" s="36" t="s">
        <v>784</v>
      </c>
      <c r="D23" s="360"/>
      <c r="E23" s="36"/>
      <c r="F23" s="54"/>
      <c r="G23" s="529"/>
      <c r="H23" s="54"/>
      <c r="I23" s="54"/>
      <c r="J23" s="54"/>
      <c r="K23" s="54"/>
      <c r="L23" s="54"/>
      <c r="M23" s="54"/>
      <c r="N23" s="54">
        <f>'Haver Pivoted'!GY86</f>
        <v>21.4</v>
      </c>
      <c r="O23" s="54">
        <f>'Haver Pivoted'!GZ86</f>
        <v>57</v>
      </c>
      <c r="P23" s="54">
        <f>'Haver Pivoted'!HA86</f>
        <v>35.5</v>
      </c>
      <c r="Q23" s="54">
        <f>'Haver Pivoted'!HB86</f>
        <v>0</v>
      </c>
      <c r="R23" s="54">
        <f>'Haver Pivoted'!HC86</f>
        <v>0</v>
      </c>
      <c r="S23" s="342">
        <f>'Haver Pivoted'!HD86</f>
        <v>0</v>
      </c>
      <c r="T23" s="342">
        <f>'Haver Pivoted'!HE86</f>
        <v>0</v>
      </c>
      <c r="U23" s="342">
        <f>'Haver Pivoted'!HF86</f>
        <v>0</v>
      </c>
      <c r="V23" s="342">
        <f>'Haver Pivoted'!HG86</f>
        <v>0</v>
      </c>
      <c r="W23" s="538">
        <f>'Haver Pivoted'!HH86</f>
        <v>0</v>
      </c>
      <c r="X23" s="538">
        <f>'Haver Pivoted'!HI86</f>
        <v>0</v>
      </c>
      <c r="Y23" s="538">
        <f>'Haver Pivoted'!HJ86</f>
        <v>0</v>
      </c>
      <c r="Z23" s="538">
        <f>'Haver Pivoted'!HK86</f>
        <v>0</v>
      </c>
      <c r="AA23" s="538">
        <f>'Haver Pivoted'!HL86</f>
        <v>0</v>
      </c>
      <c r="AB23" s="538">
        <f>'Haver Pivoted'!HM86</f>
        <v>0</v>
      </c>
      <c r="AC23" s="538">
        <f>'Haver Pivoted'!HN86</f>
        <v>0</v>
      </c>
      <c r="AD23" s="346">
        <f t="shared" ref="AD23" si="48">AC23</f>
        <v>0</v>
      </c>
      <c r="AE23" s="346">
        <f t="shared" ref="AE23" si="49">AD23</f>
        <v>0</v>
      </c>
      <c r="AF23" s="346">
        <f t="shared" ref="AF23" si="50">AE23</f>
        <v>0</v>
      </c>
      <c r="AG23" s="346">
        <f t="shared" ref="AG23:AH23" si="51">AF23</f>
        <v>0</v>
      </c>
      <c r="AH23" s="346">
        <f t="shared" si="51"/>
        <v>0</v>
      </c>
      <c r="AI23" s="346">
        <f t="shared" ref="AI23" si="52">AH23</f>
        <v>0</v>
      </c>
      <c r="AJ23" s="346">
        <f t="shared" ref="AJ23" si="53">AI23</f>
        <v>0</v>
      </c>
      <c r="AK23" s="346">
        <f t="shared" ref="AK23" si="54">AJ23</f>
        <v>0</v>
      </c>
      <c r="AL23" s="346">
        <f t="shared" ref="AL23" si="55">AK23</f>
        <v>0</v>
      </c>
      <c r="AM23" s="346">
        <f t="shared" ref="AM23" si="56">AL23</f>
        <v>0</v>
      </c>
      <c r="AN23" s="346">
        <f t="shared" ref="AN23" si="57">AM23</f>
        <v>0</v>
      </c>
    </row>
    <row r="24" spans="2:40" x14ac:dyDescent="0.25">
      <c r="B24" s="517" t="s">
        <v>414</v>
      </c>
      <c r="C24" s="36"/>
      <c r="D24" s="360"/>
      <c r="E24" s="36"/>
      <c r="F24" s="54"/>
      <c r="G24" s="54"/>
      <c r="H24" s="54"/>
      <c r="I24" s="54"/>
      <c r="J24" s="54"/>
      <c r="K24" s="54"/>
      <c r="L24" s="54"/>
      <c r="M24" s="54"/>
      <c r="N24" s="54"/>
      <c r="O24" s="37">
        <f>O41+O42</f>
        <v>12.51648</v>
      </c>
      <c r="P24" s="37">
        <f>P41+P42</f>
        <v>11.3</v>
      </c>
      <c r="Q24" s="37">
        <f t="shared" ref="Q24:AC24" si="58">Q41+Q42</f>
        <v>11.3</v>
      </c>
      <c r="R24" s="37">
        <f t="shared" si="58"/>
        <v>11.3</v>
      </c>
      <c r="S24" s="37">
        <f t="shared" si="58"/>
        <v>11.3</v>
      </c>
      <c r="T24" s="37">
        <f t="shared" si="58"/>
        <v>8.4</v>
      </c>
      <c r="U24" s="37">
        <f t="shared" si="58"/>
        <v>8.4</v>
      </c>
      <c r="V24" s="37">
        <f t="shared" si="58"/>
        <v>8.4</v>
      </c>
      <c r="W24" s="400">
        <f t="shared" si="58"/>
        <v>8.4</v>
      </c>
      <c r="X24" s="37">
        <f t="shared" si="58"/>
        <v>0.2</v>
      </c>
      <c r="Y24" s="346">
        <f t="shared" si="58"/>
        <v>0.2</v>
      </c>
      <c r="Z24" s="346">
        <f t="shared" si="58"/>
        <v>0.2</v>
      </c>
      <c r="AA24" s="346">
        <f t="shared" si="58"/>
        <v>0.2</v>
      </c>
      <c r="AB24" s="346">
        <f t="shared" si="58"/>
        <v>0</v>
      </c>
      <c r="AC24" s="346">
        <f t="shared" si="58"/>
        <v>0</v>
      </c>
      <c r="AD24" s="346">
        <f t="shared" ref="AD24:AE24" si="59">AD41+AD42</f>
        <v>0</v>
      </c>
      <c r="AE24" s="346">
        <f t="shared" si="59"/>
        <v>0</v>
      </c>
      <c r="AF24" s="346">
        <f t="shared" ref="AF24:AG24" si="60">AF41+AF42</f>
        <v>0</v>
      </c>
      <c r="AG24" s="346">
        <f t="shared" si="60"/>
        <v>0</v>
      </c>
      <c r="AH24" s="346">
        <f t="shared" ref="AH24:AJ24" si="61">AH41+AH42</f>
        <v>0</v>
      </c>
      <c r="AI24" s="346">
        <f t="shared" si="61"/>
        <v>0</v>
      </c>
      <c r="AJ24" s="346">
        <f t="shared" si="61"/>
        <v>0</v>
      </c>
      <c r="AK24" s="346">
        <f t="shared" ref="AK24:AN24" si="62">AK41+AK42</f>
        <v>0</v>
      </c>
      <c r="AL24" s="346">
        <f t="shared" si="62"/>
        <v>0</v>
      </c>
      <c r="AM24" s="346">
        <f t="shared" si="62"/>
        <v>0</v>
      </c>
      <c r="AN24" s="346">
        <f t="shared" si="62"/>
        <v>0</v>
      </c>
    </row>
    <row r="25" spans="2:40" x14ac:dyDescent="0.25">
      <c r="B25" s="517" t="s">
        <v>415</v>
      </c>
      <c r="C25" s="36"/>
      <c r="D25" s="360"/>
      <c r="E25" s="36"/>
      <c r="F25" s="37"/>
      <c r="G25" s="37"/>
      <c r="H25" s="234"/>
      <c r="I25" s="234"/>
      <c r="J25" s="234"/>
      <c r="K25" s="234"/>
      <c r="L25" s="234"/>
      <c r="M25" s="234"/>
      <c r="N25" s="37"/>
      <c r="O25" s="37">
        <f>O34</f>
        <v>12</v>
      </c>
      <c r="P25" s="37">
        <v>25</v>
      </c>
      <c r="Q25" s="37">
        <v>5</v>
      </c>
      <c r="R25" s="37">
        <v>5</v>
      </c>
      <c r="S25" s="37">
        <v>5</v>
      </c>
      <c r="T25" s="37">
        <f t="shared" ref="T25:AC25" si="63">T34</f>
        <v>0</v>
      </c>
      <c r="U25" s="37">
        <f t="shared" si="63"/>
        <v>0</v>
      </c>
      <c r="V25" s="37">
        <f t="shared" si="63"/>
        <v>0</v>
      </c>
      <c r="W25" s="400">
        <f t="shared" si="63"/>
        <v>0</v>
      </c>
      <c r="X25" s="37">
        <f t="shared" si="63"/>
        <v>0</v>
      </c>
      <c r="Y25" s="346">
        <f t="shared" si="63"/>
        <v>0</v>
      </c>
      <c r="Z25" s="346">
        <f t="shared" si="63"/>
        <v>0</v>
      </c>
      <c r="AA25" s="346">
        <f t="shared" si="63"/>
        <v>0</v>
      </c>
      <c r="AB25" s="346">
        <f t="shared" si="63"/>
        <v>0</v>
      </c>
      <c r="AC25" s="346">
        <f t="shared" si="63"/>
        <v>0</v>
      </c>
      <c r="AD25" s="346">
        <f t="shared" ref="AD25:AE25" si="64">AD34</f>
        <v>0</v>
      </c>
      <c r="AE25" s="346">
        <f t="shared" si="64"/>
        <v>0</v>
      </c>
      <c r="AF25" s="346">
        <f t="shared" ref="AF25:AG25" si="65">AF34</f>
        <v>0</v>
      </c>
      <c r="AG25" s="346">
        <f t="shared" si="65"/>
        <v>0</v>
      </c>
      <c r="AH25" s="346">
        <f t="shared" ref="AH25:AJ25" si="66">AH34</f>
        <v>0</v>
      </c>
      <c r="AI25" s="346">
        <f t="shared" si="66"/>
        <v>0</v>
      </c>
      <c r="AJ25" s="346">
        <f t="shared" si="66"/>
        <v>0</v>
      </c>
      <c r="AK25" s="346">
        <f t="shared" ref="AK25:AN25" si="67">AK34</f>
        <v>0</v>
      </c>
      <c r="AL25" s="346">
        <f t="shared" si="67"/>
        <v>0</v>
      </c>
      <c r="AM25" s="346">
        <f t="shared" si="67"/>
        <v>0</v>
      </c>
      <c r="AN25" s="346">
        <f t="shared" si="67"/>
        <v>0</v>
      </c>
    </row>
    <row r="26" spans="2:40" x14ac:dyDescent="0.25">
      <c r="B26" s="517" t="s">
        <v>1371</v>
      </c>
      <c r="C26" s="36"/>
      <c r="D26" s="360"/>
      <c r="E26" s="36"/>
      <c r="F26" s="37"/>
      <c r="G26" s="37"/>
      <c r="H26" s="234"/>
      <c r="I26" s="234"/>
      <c r="J26" s="234"/>
      <c r="K26" s="234"/>
      <c r="L26" s="234"/>
      <c r="M26" s="234"/>
      <c r="N26" s="37"/>
      <c r="O26" s="37"/>
      <c r="P26" s="37"/>
      <c r="Q26" s="37"/>
      <c r="R26" s="37"/>
      <c r="S26" s="499">
        <f>'IRA and CHIPS'!E198</f>
        <v>0</v>
      </c>
      <c r="T26" s="499">
        <f>'IRA and CHIPS'!F198</f>
        <v>2.3250000000000002</v>
      </c>
      <c r="U26" s="499">
        <f>'IRA and CHIPS'!G198</f>
        <v>2.3250000000000002</v>
      </c>
      <c r="V26" s="499">
        <f>'IRA and CHIPS'!H198</f>
        <v>2.3250000000000002</v>
      </c>
      <c r="W26" s="495">
        <f>'IRA and CHIPS'!I198</f>
        <v>2.3250000000000002</v>
      </c>
      <c r="X26" s="499">
        <f>'IRA and CHIPS'!J198</f>
        <v>5.5830000000000002</v>
      </c>
      <c r="Y26" s="509">
        <f>'IRA and CHIPS'!K198</f>
        <v>5.5830000000000002</v>
      </c>
      <c r="Z26" s="509">
        <f>'IRA and CHIPS'!L198</f>
        <v>5.5830000000000002</v>
      </c>
      <c r="AA26" s="509">
        <f>'IRA and CHIPS'!M198</f>
        <v>5.5830000000000002</v>
      </c>
      <c r="AB26" s="509">
        <f>'IRA and CHIPS'!N198</f>
        <v>8.0220000000000002</v>
      </c>
      <c r="AC26" s="509">
        <f>'IRA and CHIPS'!O198</f>
        <v>8.0220000000000002</v>
      </c>
      <c r="AD26" s="509">
        <f>'IRA and CHIPS'!P198</f>
        <v>0</v>
      </c>
      <c r="AE26" s="509">
        <f>'IRA and CHIPS'!Q198</f>
        <v>0</v>
      </c>
      <c r="AF26" s="509">
        <f>'IRA and CHIPS'!R198</f>
        <v>0</v>
      </c>
      <c r="AG26" s="509">
        <f>'IRA and CHIPS'!S198</f>
        <v>0</v>
      </c>
      <c r="AH26" s="509">
        <f>'IRA and CHIPS'!T198</f>
        <v>0</v>
      </c>
      <c r="AI26" s="509">
        <f>'IRA and CHIPS'!U198</f>
        <v>0</v>
      </c>
      <c r="AJ26" s="509">
        <f>'IRA and CHIPS'!V198</f>
        <v>0</v>
      </c>
      <c r="AK26" s="509">
        <f>'IRA and CHIPS'!W198</f>
        <v>0</v>
      </c>
      <c r="AL26" s="509">
        <f>'IRA and CHIPS'!X198</f>
        <v>0</v>
      </c>
      <c r="AM26" s="509">
        <f>'IRA and CHIPS'!Y198</f>
        <v>0</v>
      </c>
      <c r="AN26" s="509">
        <f>'IRA and CHIPS'!Z198</f>
        <v>0</v>
      </c>
    </row>
    <row r="27" spans="2:40" x14ac:dyDescent="0.25">
      <c r="B27" s="517" t="s">
        <v>1179</v>
      </c>
      <c r="C27" s="388"/>
      <c r="D27" s="386"/>
      <c r="E27" s="388"/>
      <c r="F27" s="393"/>
      <c r="G27" s="393"/>
      <c r="H27" s="490"/>
      <c r="I27" s="490"/>
      <c r="J27" s="490"/>
      <c r="K27" s="490"/>
      <c r="L27" s="490"/>
      <c r="M27" s="490"/>
      <c r="N27" s="393"/>
      <c r="O27" s="393"/>
      <c r="P27" s="393"/>
      <c r="Q27" s="393"/>
      <c r="R27" s="393"/>
      <c r="S27" s="500">
        <f>'IRA and CHIPS'!E187</f>
        <v>0</v>
      </c>
      <c r="T27" s="500">
        <f>'IRA and CHIPS'!F187</f>
        <v>1.2969999999999999</v>
      </c>
      <c r="U27" s="500">
        <f>'IRA and CHIPS'!G187</f>
        <v>1.2969999999999999</v>
      </c>
      <c r="V27" s="500">
        <f>'IRA and CHIPS'!H187</f>
        <v>1.2969999999999999</v>
      </c>
      <c r="W27" s="496">
        <f>'IRA and CHIPS'!I187</f>
        <v>1.2969999999999999</v>
      </c>
      <c r="X27" s="500">
        <f>'IRA and CHIPS'!J187</f>
        <v>3.8479999999999999</v>
      </c>
      <c r="Y27" s="518">
        <f>'IRA and CHIPS'!K187</f>
        <v>3.8479999999999999</v>
      </c>
      <c r="Z27" s="518">
        <f>'IRA and CHIPS'!L187</f>
        <v>3.8479999999999999</v>
      </c>
      <c r="AA27" s="518">
        <f>'IRA and CHIPS'!M187</f>
        <v>3.8479999999999999</v>
      </c>
      <c r="AB27" s="518">
        <f>'IRA and CHIPS'!N187</f>
        <v>6.4420000000000002</v>
      </c>
      <c r="AC27" s="518">
        <f>'IRA and CHIPS'!O187</f>
        <v>6.4420000000000002</v>
      </c>
      <c r="AD27" s="518">
        <f>'IRA and CHIPS'!P187</f>
        <v>6.4420000000000002</v>
      </c>
      <c r="AE27" s="518">
        <f>'IRA and CHIPS'!Q187</f>
        <v>6.4420000000000002</v>
      </c>
      <c r="AF27" s="518">
        <f>'IRA and CHIPS'!R187</f>
        <v>9.532</v>
      </c>
      <c r="AG27" s="518">
        <f>'IRA and CHIPS'!S187</f>
        <v>9.532</v>
      </c>
      <c r="AH27" s="518">
        <f>AG27</f>
        <v>9.532</v>
      </c>
      <c r="AI27" s="518">
        <f t="shared" ref="AI27:AJ27" si="68">AH27</f>
        <v>9.532</v>
      </c>
      <c r="AJ27" s="518">
        <f t="shared" si="68"/>
        <v>9.532</v>
      </c>
      <c r="AK27" s="518">
        <f t="shared" ref="AK27" si="69">AJ27</f>
        <v>9.532</v>
      </c>
      <c r="AL27" s="518">
        <f t="shared" ref="AL27" si="70">AK27</f>
        <v>9.532</v>
      </c>
      <c r="AM27" s="518">
        <f t="shared" ref="AM27" si="71">AL27</f>
        <v>9.532</v>
      </c>
      <c r="AN27" s="518">
        <f t="shared" ref="AN27" si="72">AM27</f>
        <v>9.532</v>
      </c>
    </row>
    <row r="28" spans="2:40" ht="15" customHeight="1" x14ac:dyDescent="0.25">
      <c r="B28" s="1326" t="s">
        <v>416</v>
      </c>
      <c r="C28" s="1327"/>
      <c r="D28" s="519"/>
      <c r="E28" s="493"/>
      <c r="F28" s="493"/>
      <c r="G28" s="493"/>
      <c r="H28" s="37"/>
      <c r="I28" s="37"/>
      <c r="J28" s="37"/>
      <c r="K28" s="37"/>
      <c r="L28" s="37"/>
      <c r="M28" s="37"/>
      <c r="N28" s="37"/>
      <c r="O28" s="37"/>
      <c r="P28" s="429"/>
      <c r="Q28" s="37"/>
      <c r="R28" s="37"/>
      <c r="S28" s="37"/>
      <c r="T28" s="37"/>
      <c r="U28" s="37"/>
      <c r="V28" s="498"/>
      <c r="W28" s="498"/>
      <c r="X28" s="498"/>
      <c r="Y28" s="502"/>
      <c r="Z28" s="502"/>
      <c r="AA28" s="502"/>
      <c r="AB28" s="502"/>
      <c r="AC28" s="502"/>
      <c r="AD28" s="218"/>
      <c r="AE28" s="510"/>
      <c r="AF28" s="510"/>
      <c r="AG28" s="218"/>
      <c r="AH28" s="218"/>
      <c r="AI28" s="218"/>
      <c r="AJ28" s="218"/>
      <c r="AK28" s="218"/>
      <c r="AL28" s="218"/>
      <c r="AM28" s="218"/>
      <c r="AN28" s="218"/>
    </row>
    <row r="29" spans="2:40" x14ac:dyDescent="0.25">
      <c r="B29" s="420" t="s">
        <v>417</v>
      </c>
      <c r="C29" s="273"/>
      <c r="D29" s="476"/>
      <c r="E29" s="273"/>
      <c r="F29" s="234"/>
      <c r="G29" s="234"/>
      <c r="H29" s="37"/>
      <c r="I29" s="37"/>
      <c r="J29" s="37"/>
      <c r="K29" s="37"/>
      <c r="L29" s="37"/>
      <c r="M29" s="37"/>
      <c r="N29" s="37">
        <f>SUM(N30:N34)</f>
        <v>23</v>
      </c>
      <c r="O29" s="37">
        <f>SUM(O30:O34)</f>
        <v>162</v>
      </c>
      <c r="P29" s="37"/>
      <c r="Q29" s="37"/>
      <c r="R29" s="37"/>
      <c r="S29" s="37"/>
      <c r="T29" s="37"/>
      <c r="U29" s="37"/>
      <c r="V29" s="56"/>
      <c r="W29" s="56"/>
      <c r="X29" s="56"/>
      <c r="Y29" s="218"/>
      <c r="Z29" s="218"/>
      <c r="AA29" s="218"/>
      <c r="AB29" s="218"/>
      <c r="AC29" s="218"/>
      <c r="AD29" s="218"/>
      <c r="AE29" s="510"/>
      <c r="AF29" s="510"/>
      <c r="AG29" s="218"/>
      <c r="AH29" s="218"/>
      <c r="AI29" s="218"/>
      <c r="AJ29" s="218"/>
      <c r="AK29" s="218"/>
      <c r="AL29" s="218"/>
      <c r="AM29" s="218"/>
      <c r="AN29" s="218"/>
    </row>
    <row r="30" spans="2:40" x14ac:dyDescent="0.25">
      <c r="B30" s="363" t="s">
        <v>418</v>
      </c>
      <c r="C30" s="273"/>
      <c r="D30" s="476"/>
      <c r="E30" s="273"/>
      <c r="F30" s="234"/>
      <c r="G30" s="234"/>
      <c r="H30" s="37"/>
      <c r="I30" s="37"/>
      <c r="J30" s="37"/>
      <c r="K30" s="37"/>
      <c r="L30" s="523"/>
      <c r="M30" s="37"/>
      <c r="N30" s="37">
        <f>(4*'Response and Relief Act Score'!$F$15-$M$18)/2</f>
        <v>11</v>
      </c>
      <c r="O30" s="37">
        <f>(4*'Response and Relief Act Score'!$F$15-$M$18)/2</f>
        <v>11</v>
      </c>
      <c r="P30" s="37"/>
      <c r="Q30" s="37"/>
      <c r="R30" s="37"/>
      <c r="S30" s="37"/>
      <c r="T30" s="37"/>
      <c r="U30" s="37"/>
      <c r="V30" s="56"/>
      <c r="W30" s="56"/>
      <c r="X30" s="56"/>
      <c r="Y30" s="218"/>
      <c r="Z30" s="218"/>
      <c r="AA30" s="218"/>
      <c r="AB30" s="218"/>
      <c r="AC30" s="218"/>
      <c r="AD30" s="218"/>
      <c r="AE30" s="510"/>
      <c r="AF30" s="510"/>
      <c r="AG30" s="218"/>
      <c r="AH30" s="218"/>
      <c r="AI30" s="218"/>
      <c r="AJ30" s="218"/>
      <c r="AK30" s="218"/>
      <c r="AL30" s="218"/>
      <c r="AM30" s="218"/>
      <c r="AN30" s="218"/>
    </row>
    <row r="31" spans="2:40" x14ac:dyDescent="0.25">
      <c r="B31" s="363" t="s">
        <v>415</v>
      </c>
      <c r="C31" s="273"/>
      <c r="D31" s="476"/>
      <c r="E31" s="273"/>
      <c r="F31" s="234"/>
      <c r="G31" s="234"/>
      <c r="H31" s="37"/>
      <c r="I31" s="37"/>
      <c r="J31" s="37"/>
      <c r="K31" s="37"/>
      <c r="L31" s="523"/>
      <c r="M31" s="37"/>
      <c r="N31" s="37"/>
      <c r="O31" s="37"/>
      <c r="P31" s="37"/>
      <c r="Q31" s="37"/>
      <c r="R31" s="37"/>
      <c r="S31" s="37"/>
      <c r="T31" s="37"/>
      <c r="U31" s="37"/>
      <c r="V31" s="56"/>
      <c r="W31" s="56"/>
      <c r="X31" s="56"/>
      <c r="Y31" s="218"/>
      <c r="Z31" s="218"/>
      <c r="AA31" s="218"/>
      <c r="AB31" s="218"/>
      <c r="AC31" s="218"/>
      <c r="AD31" s="218"/>
      <c r="AE31" s="510"/>
      <c r="AF31" s="510"/>
      <c r="AG31" s="218"/>
      <c r="AH31" s="218"/>
      <c r="AI31" s="218"/>
      <c r="AJ31" s="218"/>
      <c r="AK31" s="218"/>
      <c r="AL31" s="218"/>
      <c r="AM31" s="218"/>
      <c r="AN31" s="218"/>
    </row>
    <row r="32" spans="2:40" x14ac:dyDescent="0.25">
      <c r="B32" s="536" t="s">
        <v>412</v>
      </c>
      <c r="C32" s="273"/>
      <c r="D32" s="476"/>
      <c r="E32" s="273"/>
      <c r="F32" s="234"/>
      <c r="G32" s="234"/>
      <c r="H32" s="37"/>
      <c r="I32" s="37"/>
      <c r="J32" s="37"/>
      <c r="K32" s="37"/>
      <c r="L32" s="37"/>
      <c r="M32" s="37"/>
      <c r="N32" s="37"/>
      <c r="O32" s="37">
        <v>79</v>
      </c>
      <c r="P32" s="37"/>
      <c r="Q32" s="400"/>
      <c r="R32" s="400"/>
      <c r="S32" s="400"/>
      <c r="T32" s="400"/>
      <c r="U32" s="400"/>
      <c r="V32" s="56"/>
      <c r="W32" s="56"/>
      <c r="X32" s="56"/>
      <c r="Y32" s="218"/>
      <c r="Z32" s="218"/>
      <c r="AA32" s="218"/>
      <c r="AB32" s="218"/>
      <c r="AC32" s="218"/>
      <c r="AD32" s="218"/>
      <c r="AE32" s="510"/>
      <c r="AF32" s="510"/>
      <c r="AG32" s="218"/>
      <c r="AH32" s="218"/>
      <c r="AI32" s="218"/>
      <c r="AJ32" s="218"/>
      <c r="AK32" s="218"/>
      <c r="AL32" s="218"/>
      <c r="AM32" s="218"/>
      <c r="AN32" s="218"/>
    </row>
    <row r="33" spans="1:79" x14ac:dyDescent="0.25">
      <c r="B33" s="537" t="s">
        <v>419</v>
      </c>
      <c r="C33" s="273"/>
      <c r="D33" s="476"/>
      <c r="E33" s="273"/>
      <c r="F33" s="234"/>
      <c r="G33" s="234"/>
      <c r="H33" s="37"/>
      <c r="I33" s="37"/>
      <c r="J33" s="37"/>
      <c r="K33" s="37"/>
      <c r="L33" s="37"/>
      <c r="M33" s="37"/>
      <c r="N33" s="37"/>
      <c r="O33" s="37">
        <f>'Response and Relief Act Score'!F13*4</f>
        <v>60</v>
      </c>
      <c r="P33" s="37"/>
      <c r="Q33" s="400"/>
      <c r="R33" s="400"/>
      <c r="S33" s="400"/>
      <c r="T33" s="400"/>
      <c r="U33" s="400"/>
      <c r="V33" s="56"/>
      <c r="W33" s="56"/>
      <c r="X33" s="56"/>
      <c r="Y33" s="218"/>
      <c r="Z33" s="218"/>
      <c r="AA33" s="218"/>
      <c r="AB33" s="218"/>
      <c r="AC33" s="218"/>
      <c r="AD33" s="218"/>
      <c r="AE33" s="510"/>
      <c r="AF33" s="510"/>
      <c r="AG33" s="218"/>
      <c r="AH33" s="218"/>
      <c r="AI33" s="218"/>
      <c r="AJ33" s="218"/>
      <c r="AK33" s="218"/>
      <c r="AL33" s="218"/>
      <c r="AM33" s="218"/>
      <c r="AN33" s="218"/>
    </row>
    <row r="34" spans="1:79" ht="27.6" customHeight="1" x14ac:dyDescent="0.25">
      <c r="B34" s="537" t="s">
        <v>420</v>
      </c>
      <c r="C34" s="273"/>
      <c r="D34" s="521"/>
      <c r="E34" s="522"/>
      <c r="F34" s="490"/>
      <c r="G34" s="490"/>
      <c r="H34" s="393"/>
      <c r="I34" s="393"/>
      <c r="J34" s="393"/>
      <c r="K34" s="393"/>
      <c r="L34" s="527"/>
      <c r="M34" s="393"/>
      <c r="N34" s="393">
        <f>'Response and Relief Act Score'!F14*4/2</f>
        <v>12</v>
      </c>
      <c r="O34" s="393">
        <f>'Response and Relief Act Score'!F14*4/2</f>
        <v>12</v>
      </c>
      <c r="P34" s="393"/>
      <c r="Q34" s="393"/>
      <c r="R34" s="393"/>
      <c r="S34" s="393"/>
      <c r="T34" s="393"/>
      <c r="U34" s="37"/>
      <c r="V34" s="56"/>
      <c r="W34" s="56"/>
      <c r="X34" s="56"/>
      <c r="Y34" s="218"/>
      <c r="Z34" s="218"/>
      <c r="AA34" s="218"/>
      <c r="AB34" s="218"/>
      <c r="AC34" s="218"/>
      <c r="AD34" s="218"/>
      <c r="AE34" s="510"/>
      <c r="AF34" s="510"/>
      <c r="AG34" s="218"/>
      <c r="AH34" s="218"/>
      <c r="AI34" s="218"/>
      <c r="AJ34" s="218"/>
      <c r="AK34" s="218"/>
      <c r="AL34" s="218"/>
      <c r="AM34" s="218"/>
      <c r="AN34" s="218"/>
    </row>
    <row r="35" spans="1:79" ht="15" customHeight="1" x14ac:dyDescent="0.25">
      <c r="B35" s="1324" t="s">
        <v>421</v>
      </c>
      <c r="C35" s="1325"/>
      <c r="D35" s="476"/>
      <c r="E35" s="273"/>
      <c r="F35" s="234"/>
      <c r="G35" s="234"/>
      <c r="H35" s="37"/>
      <c r="I35" s="37"/>
      <c r="J35" s="37"/>
      <c r="K35" s="37"/>
      <c r="L35" s="523"/>
      <c r="M35" s="37"/>
      <c r="N35" s="37"/>
      <c r="O35" s="37"/>
      <c r="P35" s="37"/>
      <c r="Q35" s="37"/>
      <c r="R35" s="37"/>
      <c r="S35" s="37"/>
      <c r="T35" s="494"/>
      <c r="U35" s="504"/>
      <c r="V35" s="498"/>
      <c r="W35" s="498"/>
      <c r="X35" s="498"/>
      <c r="Y35" s="502"/>
      <c r="Z35" s="502"/>
      <c r="AA35" s="502"/>
      <c r="AB35" s="502"/>
      <c r="AC35" s="502"/>
      <c r="AD35" s="218"/>
      <c r="AE35" s="510"/>
      <c r="AF35" s="510"/>
      <c r="AG35" s="218"/>
      <c r="AH35" s="218"/>
      <c r="AI35" s="218"/>
      <c r="AJ35" s="218"/>
      <c r="AK35" s="218"/>
      <c r="AL35" s="218"/>
      <c r="AM35" s="218"/>
      <c r="AN35" s="218"/>
    </row>
    <row r="36" spans="1:79" ht="13.5" customHeight="1" x14ac:dyDescent="0.25">
      <c r="B36" s="537" t="s">
        <v>143</v>
      </c>
      <c r="C36" s="273"/>
      <c r="D36" s="476"/>
      <c r="E36" s="273"/>
      <c r="F36" s="234"/>
      <c r="G36" s="234"/>
      <c r="H36" s="37"/>
      <c r="I36" s="37"/>
      <c r="J36" s="37"/>
      <c r="K36" s="37"/>
      <c r="L36" s="523"/>
      <c r="M36" s="37">
        <f>'ARP Quarterly'!C18</f>
        <v>0</v>
      </c>
      <c r="N36" s="37">
        <f>'ARP Quarterly'!D18</f>
        <v>2.2132800000000001</v>
      </c>
      <c r="O36" s="37">
        <f>'ARP Quarterly'!E18</f>
        <v>10.082720000000002</v>
      </c>
      <c r="P36" s="37">
        <f>'ARP Quarterly'!F18</f>
        <v>7.1439999999999992</v>
      </c>
      <c r="Q36" s="37">
        <f>'ARP Quarterly'!G18</f>
        <v>7.1439999999999992</v>
      </c>
      <c r="R36" s="37">
        <f>'ARP Quarterly'!H18</f>
        <v>7.1439999999999992</v>
      </c>
      <c r="S36" s="37">
        <f>'ARP Quarterly'!I18</f>
        <v>7.1439999999999992</v>
      </c>
      <c r="T36" s="37">
        <f>'ARP Quarterly'!J18</f>
        <v>0</v>
      </c>
      <c r="U36" s="37">
        <f>'ARP Quarterly'!K18</f>
        <v>0</v>
      </c>
      <c r="V36" s="37">
        <f>'ARP Quarterly'!L18</f>
        <v>0</v>
      </c>
      <c r="W36" s="37">
        <f>'ARP Quarterly'!M18</f>
        <v>0</v>
      </c>
      <c r="X36" s="37">
        <f>'ARP Quarterly'!N18</f>
        <v>0</v>
      </c>
      <c r="Y36" s="346">
        <f>'ARP Quarterly'!O18</f>
        <v>0</v>
      </c>
      <c r="Z36" s="346">
        <f>'ARP Quarterly'!P18</f>
        <v>0</v>
      </c>
      <c r="AA36" s="346">
        <f>'ARP Quarterly'!Q18</f>
        <v>0</v>
      </c>
      <c r="AB36" s="346">
        <f>'ARP Quarterly'!R18</f>
        <v>0</v>
      </c>
      <c r="AC36" s="346">
        <f>'ARP Quarterly'!S18</f>
        <v>0</v>
      </c>
      <c r="AD36" s="218"/>
      <c r="AE36" s="510"/>
      <c r="AF36" s="510"/>
      <c r="AG36" s="218"/>
      <c r="AH36" s="218"/>
      <c r="AI36" s="218"/>
      <c r="AJ36" s="218"/>
      <c r="AK36" s="218"/>
      <c r="AL36" s="218"/>
      <c r="AM36" s="218"/>
      <c r="AN36" s="218"/>
    </row>
    <row r="37" spans="1:79" x14ac:dyDescent="0.25">
      <c r="B37" s="537" t="s">
        <v>422</v>
      </c>
      <c r="C37" s="273"/>
      <c r="D37" s="476"/>
      <c r="E37" s="273"/>
      <c r="F37" s="234"/>
      <c r="G37" s="234"/>
      <c r="H37" s="37"/>
      <c r="I37" s="37"/>
      <c r="J37" s="37"/>
      <c r="K37" s="37"/>
      <c r="L37" s="523"/>
      <c r="M37" s="37">
        <f>'ARP Quarterly'!C19</f>
        <v>0</v>
      </c>
      <c r="N37" s="37">
        <f>'ARP Quarterly'!D19</f>
        <v>15.128640000000001</v>
      </c>
      <c r="O37" s="37">
        <f>'ARP Quarterly'!E19</f>
        <v>68.919360000000012</v>
      </c>
      <c r="P37" s="37">
        <f>'ARP Quarterly'!F19</f>
        <v>5.6120000000000001</v>
      </c>
      <c r="Q37" s="37">
        <f>'ARP Quarterly'!G19</f>
        <v>5.6120000000000001</v>
      </c>
      <c r="R37" s="37">
        <f>'ARP Quarterly'!H19</f>
        <v>5.6120000000000001</v>
      </c>
      <c r="S37" s="37">
        <f>'ARP Quarterly'!I19</f>
        <v>5.6120000000000001</v>
      </c>
      <c r="T37" s="37">
        <f>'ARP Quarterly'!J19</f>
        <v>0.48599999999999993</v>
      </c>
      <c r="U37" s="37">
        <f>'ARP Quarterly'!K19</f>
        <v>0.48599999999999993</v>
      </c>
      <c r="V37" s="37">
        <f>'ARP Quarterly'!L19</f>
        <v>0.48599999999999993</v>
      </c>
      <c r="W37" s="37">
        <f>'ARP Quarterly'!M19</f>
        <v>0.48599999999999993</v>
      </c>
      <c r="X37" s="37">
        <f>'ARP Quarterly'!N19</f>
        <v>0</v>
      </c>
      <c r="Y37" s="346">
        <f>'ARP Quarterly'!O19</f>
        <v>0</v>
      </c>
      <c r="Z37" s="346">
        <f>'ARP Quarterly'!P19</f>
        <v>0</v>
      </c>
      <c r="AA37" s="346">
        <f>'ARP Quarterly'!Q19</f>
        <v>0</v>
      </c>
      <c r="AB37" s="346">
        <f>'ARP Quarterly'!R19</f>
        <v>0</v>
      </c>
      <c r="AC37" s="346">
        <f>'ARP Quarterly'!S19</f>
        <v>0</v>
      </c>
      <c r="AD37" s="218"/>
      <c r="AE37" s="510"/>
      <c r="AF37" s="510"/>
      <c r="AG37" s="218"/>
      <c r="AH37" s="218"/>
      <c r="AI37" s="218"/>
      <c r="AJ37" s="218"/>
      <c r="AK37" s="218"/>
      <c r="AL37" s="218"/>
      <c r="AM37" s="218"/>
      <c r="AN37" s="218"/>
    </row>
    <row r="38" spans="1:79" x14ac:dyDescent="0.25">
      <c r="B38" s="537" t="s">
        <v>148</v>
      </c>
      <c r="C38" s="273"/>
      <c r="D38" s="476"/>
      <c r="E38" s="273"/>
      <c r="F38" s="234"/>
      <c r="G38" s="234"/>
      <c r="H38" s="37"/>
      <c r="I38" s="37"/>
      <c r="J38" s="37"/>
      <c r="K38" s="37"/>
      <c r="L38" s="523"/>
      <c r="M38" s="37">
        <f>'ARP Quarterly'!C20</f>
        <v>0</v>
      </c>
      <c r="N38" s="37">
        <f>'ARP Quarterly'!D20</f>
        <v>3.2479199999999997</v>
      </c>
      <c r="O38" s="37">
        <f>'ARP Quarterly'!E20</f>
        <v>14.796080000000002</v>
      </c>
      <c r="P38" s="37">
        <f>'ARP Quarterly'!F20</f>
        <v>1.7329999999999999</v>
      </c>
      <c r="Q38" s="37">
        <f>'ARP Quarterly'!G20</f>
        <v>1.7329999999999999</v>
      </c>
      <c r="R38" s="37">
        <f>'ARP Quarterly'!H20</f>
        <v>1.7329999999999999</v>
      </c>
      <c r="S38" s="37">
        <f>'ARP Quarterly'!I20</f>
        <v>1.7329999999999999</v>
      </c>
      <c r="T38" s="37">
        <f>'ARP Quarterly'!J20</f>
        <v>0</v>
      </c>
      <c r="U38" s="37">
        <f>'ARP Quarterly'!K20</f>
        <v>0</v>
      </c>
      <c r="V38" s="37">
        <f>'ARP Quarterly'!L20</f>
        <v>0</v>
      </c>
      <c r="W38" s="37">
        <f>'ARP Quarterly'!M20</f>
        <v>0</v>
      </c>
      <c r="X38" s="37">
        <f>'ARP Quarterly'!N20</f>
        <v>0</v>
      </c>
      <c r="Y38" s="346">
        <f>'ARP Quarterly'!O20</f>
        <v>0</v>
      </c>
      <c r="Z38" s="346">
        <f>'ARP Quarterly'!P20</f>
        <v>0</v>
      </c>
      <c r="AA38" s="346">
        <f>'ARP Quarterly'!Q20</f>
        <v>0</v>
      </c>
      <c r="AB38" s="346">
        <f>'ARP Quarterly'!R20</f>
        <v>0</v>
      </c>
      <c r="AC38" s="346">
        <f>'ARP Quarterly'!S20</f>
        <v>0</v>
      </c>
      <c r="AD38" s="218"/>
      <c r="AE38" s="510"/>
      <c r="AF38" s="510"/>
      <c r="AG38" s="218"/>
      <c r="AH38" s="218"/>
      <c r="AI38" s="218"/>
      <c r="AJ38" s="218"/>
      <c r="AK38" s="218"/>
      <c r="AL38" s="218"/>
      <c r="AM38" s="218"/>
      <c r="AN38" s="218"/>
    </row>
    <row r="39" spans="1:79" x14ac:dyDescent="0.25">
      <c r="B39" s="537" t="s">
        <v>412</v>
      </c>
      <c r="C39" s="273"/>
      <c r="D39" s="476"/>
      <c r="E39" s="273"/>
      <c r="F39" s="234"/>
      <c r="G39" s="234"/>
      <c r="H39" s="37"/>
      <c r="I39" s="37"/>
      <c r="J39" s="37"/>
      <c r="K39" s="37"/>
      <c r="L39" s="523"/>
      <c r="M39" s="37">
        <f>'ARP Quarterly'!C21</f>
        <v>0</v>
      </c>
      <c r="N39" s="37">
        <f>'ARP Quarterly'!D21</f>
        <v>13.2921</v>
      </c>
      <c r="O39" s="37">
        <f>'ARP Quarterly'!E21</f>
        <v>60.552900000000008</v>
      </c>
      <c r="P39" s="37">
        <f>'ARP Quarterly'!F21</f>
        <v>1.0687500000000001</v>
      </c>
      <c r="Q39" s="37">
        <f>'ARP Quarterly'!G21</f>
        <v>1.0687500000000001</v>
      </c>
      <c r="R39" s="37">
        <f>'ARP Quarterly'!H21</f>
        <v>1.0687500000000001</v>
      </c>
      <c r="S39" s="37">
        <f>'ARP Quarterly'!I21</f>
        <v>1.0687500000000001</v>
      </c>
      <c r="T39" s="37">
        <f>'ARP Quarterly'!J21</f>
        <v>0.78750000000000009</v>
      </c>
      <c r="U39" s="37">
        <f>'ARP Quarterly'!K21</f>
        <v>0.78750000000000009</v>
      </c>
      <c r="V39" s="37">
        <f>'ARP Quarterly'!L21</f>
        <v>0.78750000000000009</v>
      </c>
      <c r="W39" s="37">
        <f>'ARP Quarterly'!M21</f>
        <v>0.78750000000000009</v>
      </c>
      <c r="X39" s="37">
        <f>'ARP Quarterly'!N21</f>
        <v>0</v>
      </c>
      <c r="Y39" s="346">
        <f>'ARP Quarterly'!O21</f>
        <v>0</v>
      </c>
      <c r="Z39" s="346">
        <f>'ARP Quarterly'!P21</f>
        <v>0</v>
      </c>
      <c r="AA39" s="346">
        <f>'ARP Quarterly'!Q21</f>
        <v>0</v>
      </c>
      <c r="AB39" s="346">
        <f>'ARP Quarterly'!R21</f>
        <v>0</v>
      </c>
      <c r="AC39" s="346">
        <f>'ARP Quarterly'!S21</f>
        <v>0</v>
      </c>
      <c r="AD39" s="218"/>
      <c r="AE39" s="510"/>
      <c r="AF39" s="510"/>
      <c r="AG39" s="218"/>
      <c r="AH39" s="218"/>
      <c r="AI39" s="218"/>
      <c r="AJ39" s="218"/>
      <c r="AK39" s="218"/>
      <c r="AL39" s="218"/>
      <c r="AM39" s="218"/>
      <c r="AN39" s="218"/>
    </row>
    <row r="40" spans="1:79" ht="30" customHeight="1" x14ac:dyDescent="0.25">
      <c r="B40" s="537" t="s">
        <v>423</v>
      </c>
      <c r="C40" s="273"/>
      <c r="D40" s="476"/>
      <c r="E40" s="273"/>
      <c r="F40" s="234"/>
      <c r="G40" s="234"/>
      <c r="H40" s="37"/>
      <c r="I40" s="37"/>
      <c r="J40" s="37"/>
      <c r="K40" s="37"/>
      <c r="L40" s="523"/>
      <c r="M40" s="37">
        <f>'ARP Quarterly'!C22</f>
        <v>0</v>
      </c>
      <c r="N40" s="37">
        <f>'ARP Quarterly'!D22</f>
        <v>22.153499999999998</v>
      </c>
      <c r="O40" s="37">
        <f>'ARP Quarterly'!E22</f>
        <v>100.92150000000002</v>
      </c>
      <c r="P40" s="37">
        <f>'ARP Quarterly'!F22</f>
        <v>1.7812500000000002</v>
      </c>
      <c r="Q40" s="37">
        <f>'ARP Quarterly'!G22</f>
        <v>1.7812500000000002</v>
      </c>
      <c r="R40" s="37">
        <f>'ARP Quarterly'!H22</f>
        <v>1.7812500000000002</v>
      </c>
      <c r="S40" s="37">
        <f>'ARP Quarterly'!I22</f>
        <v>1.7812500000000002</v>
      </c>
      <c r="T40" s="37">
        <f>'ARP Quarterly'!J22</f>
        <v>1.3125000000000002</v>
      </c>
      <c r="U40" s="37">
        <f>'ARP Quarterly'!K22</f>
        <v>1.3125000000000002</v>
      </c>
      <c r="V40" s="37">
        <f>'ARP Quarterly'!L22</f>
        <v>1.3125000000000002</v>
      </c>
      <c r="W40" s="37">
        <f>'ARP Quarterly'!M22</f>
        <v>1.3125000000000002</v>
      </c>
      <c r="X40" s="37">
        <f>'ARP Quarterly'!N22</f>
        <v>0</v>
      </c>
      <c r="Y40" s="346">
        <f>'ARP Quarterly'!O22</f>
        <v>0</v>
      </c>
      <c r="Z40" s="346">
        <f>'ARP Quarterly'!P22</f>
        <v>0</v>
      </c>
      <c r="AA40" s="346">
        <f>'ARP Quarterly'!Q22</f>
        <v>0</v>
      </c>
      <c r="AB40" s="346">
        <f>'ARP Quarterly'!R22</f>
        <v>0</v>
      </c>
      <c r="AC40" s="346">
        <f>'ARP Quarterly'!S22</f>
        <v>0</v>
      </c>
      <c r="AD40" s="218"/>
      <c r="AE40" s="510"/>
      <c r="AF40" s="510"/>
      <c r="AG40" s="218"/>
      <c r="AH40" s="218"/>
      <c r="AI40" s="218"/>
      <c r="AJ40" s="218"/>
      <c r="AK40" s="218"/>
      <c r="AL40" s="218"/>
      <c r="AM40" s="218"/>
      <c r="AN40" s="218"/>
    </row>
    <row r="41" spans="1:79" x14ac:dyDescent="0.25">
      <c r="B41" s="537" t="s">
        <v>424</v>
      </c>
      <c r="C41" s="273"/>
      <c r="D41" s="476"/>
      <c r="E41" s="273"/>
      <c r="F41" s="234"/>
      <c r="G41" s="234"/>
      <c r="H41" s="37"/>
      <c r="I41" s="37"/>
      <c r="J41" s="37"/>
      <c r="K41" s="37"/>
      <c r="L41" s="523"/>
      <c r="M41" s="37">
        <f>'ARP Quarterly'!C23</f>
        <v>0</v>
      </c>
      <c r="N41" s="37">
        <f>'ARP Quarterly'!D23</f>
        <v>2.9519999999999995</v>
      </c>
      <c r="O41" s="37">
        <f>'ARP Quarterly'!E23</f>
        <v>13.448</v>
      </c>
      <c r="P41" s="37">
        <f>'ARP Quarterly'!F23</f>
        <v>11.3</v>
      </c>
      <c r="Q41" s="37">
        <f>'ARP Quarterly'!G23</f>
        <v>11.3</v>
      </c>
      <c r="R41" s="37">
        <f>'ARP Quarterly'!H23</f>
        <v>11.3</v>
      </c>
      <c r="S41" s="37">
        <f>'ARP Quarterly'!I23</f>
        <v>11.3</v>
      </c>
      <c r="T41" s="37">
        <f>'ARP Quarterly'!J23</f>
        <v>8.4</v>
      </c>
      <c r="U41" s="37">
        <f>'ARP Quarterly'!K23</f>
        <v>8.4</v>
      </c>
      <c r="V41" s="37">
        <f>'ARP Quarterly'!L23</f>
        <v>8.4</v>
      </c>
      <c r="W41" s="37">
        <f>'ARP Quarterly'!M23</f>
        <v>8.4</v>
      </c>
      <c r="X41" s="37">
        <f>'ARP Quarterly'!N23</f>
        <v>0.2</v>
      </c>
      <c r="Y41" s="346">
        <f>'ARP Quarterly'!O23</f>
        <v>0.2</v>
      </c>
      <c r="Z41" s="346">
        <f>'ARP Quarterly'!P23</f>
        <v>0.2</v>
      </c>
      <c r="AA41" s="346">
        <f>'ARP Quarterly'!Q23</f>
        <v>0.2</v>
      </c>
      <c r="AB41" s="346">
        <f>'ARP Quarterly'!R23</f>
        <v>0</v>
      </c>
      <c r="AC41" s="346">
        <f>'ARP Quarterly'!S23</f>
        <v>0</v>
      </c>
      <c r="AD41" s="218"/>
      <c r="AE41" s="510"/>
      <c r="AF41" s="510"/>
      <c r="AG41" s="218"/>
      <c r="AH41" s="218"/>
      <c r="AI41" s="218"/>
      <c r="AJ41" s="218"/>
      <c r="AK41" s="218"/>
      <c r="AL41" s="218"/>
      <c r="AM41" s="218"/>
      <c r="AN41" s="218"/>
    </row>
    <row r="42" spans="1:79" x14ac:dyDescent="0.25">
      <c r="B42" s="537" t="s">
        <v>425</v>
      </c>
      <c r="C42" s="273"/>
      <c r="D42" s="476"/>
      <c r="E42" s="273"/>
      <c r="F42" s="234"/>
      <c r="G42" s="234"/>
      <c r="H42" s="37"/>
      <c r="I42" s="37"/>
      <c r="J42" s="37"/>
      <c r="K42" s="37"/>
      <c r="L42" s="523"/>
      <c r="M42" s="37">
        <f>'ARP Quarterly'!C24</f>
        <v>0</v>
      </c>
      <c r="N42" s="37">
        <f>'ARP Quarterly'!D24</f>
        <v>-0.20447999999999997</v>
      </c>
      <c r="O42" s="37">
        <f>'ARP Quarterly'!E24</f>
        <v>-0.93152000000000001</v>
      </c>
      <c r="P42" s="37">
        <v>0</v>
      </c>
      <c r="Q42" s="37">
        <v>0</v>
      </c>
      <c r="R42" s="37">
        <v>0</v>
      </c>
      <c r="S42" s="37">
        <v>0</v>
      </c>
      <c r="T42" s="37">
        <v>0</v>
      </c>
      <c r="U42" s="37">
        <v>0</v>
      </c>
      <c r="V42" s="37">
        <v>0</v>
      </c>
      <c r="W42" s="37">
        <v>0</v>
      </c>
      <c r="X42" s="37">
        <v>0</v>
      </c>
      <c r="Y42" s="346">
        <v>0</v>
      </c>
      <c r="Z42" s="346">
        <v>0</v>
      </c>
      <c r="AA42" s="346">
        <v>0</v>
      </c>
      <c r="AB42" s="346">
        <v>0</v>
      </c>
      <c r="AC42" s="346">
        <v>0</v>
      </c>
      <c r="AD42" s="218"/>
      <c r="AE42" s="510"/>
      <c r="AF42" s="510"/>
      <c r="AG42" s="218"/>
      <c r="AH42" s="218"/>
      <c r="AI42" s="218"/>
      <c r="AJ42" s="218"/>
      <c r="AK42" s="218"/>
      <c r="AL42" s="218"/>
      <c r="AM42" s="218"/>
      <c r="AN42" s="218"/>
    </row>
    <row r="43" spans="1:79" x14ac:dyDescent="0.25">
      <c r="B43" s="537" t="s">
        <v>311</v>
      </c>
      <c r="C43" s="273"/>
      <c r="D43" s="521"/>
      <c r="E43" s="522"/>
      <c r="F43" s="490"/>
      <c r="G43" s="490"/>
      <c r="H43" s="393"/>
      <c r="I43" s="393"/>
      <c r="J43" s="393"/>
      <c r="K43" s="393"/>
      <c r="L43" s="527"/>
      <c r="M43" s="393">
        <f>'ARP Quarterly'!C25</f>
        <v>0</v>
      </c>
      <c r="N43" s="393">
        <f>'ARP Quarterly'!D25</f>
        <v>58.782959999999996</v>
      </c>
      <c r="O43" s="393">
        <f>'ARP Quarterly'!E25</f>
        <v>267.78904000000006</v>
      </c>
      <c r="P43" s="393">
        <f>'ARP Quarterly'!F25</f>
        <v>110.24799999999999</v>
      </c>
      <c r="Q43" s="393">
        <f>'ARP Quarterly'!G25</f>
        <v>110.24799999999999</v>
      </c>
      <c r="R43" s="393">
        <f>'ARP Quarterly'!H25</f>
        <v>110.24799999999999</v>
      </c>
      <c r="S43" s="393">
        <f>'ARP Quarterly'!I25</f>
        <v>110.24799999999999</v>
      </c>
      <c r="T43" s="393">
        <f>'ARP Quarterly'!J25</f>
        <v>12.362</v>
      </c>
      <c r="U43" s="37">
        <f>'ARP Quarterly'!K25</f>
        <v>12.362</v>
      </c>
      <c r="V43" s="37">
        <f>'ARP Quarterly'!L25</f>
        <v>12.362</v>
      </c>
      <c r="W43" s="37">
        <f>'ARP Quarterly'!M25</f>
        <v>12.362</v>
      </c>
      <c r="X43" s="37">
        <f>'ARP Quarterly'!N25</f>
        <v>-0.67500000000000004</v>
      </c>
      <c r="Y43" s="346">
        <f>'ARP Quarterly'!O25</f>
        <v>-0.67500000000000004</v>
      </c>
      <c r="Z43" s="346">
        <f>'ARP Quarterly'!P25</f>
        <v>-0.67500000000000004</v>
      </c>
      <c r="AA43" s="346">
        <f>'ARP Quarterly'!Q25</f>
        <v>-0.67500000000000004</v>
      </c>
      <c r="AB43" s="346">
        <f>'ARP Quarterly'!R25</f>
        <v>0</v>
      </c>
      <c r="AC43" s="346">
        <f>'ARP Quarterly'!S25</f>
        <v>0</v>
      </c>
      <c r="AD43" s="218"/>
      <c r="AE43" s="510"/>
      <c r="AF43" s="510"/>
      <c r="AG43" s="218"/>
      <c r="AH43" s="218"/>
      <c r="AI43" s="218"/>
      <c r="AJ43" s="218"/>
      <c r="AK43" s="218"/>
      <c r="AL43" s="218"/>
      <c r="AM43" s="218"/>
      <c r="AN43" s="218"/>
    </row>
    <row r="44" spans="1:79" ht="15" customHeight="1" x14ac:dyDescent="0.25">
      <c r="B44" s="1324" t="s">
        <v>426</v>
      </c>
      <c r="C44" s="1325"/>
      <c r="D44" s="520"/>
      <c r="E44" s="55"/>
      <c r="F44" s="234"/>
      <c r="G44" s="234"/>
      <c r="H44" s="37"/>
      <c r="I44" s="37"/>
      <c r="J44" s="37"/>
      <c r="K44" s="37"/>
      <c r="L44" s="523"/>
      <c r="M44" s="37"/>
      <c r="N44" s="37"/>
      <c r="O44" s="37"/>
      <c r="P44" s="37"/>
      <c r="Q44" s="37"/>
      <c r="R44" s="37"/>
      <c r="S44" s="37"/>
      <c r="T44" s="37"/>
      <c r="U44" s="504"/>
      <c r="V44" s="498"/>
      <c r="W44" s="498"/>
      <c r="X44" s="498"/>
      <c r="Y44" s="502"/>
      <c r="Z44" s="502"/>
      <c r="AA44" s="502"/>
      <c r="AB44" s="502"/>
      <c r="AC44" s="502"/>
      <c r="AD44" s="218"/>
      <c r="AE44" s="510"/>
      <c r="AF44" s="510"/>
      <c r="AG44" s="218"/>
      <c r="AH44" s="218"/>
      <c r="AI44" s="218"/>
      <c r="AJ44" s="218"/>
      <c r="AK44" s="218"/>
      <c r="AL44" s="218"/>
      <c r="AM44" s="218"/>
      <c r="AN44" s="218"/>
    </row>
    <row r="45" spans="1:79" ht="21" customHeight="1" x14ac:dyDescent="0.25">
      <c r="B45" s="424" t="s">
        <v>427</v>
      </c>
      <c r="C45" s="524"/>
      <c r="D45" s="424"/>
      <c r="E45" s="524"/>
      <c r="F45" s="489"/>
      <c r="G45" s="489"/>
      <c r="H45" s="505"/>
      <c r="I45" s="505"/>
      <c r="J45" s="505"/>
      <c r="K45" s="505"/>
      <c r="L45" s="525"/>
      <c r="M45" s="505">
        <f>'ARP Quarterly'!C6</f>
        <v>0</v>
      </c>
      <c r="N45" s="505">
        <f>'ARP Quarterly'!D6</f>
        <v>58.782959999999989</v>
      </c>
      <c r="O45" s="505">
        <f>'ARP Quarterly'!E6</f>
        <v>267.78904</v>
      </c>
      <c r="P45" s="505">
        <f>'ARP Quarterly'!F6</f>
        <v>110.24799999999999</v>
      </c>
      <c r="Q45" s="505">
        <f>'ARP Quarterly'!G6</f>
        <v>110.24799999999999</v>
      </c>
      <c r="R45" s="505">
        <f>'ARP Quarterly'!H6</f>
        <v>110.24799999999999</v>
      </c>
      <c r="S45" s="505">
        <f>'ARP Quarterly'!I6</f>
        <v>110.24799999999999</v>
      </c>
      <c r="T45" s="505">
        <f>'ARP Quarterly'!J6</f>
        <v>12.726000000000001</v>
      </c>
      <c r="U45" s="505">
        <f>'ARP Quarterly'!K6</f>
        <v>12.726000000000001</v>
      </c>
      <c r="V45" s="505">
        <f>'ARP Quarterly'!L6</f>
        <v>12.726000000000001</v>
      </c>
      <c r="W45" s="505">
        <f>'ARP Quarterly'!M6</f>
        <v>12.726000000000001</v>
      </c>
      <c r="X45" s="505">
        <f>'ARP Quarterly'!N6</f>
        <v>1.365</v>
      </c>
      <c r="Y45" s="503">
        <f>'ARP Quarterly'!O6</f>
        <v>1.365</v>
      </c>
      <c r="Z45" s="503">
        <f>'ARP Quarterly'!P6</f>
        <v>1.365</v>
      </c>
      <c r="AA45" s="503">
        <f>'ARP Quarterly'!Q6</f>
        <v>1.365</v>
      </c>
      <c r="AB45" s="503">
        <f>'ARP Quarterly'!R6</f>
        <v>-0.90100000000000025</v>
      </c>
      <c r="AC45" s="503">
        <f>'ARP Quarterly'!S6</f>
        <v>-0.90100000000000025</v>
      </c>
      <c r="AD45" s="503">
        <f>'ARP Quarterly'!T6</f>
        <v>-0.90100000000000025</v>
      </c>
      <c r="AE45" s="503">
        <f>'ARP Quarterly'!U6</f>
        <v>-0.90100000000000025</v>
      </c>
      <c r="AF45" s="503">
        <f>'ARP Quarterly'!V6</f>
        <v>-2.1500000000000004</v>
      </c>
      <c r="AG45" s="501">
        <v>0</v>
      </c>
      <c r="AH45" s="501">
        <v>0</v>
      </c>
      <c r="AI45" s="501">
        <v>0</v>
      </c>
      <c r="AJ45" s="501">
        <v>0</v>
      </c>
      <c r="AK45" s="501">
        <v>0</v>
      </c>
      <c r="AL45" s="501">
        <v>0</v>
      </c>
      <c r="AM45" s="501">
        <v>0</v>
      </c>
      <c r="AN45" s="501">
        <v>0</v>
      </c>
    </row>
    <row r="46" spans="1:79" ht="19.5" customHeight="1" x14ac:dyDescent="0.25">
      <c r="A46" s="497"/>
      <c r="B46" s="532" t="s">
        <v>199</v>
      </c>
      <c r="C46" s="533"/>
      <c r="D46" s="532"/>
      <c r="E46" s="533"/>
      <c r="F46" s="506">
        <f>F11-F45</f>
        <v>60.5</v>
      </c>
      <c r="G46" s="506">
        <f>G11-G45</f>
        <v>81.400000000000006</v>
      </c>
      <c r="H46" s="506">
        <f t="shared" ref="H46:AE46" si="73">H11-H45</f>
        <v>82.1</v>
      </c>
      <c r="I46" s="506">
        <f>I11-I45</f>
        <v>80</v>
      </c>
      <c r="J46" s="506">
        <f t="shared" si="73"/>
        <v>1031.8</v>
      </c>
      <c r="K46" s="506">
        <f t="shared" si="73"/>
        <v>1163.3</v>
      </c>
      <c r="L46" s="506">
        <f>L11-L45</f>
        <v>516.4</v>
      </c>
      <c r="M46" s="506">
        <f>M11-M45</f>
        <v>518.1</v>
      </c>
      <c r="N46" s="506">
        <f t="shared" si="73"/>
        <v>763.21704</v>
      </c>
      <c r="O46" s="506">
        <f>O11-O45</f>
        <v>405.61095999999998</v>
      </c>
      <c r="P46" s="506">
        <f>P11-P45</f>
        <v>303.15199999999999</v>
      </c>
      <c r="Q46" s="506">
        <f t="shared" si="73"/>
        <v>40.552000000000021</v>
      </c>
      <c r="R46" s="506">
        <f t="shared" si="73"/>
        <v>19.052000000000021</v>
      </c>
      <c r="S46" s="506">
        <f t="shared" si="73"/>
        <v>8.1520000000000152</v>
      </c>
      <c r="T46" s="506">
        <f t="shared" si="73"/>
        <v>98.073999999999998</v>
      </c>
      <c r="U46" s="506">
        <f t="shared" si="73"/>
        <v>91.073999999999998</v>
      </c>
      <c r="V46" s="506">
        <f>V11-V45</f>
        <v>89.073999999999998</v>
      </c>
      <c r="W46" s="506">
        <f t="shared" si="73"/>
        <v>91.274000000000001</v>
      </c>
      <c r="X46" s="506">
        <f>X11-X45</f>
        <v>97.535000000000011</v>
      </c>
      <c r="Y46" s="535">
        <f t="shared" si="73"/>
        <v>94.734999999999999</v>
      </c>
      <c r="Z46" s="535">
        <f t="shared" si="73"/>
        <v>92.335000000000008</v>
      </c>
      <c r="AA46" s="535">
        <f t="shared" si="73"/>
        <v>90.734999999999999</v>
      </c>
      <c r="AB46" s="535">
        <f t="shared" si="73"/>
        <v>94.400999999999996</v>
      </c>
      <c r="AC46" s="535">
        <f>AC11-AC45</f>
        <v>105.70099999999999</v>
      </c>
      <c r="AD46" s="535">
        <f t="shared" si="73"/>
        <v>97.678999999999988</v>
      </c>
      <c r="AE46" s="535">
        <f t="shared" si="73"/>
        <v>97.678999999999988</v>
      </c>
      <c r="AF46" s="535">
        <f>AF11-AF45</f>
        <v>102.018</v>
      </c>
      <c r="AG46" s="535">
        <f>AG11-AG45</f>
        <v>99.867999999999995</v>
      </c>
      <c r="AH46" s="535">
        <f>AH11-AH45</f>
        <v>99.867999999999995</v>
      </c>
      <c r="AI46" s="535">
        <f t="shared" ref="AI46:AN46" si="74">AI11-AI45</f>
        <v>99.867999999999995</v>
      </c>
      <c r="AJ46" s="535">
        <f t="shared" si="74"/>
        <v>99.867999999999995</v>
      </c>
      <c r="AK46" s="535">
        <f t="shared" si="74"/>
        <v>99.867999999999995</v>
      </c>
      <c r="AL46" s="535">
        <f t="shared" si="74"/>
        <v>99.867999999999995</v>
      </c>
      <c r="AM46" s="535">
        <f t="shared" si="74"/>
        <v>99.867999999999995</v>
      </c>
      <c r="AN46" s="535">
        <f t="shared" si="74"/>
        <v>99.867999999999995</v>
      </c>
      <c r="AO46" s="497"/>
      <c r="AP46" s="497"/>
      <c r="AQ46" s="497"/>
      <c r="AR46" s="497"/>
      <c r="AS46" s="497"/>
      <c r="AT46" s="497"/>
      <c r="AU46" s="497"/>
      <c r="AV46" s="497"/>
      <c r="AW46" s="497"/>
      <c r="AX46" s="497"/>
      <c r="AY46" s="497"/>
      <c r="AZ46" s="497"/>
      <c r="BA46" s="497"/>
      <c r="BB46" s="497"/>
      <c r="BC46" s="497"/>
      <c r="BD46" s="497"/>
      <c r="BE46" s="497"/>
      <c r="BF46" s="497"/>
      <c r="BG46" s="497"/>
      <c r="BH46" s="497"/>
      <c r="BI46" s="497"/>
      <c r="BJ46" s="497"/>
      <c r="BK46" s="497"/>
      <c r="BL46" s="497"/>
      <c r="BM46" s="497"/>
      <c r="BN46" s="497"/>
      <c r="BO46" s="497"/>
      <c r="BP46" s="497"/>
      <c r="BQ46" s="497"/>
      <c r="BR46" s="497"/>
      <c r="BS46" s="497"/>
      <c r="BT46" s="497"/>
      <c r="BU46" s="497"/>
      <c r="BV46" s="497"/>
      <c r="BW46" s="497"/>
      <c r="BX46" s="497"/>
      <c r="BY46" s="497"/>
      <c r="BZ46" s="497"/>
      <c r="CA46" s="497"/>
    </row>
    <row r="47" spans="1:79" ht="19.5" customHeight="1" x14ac:dyDescent="0.25">
      <c r="A47" s="497"/>
      <c r="B47" s="256"/>
      <c r="C47" s="256"/>
      <c r="D47" s="256"/>
      <c r="E47" s="256"/>
      <c r="F47" s="534"/>
      <c r="G47" s="534"/>
      <c r="H47" s="534"/>
      <c r="I47" s="534"/>
      <c r="J47" s="534"/>
      <c r="K47" s="534"/>
      <c r="L47" s="534"/>
      <c r="M47" s="534"/>
      <c r="N47" s="534"/>
      <c r="O47" s="534"/>
      <c r="P47" s="534"/>
      <c r="Q47" s="534"/>
      <c r="R47" s="534"/>
      <c r="S47" s="534"/>
      <c r="T47" s="534"/>
      <c r="U47" s="534"/>
      <c r="V47" s="534"/>
      <c r="W47" s="534"/>
      <c r="X47" s="534"/>
      <c r="Y47" s="534"/>
      <c r="Z47" s="534"/>
      <c r="AA47" s="534"/>
      <c r="AB47" s="534"/>
      <c r="AC47" s="534"/>
      <c r="AG47" s="497"/>
      <c r="AH47" s="497"/>
      <c r="AI47" s="497"/>
      <c r="AJ47" s="497"/>
      <c r="AK47" s="497"/>
      <c r="AL47" s="497"/>
      <c r="AM47" s="497"/>
      <c r="AN47" s="497"/>
      <c r="AO47" s="497"/>
      <c r="AP47" s="497"/>
      <c r="AQ47" s="497"/>
      <c r="AR47" s="497"/>
      <c r="AS47" s="497"/>
      <c r="AT47" s="497"/>
      <c r="AU47" s="497"/>
      <c r="AV47" s="497"/>
      <c r="AW47" s="497"/>
      <c r="AX47" s="497"/>
      <c r="AY47" s="497"/>
      <c r="AZ47" s="497"/>
      <c r="BA47" s="497"/>
      <c r="BB47" s="497"/>
      <c r="BC47" s="497"/>
      <c r="BD47" s="497"/>
      <c r="BE47" s="497"/>
      <c r="BF47" s="497"/>
      <c r="BG47" s="497"/>
      <c r="BH47" s="497"/>
      <c r="BI47" s="497"/>
      <c r="BJ47" s="497"/>
      <c r="BK47" s="497"/>
      <c r="BL47" s="497"/>
      <c r="BM47" s="497"/>
      <c r="BN47" s="497"/>
      <c r="BO47" s="497"/>
      <c r="BP47" s="497"/>
      <c r="BQ47" s="497"/>
      <c r="BR47" s="497"/>
      <c r="BS47" s="497"/>
      <c r="BT47" s="497"/>
      <c r="BU47" s="497"/>
      <c r="BV47" s="497"/>
      <c r="BW47" s="497"/>
      <c r="BX47" s="497"/>
      <c r="BY47" s="497"/>
      <c r="BZ47" s="497"/>
      <c r="CA47" s="497"/>
    </row>
    <row r="48" spans="1:79" ht="19.5" customHeight="1" x14ac:dyDescent="0.25">
      <c r="A48" s="497"/>
      <c r="B48" s="256" t="s">
        <v>861</v>
      </c>
      <c r="C48" s="256"/>
      <c r="D48" s="256"/>
      <c r="E48" s="256"/>
      <c r="F48" s="534"/>
      <c r="G48" s="534"/>
      <c r="H48" s="534"/>
      <c r="I48" s="534"/>
      <c r="J48" s="534"/>
      <c r="K48" s="534"/>
      <c r="L48" s="534"/>
      <c r="M48" s="534"/>
      <c r="N48" s="534"/>
      <c r="O48" s="534"/>
      <c r="P48" s="534"/>
      <c r="Q48" s="534"/>
      <c r="R48" s="534"/>
      <c r="S48" s="534"/>
      <c r="T48" s="534">
        <v>110.8</v>
      </c>
      <c r="U48" s="516">
        <v>96.021999999999991</v>
      </c>
      <c r="V48" s="233">
        <v>88.50800000000001</v>
      </c>
      <c r="W48" s="233">
        <v>88.50800000000001</v>
      </c>
      <c r="X48" s="233">
        <v>85.631</v>
      </c>
      <c r="Y48" s="233">
        <v>85.631</v>
      </c>
      <c r="Z48" s="233">
        <v>85.631</v>
      </c>
      <c r="AA48" s="233">
        <v>85.631</v>
      </c>
      <c r="AB48" s="233">
        <v>90.463999999999999</v>
      </c>
      <c r="AC48" s="233">
        <v>90.463999999999999</v>
      </c>
      <c r="AD48" s="515">
        <f>U11-U48</f>
        <v>7.7780000000000058</v>
      </c>
      <c r="AG48" s="497"/>
      <c r="AH48" s="497"/>
      <c r="AI48" s="497"/>
      <c r="AJ48" s="497"/>
      <c r="AK48" s="497"/>
      <c r="AL48" s="497"/>
      <c r="AM48" s="497"/>
      <c r="AN48" s="497"/>
      <c r="AO48" s="497"/>
      <c r="AP48" s="497"/>
      <c r="AQ48" s="497"/>
      <c r="AR48" s="497"/>
      <c r="AS48" s="497"/>
      <c r="AT48" s="497"/>
      <c r="AU48" s="497"/>
      <c r="AV48" s="497"/>
      <c r="AW48" s="497"/>
      <c r="AX48" s="497"/>
      <c r="AY48" s="497"/>
      <c r="AZ48" s="497"/>
      <c r="BA48" s="497"/>
      <c r="BB48" s="497"/>
      <c r="BC48" s="497"/>
      <c r="BD48" s="497"/>
      <c r="BE48" s="497"/>
      <c r="BF48" s="497"/>
      <c r="BG48" s="497"/>
      <c r="BH48" s="497"/>
      <c r="BI48" s="497"/>
      <c r="BJ48" s="497"/>
      <c r="BK48" s="497"/>
      <c r="BL48" s="497"/>
      <c r="BM48" s="497"/>
      <c r="BN48" s="497"/>
      <c r="BO48" s="497"/>
      <c r="BP48" s="497"/>
      <c r="BQ48" s="497"/>
      <c r="BR48" s="497"/>
      <c r="BS48" s="497"/>
      <c r="BT48" s="497"/>
      <c r="BU48" s="497"/>
      <c r="BV48" s="497"/>
      <c r="BW48" s="497"/>
      <c r="BX48" s="497"/>
      <c r="BY48" s="497"/>
      <c r="BZ48" s="497"/>
      <c r="CA48" s="497"/>
    </row>
    <row r="49" spans="2:30" x14ac:dyDescent="0.25">
      <c r="B49" s="511" t="s">
        <v>403</v>
      </c>
      <c r="C49" s="238"/>
      <c r="D49" s="238"/>
      <c r="E49" s="238"/>
      <c r="F49" s="238"/>
      <c r="G49" s="238"/>
      <c r="H49" s="238"/>
      <c r="I49" s="238"/>
      <c r="J49" s="238"/>
      <c r="K49" s="238"/>
      <c r="L49" s="238"/>
      <c r="M49" s="238"/>
      <c r="N49" s="238"/>
      <c r="O49" s="238"/>
      <c r="P49" s="481"/>
      <c r="Q49" s="481"/>
      <c r="R49" s="481"/>
      <c r="S49" s="481"/>
      <c r="T49" s="512">
        <v>78.977999999999994</v>
      </c>
      <c r="U49" s="513">
        <v>76</v>
      </c>
      <c r="V49" s="513">
        <v>76</v>
      </c>
      <c r="W49" s="513">
        <v>76</v>
      </c>
      <c r="X49" s="513">
        <v>76</v>
      </c>
      <c r="Y49" s="513">
        <v>76</v>
      </c>
      <c r="Z49" s="513">
        <v>76</v>
      </c>
      <c r="AA49" s="513">
        <v>76</v>
      </c>
      <c r="AB49" s="513">
        <v>76</v>
      </c>
      <c r="AC49" s="513">
        <v>76</v>
      </c>
      <c r="AD49" s="515">
        <f t="shared" ref="AD49:AD83" si="75">U12-U49</f>
        <v>15.292000000000002</v>
      </c>
    </row>
    <row r="50" spans="2:30" x14ac:dyDescent="0.25">
      <c r="B50" t="s">
        <v>404</v>
      </c>
      <c r="T50" s="74">
        <v>31.822000000000003</v>
      </c>
      <c r="U50" s="74">
        <v>20.021999999999998</v>
      </c>
      <c r="V50" s="74">
        <v>12.508000000000003</v>
      </c>
      <c r="W50" s="74">
        <v>12.508000000000003</v>
      </c>
      <c r="X50" s="74">
        <v>9.6310000000000002</v>
      </c>
      <c r="Y50" s="74">
        <v>9.6310000000000002</v>
      </c>
      <c r="Z50" s="74">
        <v>9.6310000000000002</v>
      </c>
      <c r="AA50" s="74">
        <v>9.6310000000000002</v>
      </c>
      <c r="AB50" s="74">
        <v>14.464</v>
      </c>
      <c r="AC50" s="74">
        <v>14.464</v>
      </c>
      <c r="AD50" s="515">
        <f t="shared" si="75"/>
        <v>-7.5139999999999958</v>
      </c>
    </row>
    <row r="51" spans="2:30" x14ac:dyDescent="0.25">
      <c r="B51" t="s">
        <v>50</v>
      </c>
      <c r="S51" s="56"/>
      <c r="T51" s="75">
        <v>0</v>
      </c>
      <c r="U51" s="74"/>
      <c r="V51" s="74"/>
      <c r="W51" s="74"/>
      <c r="X51" s="74"/>
      <c r="Y51" s="74"/>
      <c r="AD51" s="515">
        <f t="shared" si="75"/>
        <v>0</v>
      </c>
    </row>
    <row r="52" spans="2:30" x14ac:dyDescent="0.25">
      <c r="B52" t="s">
        <v>405</v>
      </c>
      <c r="T52" s="75">
        <v>28.200000000000003</v>
      </c>
      <c r="U52" s="75">
        <v>16.399999999999999</v>
      </c>
      <c r="V52" s="75">
        <v>8.886000000000001</v>
      </c>
      <c r="W52" s="75">
        <v>8.886000000000001</v>
      </c>
      <c r="X52" s="75">
        <v>0.2</v>
      </c>
      <c r="Y52" s="75">
        <v>0.2</v>
      </c>
      <c r="Z52" s="75">
        <v>0.2</v>
      </c>
      <c r="AA52" s="75">
        <v>0.2</v>
      </c>
      <c r="AB52" s="75">
        <v>0</v>
      </c>
      <c r="AC52" s="75">
        <v>0</v>
      </c>
      <c r="AD52" s="515">
        <f t="shared" si="75"/>
        <v>-7.5139999999999976</v>
      </c>
    </row>
    <row r="53" spans="2:30" x14ac:dyDescent="0.25">
      <c r="B53" t="s">
        <v>145</v>
      </c>
      <c r="T53" s="75">
        <v>0</v>
      </c>
      <c r="U53" s="74"/>
      <c r="V53" s="74"/>
      <c r="W53" s="74"/>
      <c r="X53" s="74"/>
      <c r="Y53" s="74"/>
      <c r="AD53" s="515">
        <f t="shared" si="75"/>
        <v>0</v>
      </c>
    </row>
    <row r="54" spans="2:30" x14ac:dyDescent="0.25">
      <c r="B54" t="s">
        <v>143</v>
      </c>
      <c r="T54" s="75">
        <v>0</v>
      </c>
      <c r="U54" s="74">
        <v>0</v>
      </c>
      <c r="V54" s="74">
        <v>0</v>
      </c>
      <c r="W54" s="74">
        <v>0</v>
      </c>
      <c r="X54" s="74">
        <v>0</v>
      </c>
      <c r="Y54" s="74">
        <v>0</v>
      </c>
      <c r="Z54" s="74">
        <v>0</v>
      </c>
      <c r="AA54" s="74">
        <v>0</v>
      </c>
      <c r="AB54" s="74">
        <v>0</v>
      </c>
      <c r="AC54" s="74">
        <v>0</v>
      </c>
      <c r="AD54" s="515">
        <f t="shared" si="75"/>
        <v>0</v>
      </c>
    </row>
    <row r="55" spans="2:30" x14ac:dyDescent="0.25">
      <c r="B55" t="s">
        <v>142</v>
      </c>
      <c r="T55" s="75">
        <v>0.4</v>
      </c>
      <c r="U55" s="74">
        <v>0</v>
      </c>
      <c r="V55" s="74">
        <v>0</v>
      </c>
      <c r="W55" s="74">
        <v>0</v>
      </c>
      <c r="X55" s="74">
        <v>0</v>
      </c>
      <c r="Y55" s="74">
        <v>0</v>
      </c>
      <c r="Z55" s="74">
        <v>0</v>
      </c>
      <c r="AA55" s="74">
        <v>0</v>
      </c>
      <c r="AB55" s="74">
        <v>0</v>
      </c>
      <c r="AC55" s="74">
        <v>0</v>
      </c>
      <c r="AD55" s="515">
        <f t="shared" si="75"/>
        <v>0</v>
      </c>
    </row>
    <row r="56" spans="2:30" x14ac:dyDescent="0.25">
      <c r="B56" t="s">
        <v>409</v>
      </c>
      <c r="T56" s="75">
        <v>3.6</v>
      </c>
      <c r="U56" s="74"/>
      <c r="V56" s="74"/>
      <c r="W56" s="74"/>
      <c r="X56" s="74"/>
      <c r="Y56" s="74"/>
      <c r="AD56" s="515">
        <f t="shared" si="75"/>
        <v>0</v>
      </c>
    </row>
    <row r="57" spans="2:30" x14ac:dyDescent="0.25">
      <c r="B57" t="s">
        <v>144</v>
      </c>
      <c r="T57" s="75">
        <v>15.8</v>
      </c>
      <c r="U57" s="74">
        <v>8</v>
      </c>
      <c r="V57" s="74">
        <v>0.48599999999999993</v>
      </c>
      <c r="W57" s="74">
        <v>0.48599999999999993</v>
      </c>
      <c r="X57" s="74">
        <v>0</v>
      </c>
      <c r="Y57" s="74">
        <v>0</v>
      </c>
      <c r="Z57" s="74">
        <v>0</v>
      </c>
      <c r="AA57" s="74">
        <v>0</v>
      </c>
      <c r="AB57" s="74">
        <v>0</v>
      </c>
      <c r="AC57" s="74">
        <v>0</v>
      </c>
      <c r="AD57" s="515">
        <f t="shared" si="75"/>
        <v>-7.5140000000000002</v>
      </c>
    </row>
    <row r="58" spans="2:30" x14ac:dyDescent="0.25">
      <c r="B58" t="s">
        <v>148</v>
      </c>
      <c r="T58" s="75">
        <v>0</v>
      </c>
      <c r="U58" s="74">
        <v>0</v>
      </c>
      <c r="V58" s="74">
        <v>0</v>
      </c>
      <c r="W58" s="74">
        <v>0</v>
      </c>
      <c r="X58" s="74">
        <v>0</v>
      </c>
      <c r="Y58" s="74">
        <v>0</v>
      </c>
      <c r="Z58" s="74">
        <v>0</v>
      </c>
      <c r="AA58" s="74">
        <v>0</v>
      </c>
      <c r="AB58" s="74">
        <v>0</v>
      </c>
      <c r="AC58" s="74">
        <v>0</v>
      </c>
      <c r="AD58" s="515">
        <f t="shared" si="75"/>
        <v>0</v>
      </c>
    </row>
    <row r="59" spans="2:30" x14ac:dyDescent="0.25">
      <c r="B59" t="s">
        <v>412</v>
      </c>
      <c r="T59" s="75">
        <v>0</v>
      </c>
      <c r="U59" s="74">
        <v>0</v>
      </c>
      <c r="V59" s="74">
        <v>0</v>
      </c>
      <c r="W59" s="74">
        <v>0</v>
      </c>
      <c r="X59" s="74">
        <v>0</v>
      </c>
      <c r="Y59" s="74">
        <v>0</v>
      </c>
      <c r="Z59" s="74">
        <v>0</v>
      </c>
      <c r="AA59" s="74">
        <v>0</v>
      </c>
      <c r="AB59" s="74">
        <v>0</v>
      </c>
      <c r="AC59" s="74">
        <v>0</v>
      </c>
      <c r="AD59" s="515">
        <f t="shared" si="75"/>
        <v>0</v>
      </c>
    </row>
    <row r="60" spans="2:30" x14ac:dyDescent="0.25">
      <c r="B60" t="s">
        <v>413</v>
      </c>
      <c r="T60" s="75">
        <v>0</v>
      </c>
      <c r="U60" s="74">
        <v>0</v>
      </c>
      <c r="V60" s="74">
        <v>0</v>
      </c>
      <c r="W60" s="74">
        <v>0</v>
      </c>
      <c r="X60" s="74">
        <v>0</v>
      </c>
      <c r="Y60" s="74">
        <v>0</v>
      </c>
      <c r="Z60" s="74">
        <v>0</v>
      </c>
      <c r="AA60" s="74">
        <v>0</v>
      </c>
      <c r="AB60" s="74">
        <v>0</v>
      </c>
      <c r="AC60" s="74">
        <v>0</v>
      </c>
      <c r="AD60" s="515">
        <f t="shared" si="75"/>
        <v>0</v>
      </c>
    </row>
    <row r="61" spans="2:30" x14ac:dyDescent="0.25">
      <c r="B61" t="s">
        <v>414</v>
      </c>
      <c r="T61" s="74">
        <v>8.4</v>
      </c>
      <c r="U61" s="74">
        <v>8.4</v>
      </c>
      <c r="V61" s="74">
        <v>8.4</v>
      </c>
      <c r="W61" s="74">
        <v>8.4</v>
      </c>
      <c r="X61" s="74">
        <v>0.2</v>
      </c>
      <c r="Y61" s="74">
        <v>0.2</v>
      </c>
      <c r="Z61" s="74">
        <v>0.2</v>
      </c>
      <c r="AA61" s="74">
        <v>0.2</v>
      </c>
      <c r="AB61" s="74">
        <v>0</v>
      </c>
      <c r="AC61" s="74">
        <v>0</v>
      </c>
      <c r="AD61" s="515">
        <f t="shared" si="75"/>
        <v>0</v>
      </c>
    </row>
    <row r="62" spans="2:30" x14ac:dyDescent="0.25">
      <c r="B62" t="s">
        <v>415</v>
      </c>
      <c r="T62" s="74">
        <v>0</v>
      </c>
      <c r="U62" s="74">
        <v>0</v>
      </c>
      <c r="V62" s="74">
        <v>0</v>
      </c>
      <c r="W62" s="74">
        <v>0</v>
      </c>
      <c r="X62" s="74">
        <v>0</v>
      </c>
      <c r="Y62" s="74">
        <v>0</v>
      </c>
      <c r="Z62" s="74">
        <v>0</v>
      </c>
      <c r="AA62" s="74">
        <v>0</v>
      </c>
      <c r="AB62" s="74">
        <v>0</v>
      </c>
      <c r="AC62" s="74">
        <v>0</v>
      </c>
      <c r="AD62" s="515">
        <f t="shared" si="75"/>
        <v>0</v>
      </c>
    </row>
    <row r="63" spans="2:30" x14ac:dyDescent="0.25">
      <c r="B63" t="s">
        <v>1371</v>
      </c>
      <c r="T63" s="74">
        <v>2.3250000000000002</v>
      </c>
      <c r="U63" s="74">
        <v>2.3250000000000002</v>
      </c>
      <c r="V63" s="74">
        <v>2.3250000000000002</v>
      </c>
      <c r="W63" s="74">
        <v>2.3250000000000002</v>
      </c>
      <c r="X63" s="74">
        <v>5.5830000000000002</v>
      </c>
      <c r="Y63" s="74">
        <v>5.5830000000000002</v>
      </c>
      <c r="Z63" s="74">
        <v>5.5830000000000002</v>
      </c>
      <c r="AA63" s="74">
        <v>5.5830000000000002</v>
      </c>
      <c r="AB63" s="74">
        <v>8.0220000000000002</v>
      </c>
      <c r="AC63" s="74">
        <v>8.0220000000000002</v>
      </c>
      <c r="AD63" s="515">
        <f t="shared" si="75"/>
        <v>0</v>
      </c>
    </row>
    <row r="64" spans="2:30" x14ac:dyDescent="0.25">
      <c r="B64" t="s">
        <v>1179</v>
      </c>
      <c r="T64" s="74">
        <v>1.2969999999999999</v>
      </c>
      <c r="U64" s="74">
        <v>1.2969999999999999</v>
      </c>
      <c r="V64" s="74">
        <v>1.2969999999999999</v>
      </c>
      <c r="W64" s="74">
        <v>1.2969999999999999</v>
      </c>
      <c r="X64" s="74">
        <v>3.8479999999999999</v>
      </c>
      <c r="Y64" s="74">
        <v>3.8479999999999999</v>
      </c>
      <c r="Z64" s="74">
        <v>3.8479999999999999</v>
      </c>
      <c r="AA64" s="74">
        <v>3.8479999999999999</v>
      </c>
      <c r="AB64" s="74">
        <v>6.4420000000000002</v>
      </c>
      <c r="AC64" s="74">
        <v>6.4420000000000002</v>
      </c>
      <c r="AD64" s="515">
        <f t="shared" si="75"/>
        <v>0</v>
      </c>
    </row>
    <row r="65" spans="2:30" x14ac:dyDescent="0.25">
      <c r="B65" t="s">
        <v>416</v>
      </c>
      <c r="T65" s="74"/>
      <c r="U65" s="74"/>
      <c r="AD65" s="515">
        <f t="shared" si="75"/>
        <v>0</v>
      </c>
    </row>
    <row r="66" spans="2:30" x14ac:dyDescent="0.25">
      <c r="B66" t="s">
        <v>417</v>
      </c>
      <c r="T66" s="74"/>
      <c r="U66" s="74"/>
      <c r="AD66" s="515">
        <f t="shared" si="75"/>
        <v>0</v>
      </c>
    </row>
    <row r="67" spans="2:30" x14ac:dyDescent="0.25">
      <c r="B67" t="s">
        <v>418</v>
      </c>
      <c r="T67" s="74"/>
      <c r="U67" s="74"/>
      <c r="AD67" s="515">
        <f t="shared" si="75"/>
        <v>0</v>
      </c>
    </row>
    <row r="68" spans="2:30" x14ac:dyDescent="0.25">
      <c r="B68" t="s">
        <v>415</v>
      </c>
      <c r="T68" s="74"/>
      <c r="U68" s="74"/>
      <c r="AD68" s="515">
        <f t="shared" si="75"/>
        <v>0</v>
      </c>
    </row>
    <row r="69" spans="2:30" x14ac:dyDescent="0.25">
      <c r="B69" t="s">
        <v>412</v>
      </c>
      <c r="T69" s="514"/>
      <c r="U69" s="514"/>
      <c r="AD69" s="515">
        <f t="shared" si="75"/>
        <v>0</v>
      </c>
    </row>
    <row r="70" spans="2:30" x14ac:dyDescent="0.25">
      <c r="B70" t="s">
        <v>419</v>
      </c>
      <c r="T70" s="514"/>
      <c r="U70" s="514"/>
      <c r="AD70" s="515">
        <f t="shared" si="75"/>
        <v>0</v>
      </c>
    </row>
    <row r="71" spans="2:30" x14ac:dyDescent="0.25">
      <c r="B71" t="s">
        <v>420</v>
      </c>
      <c r="T71" s="74"/>
      <c r="U71" s="74"/>
      <c r="AD71" s="515">
        <f t="shared" si="75"/>
        <v>0</v>
      </c>
    </row>
    <row r="72" spans="2:30" x14ac:dyDescent="0.25">
      <c r="B72" t="s">
        <v>421</v>
      </c>
      <c r="T72" s="74"/>
      <c r="U72" s="74"/>
      <c r="AD72" s="515">
        <f t="shared" si="75"/>
        <v>0</v>
      </c>
    </row>
    <row r="73" spans="2:30" x14ac:dyDescent="0.25">
      <c r="B73" t="s">
        <v>143</v>
      </c>
      <c r="T73" s="74">
        <v>0</v>
      </c>
      <c r="U73" s="74">
        <v>0</v>
      </c>
      <c r="V73" s="74">
        <v>0</v>
      </c>
      <c r="W73" s="74">
        <v>0</v>
      </c>
      <c r="X73" s="74">
        <v>0</v>
      </c>
      <c r="Y73" s="74">
        <v>0</v>
      </c>
      <c r="Z73" s="74">
        <v>0</v>
      </c>
      <c r="AA73" s="74">
        <v>0</v>
      </c>
      <c r="AB73" s="74">
        <v>0</v>
      </c>
      <c r="AC73" s="74">
        <v>0</v>
      </c>
      <c r="AD73" s="515">
        <f t="shared" si="75"/>
        <v>0</v>
      </c>
    </row>
    <row r="74" spans="2:30" x14ac:dyDescent="0.25">
      <c r="B74" t="s">
        <v>422</v>
      </c>
      <c r="T74" s="74">
        <v>0.48599999999999993</v>
      </c>
      <c r="U74" s="74">
        <v>0.48599999999999993</v>
      </c>
      <c r="V74" s="74">
        <v>0.48599999999999993</v>
      </c>
      <c r="W74" s="74">
        <v>0.48599999999999993</v>
      </c>
      <c r="X74" s="74">
        <v>0</v>
      </c>
      <c r="Y74" s="74">
        <v>0</v>
      </c>
      <c r="Z74" s="74">
        <v>0</v>
      </c>
      <c r="AA74" s="74">
        <v>0</v>
      </c>
      <c r="AB74" s="74">
        <v>0</v>
      </c>
      <c r="AC74" s="74">
        <v>0</v>
      </c>
      <c r="AD74" s="515">
        <f t="shared" si="75"/>
        <v>0</v>
      </c>
    </row>
    <row r="75" spans="2:30" x14ac:dyDescent="0.25">
      <c r="B75" t="s">
        <v>148</v>
      </c>
      <c r="T75" s="74">
        <v>0</v>
      </c>
      <c r="U75" s="74">
        <v>0</v>
      </c>
      <c r="V75" s="74">
        <v>0</v>
      </c>
      <c r="W75" s="74">
        <v>0</v>
      </c>
      <c r="X75" s="74">
        <v>0</v>
      </c>
      <c r="Y75" s="74">
        <v>0</v>
      </c>
      <c r="Z75" s="74">
        <v>0</v>
      </c>
      <c r="AA75" s="74">
        <v>0</v>
      </c>
      <c r="AB75" s="74">
        <v>0</v>
      </c>
      <c r="AC75" s="74">
        <v>0</v>
      </c>
      <c r="AD75" s="515">
        <f t="shared" si="75"/>
        <v>0</v>
      </c>
    </row>
    <row r="76" spans="2:30" x14ac:dyDescent="0.25">
      <c r="B76" t="s">
        <v>412</v>
      </c>
      <c r="T76" s="74">
        <v>0.78750000000000009</v>
      </c>
      <c r="U76" s="74">
        <v>0.78750000000000009</v>
      </c>
      <c r="V76" s="74">
        <v>0.78750000000000009</v>
      </c>
      <c r="W76" s="74">
        <v>0.78750000000000009</v>
      </c>
      <c r="X76" s="74">
        <v>0</v>
      </c>
      <c r="Y76" s="74">
        <v>0</v>
      </c>
      <c r="Z76" s="74">
        <v>0</v>
      </c>
      <c r="AA76" s="74">
        <v>0</v>
      </c>
      <c r="AB76" s="74">
        <v>0</v>
      </c>
      <c r="AC76" s="74">
        <v>0</v>
      </c>
      <c r="AD76" s="515">
        <f t="shared" si="75"/>
        <v>0</v>
      </c>
    </row>
    <row r="77" spans="2:30" x14ac:dyDescent="0.25">
      <c r="B77" t="s">
        <v>423</v>
      </c>
      <c r="T77" s="74">
        <v>1.3125000000000002</v>
      </c>
      <c r="U77" s="74">
        <v>1.3125000000000002</v>
      </c>
      <c r="V77" s="74">
        <v>1.3125000000000002</v>
      </c>
      <c r="W77" s="74">
        <v>1.3125000000000002</v>
      </c>
      <c r="X77" s="74">
        <v>0</v>
      </c>
      <c r="Y77" s="74">
        <v>0</v>
      </c>
      <c r="Z77" s="74">
        <v>0</v>
      </c>
      <c r="AA77" s="74">
        <v>0</v>
      </c>
      <c r="AB77" s="74">
        <v>0</v>
      </c>
      <c r="AC77" s="74">
        <v>0</v>
      </c>
      <c r="AD77" s="515">
        <f t="shared" si="75"/>
        <v>0</v>
      </c>
    </row>
    <row r="78" spans="2:30" x14ac:dyDescent="0.25">
      <c r="B78" t="s">
        <v>424</v>
      </c>
      <c r="T78" s="74">
        <v>8.4</v>
      </c>
      <c r="U78" s="74">
        <v>8.4</v>
      </c>
      <c r="V78" s="74">
        <v>8.4</v>
      </c>
      <c r="W78" s="74">
        <v>8.4</v>
      </c>
      <c r="X78" s="74">
        <v>0.2</v>
      </c>
      <c r="Y78" s="74">
        <v>0.2</v>
      </c>
      <c r="Z78" s="74">
        <v>0.2</v>
      </c>
      <c r="AA78" s="74">
        <v>0.2</v>
      </c>
      <c r="AB78" s="74">
        <v>0</v>
      </c>
      <c r="AC78" s="74">
        <v>0</v>
      </c>
      <c r="AD78" s="515">
        <f t="shared" si="75"/>
        <v>0</v>
      </c>
    </row>
    <row r="79" spans="2:30" x14ac:dyDescent="0.25">
      <c r="B79" t="s">
        <v>425</v>
      </c>
      <c r="T79" s="74">
        <v>0</v>
      </c>
      <c r="U79" s="74">
        <v>0</v>
      </c>
      <c r="V79" s="74">
        <v>0</v>
      </c>
      <c r="W79" s="74">
        <v>0</v>
      </c>
      <c r="X79" s="74">
        <v>0</v>
      </c>
      <c r="Y79" s="74">
        <v>0</v>
      </c>
      <c r="Z79" s="74">
        <v>0</v>
      </c>
      <c r="AA79" s="74">
        <v>0</v>
      </c>
      <c r="AB79" s="74">
        <v>0</v>
      </c>
      <c r="AC79" s="74">
        <v>0</v>
      </c>
      <c r="AD79" s="515">
        <f t="shared" si="75"/>
        <v>0</v>
      </c>
    </row>
    <row r="80" spans="2:30" x14ac:dyDescent="0.25">
      <c r="B80" t="s">
        <v>311</v>
      </c>
      <c r="T80" s="74">
        <v>12.362</v>
      </c>
      <c r="U80" s="74">
        <v>12.362</v>
      </c>
      <c r="V80" s="74">
        <v>12.362</v>
      </c>
      <c r="W80" s="74">
        <v>12.362</v>
      </c>
      <c r="X80" s="74">
        <v>-0.67500000000000004</v>
      </c>
      <c r="Y80" s="74">
        <v>-0.67500000000000004</v>
      </c>
      <c r="Z80" s="74">
        <v>-0.67500000000000004</v>
      </c>
      <c r="AA80" s="74">
        <v>-0.67500000000000004</v>
      </c>
      <c r="AB80" s="74">
        <v>0</v>
      </c>
      <c r="AC80" s="74">
        <v>0</v>
      </c>
      <c r="AD80" s="515">
        <f t="shared" si="75"/>
        <v>0</v>
      </c>
    </row>
    <row r="81" spans="2:30" x14ac:dyDescent="0.25">
      <c r="B81" t="s">
        <v>426</v>
      </c>
      <c r="T81" s="74"/>
      <c r="U81" s="74"/>
      <c r="AD81" s="515">
        <f t="shared" si="75"/>
        <v>0</v>
      </c>
    </row>
    <row r="82" spans="2:30" x14ac:dyDescent="0.25">
      <c r="B82" t="s">
        <v>427</v>
      </c>
      <c r="T82" s="74">
        <v>12.726000000000001</v>
      </c>
      <c r="U82" s="74">
        <v>12.726000000000001</v>
      </c>
      <c r="V82" s="74">
        <v>12.726000000000001</v>
      </c>
      <c r="W82" s="74">
        <v>12.726000000000001</v>
      </c>
      <c r="X82" s="74">
        <v>1.365</v>
      </c>
      <c r="Y82" s="74">
        <v>1.365</v>
      </c>
      <c r="Z82" s="74">
        <v>1.365</v>
      </c>
      <c r="AA82" s="74">
        <v>1.365</v>
      </c>
      <c r="AB82" s="74">
        <v>-0.90100000000000025</v>
      </c>
      <c r="AC82" s="74">
        <v>-0.90100000000000025</v>
      </c>
      <c r="AD82" s="515">
        <f t="shared" si="75"/>
        <v>0</v>
      </c>
    </row>
    <row r="83" spans="2:30" x14ac:dyDescent="0.25">
      <c r="B83" t="s">
        <v>199</v>
      </c>
      <c r="T83" s="75">
        <v>98.073999999999998</v>
      </c>
      <c r="U83" s="515">
        <v>83.295999999999992</v>
      </c>
      <c r="V83" s="75">
        <v>75.782000000000011</v>
      </c>
      <c r="W83" s="75">
        <v>75.782000000000011</v>
      </c>
      <c r="X83" s="75">
        <v>84.266000000000005</v>
      </c>
      <c r="Y83" s="75">
        <v>84.266000000000005</v>
      </c>
      <c r="Z83" s="75">
        <v>84.266000000000005</v>
      </c>
      <c r="AA83" s="75">
        <v>84.266000000000005</v>
      </c>
      <c r="AB83" s="75">
        <v>91.364999999999995</v>
      </c>
      <c r="AC83" s="75">
        <v>91.364999999999995</v>
      </c>
      <c r="AD83" s="515">
        <f t="shared" si="75"/>
        <v>7.7780000000000058</v>
      </c>
    </row>
    <row r="84" spans="2:30" x14ac:dyDescent="0.25">
      <c r="AD84" s="515"/>
    </row>
  </sheetData>
  <mergeCells count="16">
    <mergeCell ref="AK9:AN9"/>
    <mergeCell ref="U9:X9"/>
    <mergeCell ref="Q9:T9"/>
    <mergeCell ref="B1:AC1"/>
    <mergeCell ref="M9:P9"/>
    <mergeCell ref="B2:AC6"/>
    <mergeCell ref="AC9:AF9"/>
    <mergeCell ref="AG9:AJ9"/>
    <mergeCell ref="AC8:AN8"/>
    <mergeCell ref="B44:C44"/>
    <mergeCell ref="B28:C28"/>
    <mergeCell ref="B8:C10"/>
    <mergeCell ref="I9:L9"/>
    <mergeCell ref="E9:H9"/>
    <mergeCell ref="B35:C35"/>
    <mergeCell ref="D8:AB8"/>
  </mergeCells>
  <pageMargins left="0.7" right="0.7" top="0.75" bottom="0.75" header="0.3" footer="0.3"/>
  <pageSetup orientation="portrait"/>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O53"/>
  <sheetViews>
    <sheetView zoomScale="85" zoomScaleNormal="85" workbookViewId="0">
      <pane xSplit="3" ySplit="9" topLeftCell="Q16" activePane="bottomRight" state="frozen"/>
      <selection pane="topRight" activeCell="D1" sqref="D1"/>
      <selection pane="bottomLeft" activeCell="A10" sqref="A10"/>
      <selection pane="bottomRight" activeCell="AD29" sqref="AD29"/>
    </sheetView>
  </sheetViews>
  <sheetFormatPr defaultColWidth="10.85546875" defaultRowHeight="15" x14ac:dyDescent="0.25"/>
  <cols>
    <col min="2" max="2" width="31.85546875" customWidth="1"/>
    <col min="6" max="6" width="9" customWidth="1"/>
    <col min="7" max="7" width="10.140625" customWidth="1"/>
    <col min="8" max="11" width="7.42578125" customWidth="1"/>
    <col min="13" max="13" width="8.42578125" customWidth="1"/>
    <col min="14" max="27" width="9.140625" customWidth="1"/>
    <col min="28" max="28" width="13" customWidth="1"/>
  </cols>
  <sheetData>
    <row r="1" spans="2:41" x14ac:dyDescent="0.25">
      <c r="B1" s="1264" t="s">
        <v>54</v>
      </c>
      <c r="C1" s="1264"/>
      <c r="D1" s="1264"/>
      <c r="E1" s="1264"/>
      <c r="F1" s="1264"/>
      <c r="G1" s="1264"/>
      <c r="H1" s="1264"/>
      <c r="I1" s="1264"/>
      <c r="J1" s="1264"/>
      <c r="K1" s="1264"/>
      <c r="L1" s="1264"/>
      <c r="M1" s="1264"/>
      <c r="N1" s="1264"/>
      <c r="O1" s="1264"/>
      <c r="P1" s="1264"/>
      <c r="Q1" s="1264"/>
      <c r="R1" s="1264"/>
      <c r="S1" s="1264"/>
      <c r="T1" s="1264"/>
      <c r="U1" s="1264"/>
      <c r="V1" s="1264"/>
      <c r="W1" s="1264"/>
      <c r="X1" s="1264"/>
      <c r="Y1" s="1264"/>
      <c r="Z1" s="1264"/>
      <c r="AA1" s="1264"/>
      <c r="AB1" s="1264"/>
      <c r="AC1" s="1264"/>
      <c r="AD1" s="212"/>
      <c r="AE1" s="212"/>
      <c r="AF1" s="212"/>
      <c r="AG1" s="212"/>
      <c r="AH1" s="212"/>
    </row>
    <row r="2" spans="2:41" ht="14.25" customHeight="1" x14ac:dyDescent="0.25">
      <c r="B2" s="1348" t="s">
        <v>856</v>
      </c>
      <c r="C2" s="1348"/>
      <c r="D2" s="1348"/>
      <c r="E2" s="1348"/>
      <c r="F2" s="1348"/>
      <c r="G2" s="1348"/>
      <c r="H2" s="1348"/>
      <c r="I2" s="1348"/>
      <c r="J2" s="1348"/>
      <c r="K2" s="1348"/>
      <c r="L2" s="1348"/>
      <c r="M2" s="1348"/>
      <c r="N2" s="1348"/>
      <c r="O2" s="1348"/>
      <c r="P2" s="1348"/>
      <c r="Q2" s="1348"/>
      <c r="R2" s="1348"/>
      <c r="S2" s="1348"/>
      <c r="T2" s="1348"/>
      <c r="U2" s="1348"/>
      <c r="V2" s="1347" t="s">
        <v>904</v>
      </c>
      <c r="W2" s="1347"/>
      <c r="X2" s="1347"/>
      <c r="Y2" s="1347"/>
      <c r="Z2" s="1347"/>
      <c r="AA2" s="1347"/>
      <c r="AB2" s="1347"/>
      <c r="AC2" s="587"/>
      <c r="AD2" s="587"/>
      <c r="AE2" s="587"/>
      <c r="AF2" s="587"/>
      <c r="AG2" s="587"/>
      <c r="AH2" s="587"/>
    </row>
    <row r="3" spans="2:41" ht="59.85" customHeight="1" x14ac:dyDescent="0.25">
      <c r="B3" s="1348"/>
      <c r="C3" s="1348"/>
      <c r="D3" s="1348"/>
      <c r="E3" s="1348"/>
      <c r="F3" s="1348"/>
      <c r="G3" s="1348"/>
      <c r="H3" s="1348"/>
      <c r="I3" s="1348"/>
      <c r="J3" s="1348"/>
      <c r="K3" s="1348"/>
      <c r="L3" s="1348"/>
      <c r="M3" s="1348"/>
      <c r="N3" s="1348"/>
      <c r="O3" s="1348"/>
      <c r="P3" s="1348"/>
      <c r="Q3" s="1348"/>
      <c r="R3" s="1348"/>
      <c r="S3" s="1348"/>
      <c r="T3" s="1348"/>
      <c r="U3" s="1348"/>
      <c r="V3" s="1347"/>
      <c r="W3" s="1347"/>
      <c r="X3" s="1347"/>
      <c r="Y3" s="1347"/>
      <c r="Z3" s="1347"/>
      <c r="AA3" s="1347"/>
      <c r="AB3" s="1347"/>
      <c r="AC3" s="587"/>
      <c r="AD3" s="587"/>
      <c r="AE3" s="587"/>
      <c r="AF3" s="587"/>
      <c r="AG3" s="587"/>
      <c r="AH3" s="587"/>
    </row>
    <row r="4" spans="2:41" ht="88.5" customHeight="1" x14ac:dyDescent="0.25">
      <c r="B4" s="1348"/>
      <c r="C4" s="1348"/>
      <c r="D4" s="1348"/>
      <c r="E4" s="1348"/>
      <c r="F4" s="1348"/>
      <c r="G4" s="1348"/>
      <c r="H4" s="1348"/>
      <c r="I4" s="1348"/>
      <c r="J4" s="1348"/>
      <c r="K4" s="1348"/>
      <c r="L4" s="1348"/>
      <c r="M4" s="1348"/>
      <c r="N4" s="1348"/>
      <c r="O4" s="1348"/>
      <c r="P4" s="1348"/>
      <c r="Q4" s="1348"/>
      <c r="R4" s="1348"/>
      <c r="S4" s="1348"/>
      <c r="T4" s="1348"/>
      <c r="U4" s="1348"/>
      <c r="V4" s="1347"/>
      <c r="W4" s="1347"/>
      <c r="X4" s="1347"/>
      <c r="Y4" s="1347"/>
      <c r="Z4" s="1347"/>
      <c r="AA4" s="1347"/>
      <c r="AB4" s="1347"/>
      <c r="AC4" s="587"/>
      <c r="AD4" s="587"/>
      <c r="AE4" s="587"/>
      <c r="AF4" s="587"/>
      <c r="AG4" s="587"/>
      <c r="AH4" s="587"/>
    </row>
    <row r="5" spans="2:41" ht="33" customHeight="1" x14ac:dyDescent="0.25">
      <c r="B5" s="587"/>
      <c r="C5" s="587"/>
      <c r="D5" s="587"/>
      <c r="E5" s="587"/>
      <c r="F5" s="587"/>
      <c r="G5" s="587"/>
      <c r="H5" s="587"/>
      <c r="I5" s="587"/>
      <c r="J5" s="587"/>
      <c r="K5" s="587"/>
      <c r="L5" s="587"/>
      <c r="M5" s="587"/>
      <c r="N5" s="587"/>
      <c r="O5" s="587"/>
      <c r="P5" s="587"/>
      <c r="Q5" s="587"/>
      <c r="R5" s="587"/>
      <c r="S5" s="587"/>
      <c r="T5" s="587"/>
      <c r="U5" s="587"/>
      <c r="V5" s="587"/>
      <c r="W5" s="587"/>
      <c r="X5" s="587"/>
      <c r="Y5" s="587"/>
      <c r="Z5" s="587"/>
      <c r="AA5" s="587"/>
      <c r="AB5" s="587"/>
      <c r="AC5" s="587"/>
      <c r="AD5" s="587"/>
      <c r="AE5" s="587"/>
      <c r="AF5" s="587"/>
      <c r="AG5" s="587"/>
      <c r="AH5" s="587"/>
    </row>
    <row r="6" spans="2:41" x14ac:dyDescent="0.25">
      <c r="B6" s="587"/>
      <c r="C6" s="587"/>
      <c r="D6" s="587"/>
      <c r="E6" s="587"/>
      <c r="F6" s="587"/>
      <c r="G6" s="587"/>
      <c r="H6" s="587"/>
      <c r="I6" s="587"/>
      <c r="J6" s="587"/>
      <c r="K6" s="587"/>
      <c r="L6" s="587"/>
      <c r="M6" s="587"/>
      <c r="N6" s="587"/>
      <c r="O6" s="587"/>
      <c r="P6" s="587"/>
      <c r="Q6" s="587"/>
      <c r="R6" s="587"/>
      <c r="S6" s="587"/>
      <c r="T6" s="587"/>
      <c r="U6" s="587"/>
      <c r="V6" s="587"/>
      <c r="W6" s="587"/>
      <c r="X6" s="587"/>
      <c r="Y6" s="587"/>
      <c r="Z6" s="587"/>
      <c r="AA6" s="587"/>
      <c r="AB6" s="587"/>
      <c r="AC6" s="587"/>
      <c r="AD6" s="587"/>
      <c r="AE6" s="587"/>
      <c r="AF6" s="587"/>
      <c r="AG6" s="587"/>
      <c r="AH6" s="587"/>
    </row>
    <row r="7" spans="2:41" ht="14.85" customHeight="1" x14ac:dyDescent="0.25">
      <c r="B7" s="1269" t="s">
        <v>402</v>
      </c>
      <c r="C7" s="1270"/>
      <c r="D7" s="1279" t="s">
        <v>279</v>
      </c>
      <c r="E7" s="1279"/>
      <c r="F7" s="1279"/>
      <c r="G7" s="1279"/>
      <c r="H7" s="1279"/>
      <c r="I7" s="1279"/>
      <c r="J7" s="1279"/>
      <c r="K7" s="1279"/>
      <c r="L7" s="1279"/>
      <c r="M7" s="1279"/>
      <c r="N7" s="1279"/>
      <c r="O7" s="1279"/>
      <c r="P7" s="1279"/>
      <c r="Q7" s="1279"/>
      <c r="R7" s="1279"/>
      <c r="S7" s="1279"/>
      <c r="T7" s="1279"/>
      <c r="U7" s="1279"/>
      <c r="V7" s="1279"/>
      <c r="W7" s="1279"/>
      <c r="X7" s="1279"/>
      <c r="Y7" s="1279"/>
      <c r="Z7" s="1279"/>
      <c r="AA7" s="1279"/>
      <c r="AB7" s="1279"/>
      <c r="AC7" s="1296" t="s">
        <v>280</v>
      </c>
      <c r="AD7" s="1277"/>
      <c r="AE7" s="1277"/>
      <c r="AF7" s="1277"/>
      <c r="AG7" s="1277"/>
      <c r="AH7" s="1277"/>
      <c r="AI7" s="1277"/>
      <c r="AJ7" s="1277"/>
      <c r="AK7" s="1277"/>
      <c r="AL7" s="1277"/>
      <c r="AM7" s="1277"/>
      <c r="AN7" s="1278"/>
    </row>
    <row r="8" spans="2:41" x14ac:dyDescent="0.25">
      <c r="B8" s="1271"/>
      <c r="C8" s="1314"/>
      <c r="D8" s="285">
        <v>2018</v>
      </c>
      <c r="E8" s="1288">
        <v>2019</v>
      </c>
      <c r="F8" s="1289"/>
      <c r="G8" s="1289"/>
      <c r="H8" s="1290"/>
      <c r="I8" s="1288">
        <v>2020</v>
      </c>
      <c r="J8" s="1289"/>
      <c r="K8" s="1289"/>
      <c r="L8" s="1289"/>
      <c r="M8" s="1288">
        <v>2021</v>
      </c>
      <c r="N8" s="1289"/>
      <c r="O8" s="1289"/>
      <c r="P8" s="1289"/>
      <c r="Q8" s="1288">
        <v>2022</v>
      </c>
      <c r="R8" s="1300"/>
      <c r="S8" s="1300"/>
      <c r="T8" s="1290"/>
      <c r="U8" s="291"/>
      <c r="V8" s="291">
        <v>2023</v>
      </c>
      <c r="W8" s="431"/>
      <c r="X8" s="298"/>
      <c r="Y8" s="441"/>
      <c r="Z8" s="431">
        <v>2024</v>
      </c>
      <c r="AA8" s="431"/>
      <c r="AB8" s="298"/>
      <c r="AC8" s="1275">
        <v>2025</v>
      </c>
      <c r="AD8" s="1281"/>
      <c r="AE8" s="1281"/>
      <c r="AF8" s="1280"/>
      <c r="AG8" s="1275">
        <v>2026</v>
      </c>
      <c r="AH8" s="1276"/>
      <c r="AI8" s="1276"/>
      <c r="AJ8" s="1280"/>
      <c r="AK8" s="1275">
        <v>2027</v>
      </c>
      <c r="AL8" s="1276"/>
      <c r="AM8" s="1276"/>
      <c r="AN8" s="1280"/>
      <c r="AO8" s="238"/>
    </row>
    <row r="9" spans="2:41" x14ac:dyDescent="0.25">
      <c r="B9" s="1271"/>
      <c r="C9" s="1314"/>
      <c r="D9" s="214" t="s">
        <v>281</v>
      </c>
      <c r="E9" s="214" t="s">
        <v>282</v>
      </c>
      <c r="F9" s="215" t="s">
        <v>283</v>
      </c>
      <c r="G9" s="215" t="s">
        <v>238</v>
      </c>
      <c r="H9" s="221" t="s">
        <v>281</v>
      </c>
      <c r="I9" s="215" t="s">
        <v>282</v>
      </c>
      <c r="J9" s="215" t="s">
        <v>283</v>
      </c>
      <c r="K9" s="215" t="s">
        <v>238</v>
      </c>
      <c r="L9" s="215" t="s">
        <v>281</v>
      </c>
      <c r="M9" s="214" t="s">
        <v>282</v>
      </c>
      <c r="N9" s="215" t="s">
        <v>283</v>
      </c>
      <c r="O9" s="215" t="s">
        <v>238</v>
      </c>
      <c r="P9" s="215" t="s">
        <v>281</v>
      </c>
      <c r="Q9" s="214" t="s">
        <v>282</v>
      </c>
      <c r="R9" s="215" t="s">
        <v>283</v>
      </c>
      <c r="S9" s="215" t="s">
        <v>238</v>
      </c>
      <c r="T9" s="221" t="s">
        <v>281</v>
      </c>
      <c r="U9" s="215" t="s">
        <v>282</v>
      </c>
      <c r="V9" s="276" t="s">
        <v>283</v>
      </c>
      <c r="W9" s="276" t="s">
        <v>238</v>
      </c>
      <c r="X9" s="274" t="s">
        <v>281</v>
      </c>
      <c r="Y9" s="275" t="s">
        <v>282</v>
      </c>
      <c r="Z9" s="281" t="s">
        <v>283</v>
      </c>
      <c r="AA9" s="276" t="s">
        <v>238</v>
      </c>
      <c r="AB9" s="276" t="s">
        <v>281</v>
      </c>
      <c r="AC9" s="275" t="s">
        <v>282</v>
      </c>
      <c r="AD9" s="260" t="s">
        <v>283</v>
      </c>
      <c r="AE9" s="262" t="s">
        <v>238</v>
      </c>
      <c r="AF9" s="262" t="s">
        <v>281</v>
      </c>
      <c r="AG9" s="225" t="s">
        <v>282</v>
      </c>
      <c r="AH9" s="260" t="s">
        <v>283</v>
      </c>
      <c r="AI9" s="260" t="s">
        <v>238</v>
      </c>
      <c r="AJ9" s="279" t="s">
        <v>281</v>
      </c>
      <c r="AK9" s="225" t="s">
        <v>282</v>
      </c>
      <c r="AL9" s="260" t="s">
        <v>283</v>
      </c>
      <c r="AM9" s="260" t="s">
        <v>238</v>
      </c>
      <c r="AN9" s="279" t="s">
        <v>281</v>
      </c>
      <c r="AO9" s="222"/>
    </row>
    <row r="10" spans="2:41" x14ac:dyDescent="0.25">
      <c r="B10" s="557" t="s">
        <v>101</v>
      </c>
      <c r="C10" s="543" t="s">
        <v>428</v>
      </c>
      <c r="D10" s="563">
        <f>'Haver Pivoted'!GO13</f>
        <v>589.5</v>
      </c>
      <c r="E10" s="564">
        <f>'Haver Pivoted'!GP13</f>
        <v>598.70000000000005</v>
      </c>
      <c r="F10" s="564">
        <f>'Haver Pivoted'!GQ13</f>
        <v>614.4</v>
      </c>
      <c r="G10" s="564">
        <f>'Haver Pivoted'!GR13</f>
        <v>622.4</v>
      </c>
      <c r="H10" s="564">
        <f>'Haver Pivoted'!GS13</f>
        <v>620.6</v>
      </c>
      <c r="I10" s="564">
        <f>'Haver Pivoted'!GT13</f>
        <v>606.5</v>
      </c>
      <c r="J10" s="564">
        <f>'Haver Pivoted'!GU13</f>
        <v>654.6</v>
      </c>
      <c r="K10" s="564">
        <f>'Haver Pivoted'!GV13</f>
        <v>690.8</v>
      </c>
      <c r="L10" s="564">
        <f>'Haver Pivoted'!GW13</f>
        <v>678.6</v>
      </c>
      <c r="M10" s="564">
        <f>'Haver Pivoted'!GX13</f>
        <v>704.9</v>
      </c>
      <c r="N10" s="564">
        <f>'Haver Pivoted'!GY13</f>
        <v>745.6</v>
      </c>
      <c r="O10" s="564">
        <f>'Haver Pivoted'!GZ13</f>
        <v>749.2</v>
      </c>
      <c r="P10" s="564">
        <f>'Haver Pivoted'!HA13</f>
        <v>746.3</v>
      </c>
      <c r="Q10" s="564">
        <f>'Haver Pivoted'!HB13</f>
        <v>791.9</v>
      </c>
      <c r="R10" s="564">
        <f>'Haver Pivoted'!HC13</f>
        <v>819.2</v>
      </c>
      <c r="S10" s="565">
        <f>'Haver Pivoted'!HD13</f>
        <v>819</v>
      </c>
      <c r="T10" s="555">
        <f>'Haver Pivoted'!HE13</f>
        <v>827.5</v>
      </c>
      <c r="U10" s="565">
        <f>'Haver Pivoted'!HF13</f>
        <v>877.6</v>
      </c>
      <c r="V10" s="565">
        <f>'Haver Pivoted'!HG13</f>
        <v>911.6</v>
      </c>
      <c r="W10" s="565">
        <f>'Haver Pivoted'!HH13</f>
        <v>867.2</v>
      </c>
      <c r="X10" s="565">
        <f>'Haver Pivoted'!HI13</f>
        <v>856.2</v>
      </c>
      <c r="Y10" s="565">
        <f>'Haver Pivoted'!HJ13</f>
        <v>904.8</v>
      </c>
      <c r="Z10" s="565">
        <f>'Haver Pivoted'!HK13</f>
        <v>924.7</v>
      </c>
      <c r="AA10" s="565">
        <f>'Haver Pivoted'!HL13</f>
        <v>932.4</v>
      </c>
      <c r="AB10" s="565">
        <f>'Haver Pivoted'!HM13</f>
        <v>944.8</v>
      </c>
      <c r="AC10" s="565">
        <f>'Haver Pivoted'!HN13</f>
        <v>966.6</v>
      </c>
      <c r="AD10" s="318"/>
      <c r="AE10" s="318"/>
      <c r="AF10" s="318"/>
      <c r="AG10" s="318"/>
      <c r="AH10" s="318"/>
      <c r="AI10" s="318"/>
      <c r="AJ10" s="318"/>
      <c r="AK10" s="318"/>
      <c r="AL10" s="318"/>
      <c r="AM10" s="318"/>
      <c r="AN10" s="318"/>
    </row>
    <row r="11" spans="2:41" x14ac:dyDescent="0.25">
      <c r="B11" s="548" t="s">
        <v>429</v>
      </c>
      <c r="C11" s="238" t="s">
        <v>338</v>
      </c>
      <c r="D11" s="583">
        <f>'Haver Pivoted'!GO40</f>
        <v>391.92099999999999</v>
      </c>
      <c r="E11" s="491">
        <f>'Haver Pivoted'!GP40</f>
        <v>405.36799999999999</v>
      </c>
      <c r="F11" s="491">
        <f>'Haver Pivoted'!GQ40</f>
        <v>414.19600000000003</v>
      </c>
      <c r="G11" s="491">
        <f>'Haver Pivoted'!GR40</f>
        <v>418.68599999999998</v>
      </c>
      <c r="H11" s="491">
        <f>'Haver Pivoted'!GS40</f>
        <v>416.185</v>
      </c>
      <c r="I11" s="491">
        <f>'Haver Pivoted'!GT40</f>
        <v>422.89</v>
      </c>
      <c r="J11" s="491">
        <f>'Haver Pivoted'!GU40</f>
        <v>502.90600000000001</v>
      </c>
      <c r="K11" s="491">
        <f>'Haver Pivoted'!GV40</f>
        <v>484.48</v>
      </c>
      <c r="L11" s="491">
        <f>'Haver Pivoted'!GW40</f>
        <v>509.88400000000001</v>
      </c>
      <c r="M11" s="491">
        <f>'Haver Pivoted'!GX40</f>
        <v>499.42899999999997</v>
      </c>
      <c r="N11" s="491">
        <f>'Haver Pivoted'!GY40</f>
        <v>520.79</v>
      </c>
      <c r="O11" s="491">
        <f>'Haver Pivoted'!GZ40</f>
        <v>545.32600000000002</v>
      </c>
      <c r="P11" s="491">
        <f>'Haver Pivoted'!HA40</f>
        <v>567.61</v>
      </c>
      <c r="Q11" s="491">
        <f>'Haver Pivoted'!HB40</f>
        <v>589.92700000000002</v>
      </c>
      <c r="R11" s="491">
        <f>'Haver Pivoted'!HC40</f>
        <v>585.74599999999998</v>
      </c>
      <c r="S11" s="553">
        <f>'Haver Pivoted'!HD40</f>
        <v>617.88900000000001</v>
      </c>
      <c r="T11" s="553">
        <f>'Haver Pivoted'!HE40</f>
        <v>611.67999999999995</v>
      </c>
      <c r="U11" s="553">
        <f>'Haver Pivoted'!HF40</f>
        <v>632.66</v>
      </c>
      <c r="V11" s="553">
        <f>'Haver Pivoted'!HG40</f>
        <v>628.88699999999994</v>
      </c>
      <c r="W11" s="553">
        <f>'Haver Pivoted'!HH40</f>
        <v>585.98400000000004</v>
      </c>
      <c r="X11" s="553">
        <f>'Haver Pivoted'!HI40</f>
        <v>612.03399999999999</v>
      </c>
      <c r="Y11" s="553">
        <f>'Haver Pivoted'!HJ40</f>
        <v>618.72699999999998</v>
      </c>
      <c r="Z11" s="553">
        <f>'Haver Pivoted'!HK40</f>
        <v>628.15700000000004</v>
      </c>
      <c r="AA11" s="553">
        <f>'Haver Pivoted'!HL40</f>
        <v>641.23699999999997</v>
      </c>
      <c r="AB11" s="553">
        <f>'Haver Pivoted'!HM40</f>
        <v>655.17499999999995</v>
      </c>
      <c r="AC11" s="553">
        <f>'Haver Pivoted'!HN40</f>
        <v>647.03</v>
      </c>
      <c r="AD11" s="318"/>
      <c r="AE11" s="318"/>
      <c r="AF11" s="318"/>
      <c r="AG11" s="318"/>
      <c r="AH11" s="318"/>
      <c r="AI11" s="318"/>
      <c r="AJ11" s="318"/>
      <c r="AK11" s="318"/>
      <c r="AL11" s="318"/>
      <c r="AM11" s="318"/>
      <c r="AN11" s="318"/>
    </row>
    <row r="12" spans="2:41" ht="27.6" customHeight="1" x14ac:dyDescent="0.25">
      <c r="B12" s="521" t="s">
        <v>888</v>
      </c>
      <c r="C12" s="35"/>
      <c r="D12" s="586">
        <f t="shared" ref="D12:N12" si="0">D11/D10</f>
        <v>0.66483630195080579</v>
      </c>
      <c r="E12" s="570">
        <f t="shared" si="0"/>
        <v>0.67708034073826617</v>
      </c>
      <c r="F12" s="570">
        <f t="shared" si="0"/>
        <v>0.67414713541666671</v>
      </c>
      <c r="G12" s="570">
        <f t="shared" si="0"/>
        <v>0.67269601542416446</v>
      </c>
      <c r="H12" s="570">
        <f t="shared" si="0"/>
        <v>0.67061714469867872</v>
      </c>
      <c r="I12" s="570">
        <f t="shared" si="0"/>
        <v>0.69726298433635614</v>
      </c>
      <c r="J12" s="570">
        <f t="shared" si="0"/>
        <v>0.76826458906202255</v>
      </c>
      <c r="K12" s="570">
        <f t="shared" si="0"/>
        <v>0.70133178922987849</v>
      </c>
      <c r="L12" s="570">
        <f t="shared" si="0"/>
        <v>0.75137636310050104</v>
      </c>
      <c r="M12" s="570">
        <f t="shared" si="0"/>
        <v>0.70851042701092348</v>
      </c>
      <c r="N12" s="570">
        <f t="shared" si="0"/>
        <v>0.69848444206008575</v>
      </c>
      <c r="O12" s="570">
        <f t="shared" ref="O12:T12" si="1">O11/O10</f>
        <v>0.72787773625200214</v>
      </c>
      <c r="P12" s="570">
        <f t="shared" si="1"/>
        <v>0.76056545625083749</v>
      </c>
      <c r="Q12" s="570">
        <f t="shared" si="1"/>
        <v>0.74495138275034734</v>
      </c>
      <c r="R12" s="570">
        <f t="shared" si="1"/>
        <v>0.71502197265624989</v>
      </c>
      <c r="S12" s="566">
        <f>S11/S10</f>
        <v>0.75444322344322345</v>
      </c>
      <c r="T12" s="566">
        <f t="shared" si="1"/>
        <v>0.73919033232628395</v>
      </c>
      <c r="U12" s="566">
        <f t="shared" ref="U12:W12" si="2">U11/U10</f>
        <v>0.72089790337283499</v>
      </c>
      <c r="V12" s="566">
        <f t="shared" si="2"/>
        <v>0.68987165423431318</v>
      </c>
      <c r="W12" s="566">
        <f t="shared" si="2"/>
        <v>0.67571955719557197</v>
      </c>
      <c r="X12" s="566">
        <f t="shared" ref="X12:AC12" si="3">X11/X10</f>
        <v>0.71482597523943003</v>
      </c>
      <c r="Y12" s="566">
        <f t="shared" si="3"/>
        <v>0.68382736516357212</v>
      </c>
      <c r="Z12" s="566">
        <f t="shared" si="3"/>
        <v>0.67930896506975236</v>
      </c>
      <c r="AA12" s="566">
        <f t="shared" si="3"/>
        <v>0.68772737022737018</v>
      </c>
      <c r="AB12" s="566">
        <f t="shared" si="3"/>
        <v>0.6934536409822184</v>
      </c>
      <c r="AC12" s="566">
        <f t="shared" si="3"/>
        <v>0.66938754396854949</v>
      </c>
      <c r="AD12" s="588">
        <f t="shared" ref="AD12:AN12" si="4">AVERAGE(Z12:AC12)</f>
        <v>0.68246938006197255</v>
      </c>
      <c r="AE12" s="588">
        <f t="shared" si="4"/>
        <v>0.68325948381002766</v>
      </c>
      <c r="AF12" s="588">
        <f t="shared" si="4"/>
        <v>0.682142512205692</v>
      </c>
      <c r="AG12" s="588">
        <f t="shared" si="4"/>
        <v>0.6793147300115604</v>
      </c>
      <c r="AH12" s="588">
        <f t="shared" si="4"/>
        <v>0.68179652652231315</v>
      </c>
      <c r="AI12" s="588">
        <f t="shared" si="4"/>
        <v>0.68162831313739825</v>
      </c>
      <c r="AJ12" s="588">
        <f t="shared" si="4"/>
        <v>0.68122052046924086</v>
      </c>
      <c r="AK12" s="588">
        <f t="shared" si="4"/>
        <v>0.68099002253512808</v>
      </c>
      <c r="AL12" s="588">
        <f t="shared" si="4"/>
        <v>0.68140884566602</v>
      </c>
      <c r="AM12" s="588">
        <f t="shared" si="4"/>
        <v>0.68131192545194685</v>
      </c>
      <c r="AN12" s="588">
        <f t="shared" si="4"/>
        <v>0.68123282853058398</v>
      </c>
    </row>
    <row r="13" spans="2:41" ht="27.6" customHeight="1" x14ac:dyDescent="0.25">
      <c r="O13" s="56"/>
      <c r="P13" s="56"/>
      <c r="Q13" s="56"/>
      <c r="R13" s="56"/>
      <c r="S13" s="56"/>
      <c r="T13" s="56"/>
      <c r="Y13" s="554"/>
      <c r="Z13" s="554"/>
      <c r="AA13" s="554"/>
      <c r="AB13" s="554"/>
      <c r="AC13" s="554"/>
      <c r="AD13" s="554"/>
      <c r="AE13" s="554"/>
      <c r="AF13" s="554"/>
      <c r="AG13" s="554"/>
      <c r="AH13" s="554"/>
      <c r="AI13" s="56"/>
    </row>
    <row r="14" spans="2:41" x14ac:dyDescent="0.25">
      <c r="O14" s="56"/>
      <c r="P14" s="238"/>
      <c r="Q14" s="56"/>
      <c r="R14" s="56"/>
      <c r="S14" s="56"/>
      <c r="T14" s="491"/>
      <c r="Y14" s="222"/>
      <c r="Z14" s="222"/>
      <c r="AA14" s="222"/>
      <c r="AB14" s="222"/>
      <c r="AC14" s="222"/>
      <c r="AD14" s="222"/>
      <c r="AE14" s="222"/>
      <c r="AF14" s="222"/>
      <c r="AG14" s="222"/>
      <c r="AH14" s="222"/>
      <c r="AI14" s="56"/>
    </row>
    <row r="15" spans="2:41" x14ac:dyDescent="0.25">
      <c r="B15" s="511" t="s">
        <v>351</v>
      </c>
      <c r="O15" s="56"/>
      <c r="P15" s="238"/>
      <c r="Q15" s="56"/>
      <c r="R15" s="56"/>
      <c r="S15" s="56"/>
      <c r="T15" s="491"/>
      <c r="Y15" s="222"/>
      <c r="Z15" s="222"/>
      <c r="AA15" s="222"/>
      <c r="AB15" s="222"/>
      <c r="AC15" s="222"/>
      <c r="AD15" s="222"/>
      <c r="AE15" s="222"/>
      <c r="AF15" s="222"/>
      <c r="AG15" s="222"/>
      <c r="AH15" s="222"/>
      <c r="AI15" s="56"/>
    </row>
    <row r="16" spans="2:41" ht="25.35" customHeight="1" x14ac:dyDescent="0.25">
      <c r="B16" s="560" t="s">
        <v>430</v>
      </c>
      <c r="C16" s="558">
        <v>2020</v>
      </c>
      <c r="D16" s="558">
        <v>2021</v>
      </c>
      <c r="E16" s="558">
        <v>2022</v>
      </c>
      <c r="F16" s="558">
        <v>2023</v>
      </c>
      <c r="G16" s="558">
        <v>2024</v>
      </c>
      <c r="H16" s="558">
        <v>2025</v>
      </c>
      <c r="I16" s="558">
        <v>2026</v>
      </c>
      <c r="J16" s="558">
        <v>2027</v>
      </c>
      <c r="K16" s="559">
        <v>2028</v>
      </c>
      <c r="O16" s="56"/>
      <c r="P16" s="238"/>
      <c r="Q16" s="56"/>
      <c r="R16" s="56"/>
      <c r="S16" s="56"/>
      <c r="T16" s="554"/>
      <c r="U16" s="554"/>
      <c r="V16" s="554"/>
      <c r="W16" s="554"/>
      <c r="X16" s="554"/>
      <c r="Y16" s="554"/>
      <c r="Z16" s="554"/>
      <c r="AA16" s="554"/>
      <c r="AB16" s="554"/>
      <c r="AC16" s="554"/>
      <c r="AD16" s="554"/>
      <c r="AE16" s="554"/>
      <c r="AF16" s="554"/>
      <c r="AG16" s="554"/>
      <c r="AH16" s="554"/>
      <c r="AI16" s="56"/>
    </row>
    <row r="17" spans="2:41" ht="31.5" customHeight="1" x14ac:dyDescent="0.25">
      <c r="B17" s="585" t="s">
        <v>1965</v>
      </c>
      <c r="C17" s="248">
        <v>458.46800000000002</v>
      </c>
      <c r="D17" s="259">
        <v>520.58799999999997</v>
      </c>
      <c r="E17" s="259">
        <v>591.94899999999996</v>
      </c>
      <c r="F17" s="259">
        <v>615.77200000000005</v>
      </c>
      <c r="G17" s="259">
        <v>617.51700000000005</v>
      </c>
      <c r="H17" s="259">
        <v>655.87</v>
      </c>
      <c r="I17" s="259">
        <v>695.20899999999995</v>
      </c>
      <c r="J17" s="259">
        <v>737.62</v>
      </c>
      <c r="K17" s="544">
        <v>766.58699999999999</v>
      </c>
      <c r="L17" s="259">
        <v>803.17</v>
      </c>
      <c r="M17" s="259">
        <v>836.60199999999998</v>
      </c>
      <c r="N17" s="259">
        <v>870.99400000000003</v>
      </c>
      <c r="O17" s="259">
        <v>910.18399999999997</v>
      </c>
      <c r="P17" s="259">
        <v>947.56500000000005</v>
      </c>
      <c r="Q17" s="259">
        <v>985.65899999999999</v>
      </c>
      <c r="R17" s="259">
        <v>1025.287</v>
      </c>
      <c r="S17" s="56"/>
      <c r="T17" s="56"/>
      <c r="U17" s="56"/>
      <c r="V17" s="56"/>
      <c r="W17" s="56"/>
      <c r="X17" s="56"/>
      <c r="Y17" s="56"/>
      <c r="Z17" s="56"/>
      <c r="AA17" s="56"/>
      <c r="AB17" s="56"/>
      <c r="AC17" s="56"/>
      <c r="AD17" s="56"/>
      <c r="AE17" s="56"/>
      <c r="AF17" s="56"/>
      <c r="AH17" s="56"/>
      <c r="AI17" s="56"/>
    </row>
    <row r="18" spans="2:41" x14ac:dyDescent="0.25">
      <c r="B18" s="548" t="s">
        <v>431</v>
      </c>
      <c r="C18" s="554">
        <f>AVERAGE(H12:K12)</f>
        <v>0.70936912683173392</v>
      </c>
      <c r="D18" s="554">
        <f>AVERAGE(L12:O12)</f>
        <v>0.72156224210587805</v>
      </c>
      <c r="E18" s="554">
        <f>AVERAGE(P12:S12)</f>
        <v>0.74374550877516454</v>
      </c>
      <c r="F18" s="554">
        <f>AVERAGE(T12:W12)</f>
        <v>0.70641986178225102</v>
      </c>
      <c r="G18" s="554">
        <f>AVERAGE(X12:AA12)</f>
        <v>0.6914224189250312</v>
      </c>
      <c r="H18" s="554">
        <f>AVERAGE(Y12:AB12)</f>
        <v>0.68607933536072829</v>
      </c>
      <c r="I18" s="554">
        <f>AVERAGE(AB12:AE12)</f>
        <v>0.682142512205692</v>
      </c>
      <c r="J18" s="554">
        <f>AVERAGE(AA12:AI12)</f>
        <v>0.68235327788078914</v>
      </c>
      <c r="K18" s="228"/>
    </row>
    <row r="19" spans="2:41" x14ac:dyDescent="0.25">
      <c r="B19" s="548" t="s">
        <v>432</v>
      </c>
      <c r="C19" s="222">
        <f t="shared" ref="C19:K19" si="5">C17/C18</f>
        <v>646.30385318242224</v>
      </c>
      <c r="D19" s="222">
        <f t="shared" si="5"/>
        <v>721.47344972024155</v>
      </c>
      <c r="E19" s="222">
        <f t="shared" si="5"/>
        <v>795.90262128083259</v>
      </c>
      <c r="F19" s="222">
        <f t="shared" si="5"/>
        <v>871.67990781919355</v>
      </c>
      <c r="G19" s="222">
        <f t="shared" si="5"/>
        <v>893.11104629795852</v>
      </c>
      <c r="H19" s="222">
        <f t="shared" si="5"/>
        <v>955.96816023493147</v>
      </c>
      <c r="I19" s="222">
        <f t="shared" si="5"/>
        <v>1019.1550703269581</v>
      </c>
      <c r="J19" s="222">
        <f t="shared" si="5"/>
        <v>1080.9942941739137</v>
      </c>
      <c r="K19" s="545" t="e">
        <f t="shared" si="5"/>
        <v>#DIV/0!</v>
      </c>
    </row>
    <row r="20" spans="2:41" ht="32.25" customHeight="1" x14ac:dyDescent="0.25">
      <c r="B20" s="521" t="s">
        <v>433</v>
      </c>
      <c r="C20" s="542"/>
      <c r="D20" s="570">
        <f>D19/C19-1</f>
        <v>0.11630689832295071</v>
      </c>
      <c r="E20" s="570">
        <f t="shared" ref="E20" si="6">E19/D19-1</f>
        <v>0.10316273119884278</v>
      </c>
      <c r="F20" s="570">
        <f>F19/E19-1</f>
        <v>9.5209243583610492E-2</v>
      </c>
      <c r="G20" s="570">
        <f>G19/F19-1</f>
        <v>2.4586018659512598E-2</v>
      </c>
      <c r="H20" s="570">
        <f>H19/G19-1+0.01</f>
        <v>8.0379953531559675E-2</v>
      </c>
      <c r="I20" s="570">
        <f>I19/H19-1</f>
        <v>6.609729562174782E-2</v>
      </c>
      <c r="J20" s="570">
        <f>J19/I19-1</f>
        <v>6.0676952553566421E-2</v>
      </c>
      <c r="K20" s="546" t="e">
        <f>K19/J19-1</f>
        <v>#DIV/0!</v>
      </c>
      <c r="L20" s="572"/>
      <c r="R20" s="56"/>
      <c r="S20" s="514"/>
      <c r="T20" s="514"/>
      <c r="U20" s="514"/>
    </row>
    <row r="21" spans="2:41" ht="32.25" customHeight="1" x14ac:dyDescent="0.25">
      <c r="B21" s="273"/>
      <c r="C21" s="222"/>
      <c r="D21" s="554"/>
      <c r="E21" s="554"/>
      <c r="F21" s="554"/>
      <c r="G21" s="554"/>
      <c r="H21" s="554"/>
      <c r="I21" s="554"/>
      <c r="J21" s="554"/>
      <c r="K21" s="572"/>
      <c r="L21" s="572"/>
      <c r="R21" s="56"/>
      <c r="S21" s="514"/>
      <c r="T21" s="514"/>
      <c r="U21" s="514"/>
    </row>
    <row r="23" spans="2:41" x14ac:dyDescent="0.25">
      <c r="B23" s="511" t="s">
        <v>364</v>
      </c>
    </row>
    <row r="24" spans="2:41" x14ac:dyDescent="0.25">
      <c r="B24" s="1269" t="s">
        <v>434</v>
      </c>
      <c r="C24" s="1313"/>
      <c r="D24" s="1293" t="s">
        <v>279</v>
      </c>
      <c r="E24" s="1294"/>
      <c r="F24" s="1294"/>
      <c r="G24" s="1294"/>
      <c r="H24" s="1294"/>
      <c r="I24" s="1294"/>
      <c r="J24" s="1294"/>
      <c r="K24" s="1294"/>
      <c r="L24" s="1294"/>
      <c r="M24" s="1294"/>
      <c r="N24" s="1294"/>
      <c r="O24" s="1294"/>
      <c r="P24" s="1294"/>
      <c r="Q24" s="1294"/>
      <c r="R24" s="1294"/>
      <c r="S24" s="1294"/>
      <c r="T24" s="1294"/>
      <c r="U24" s="1294"/>
      <c r="V24" s="1294"/>
      <c r="W24" s="1294"/>
      <c r="X24" s="1294"/>
      <c r="Y24" s="1294"/>
      <c r="Z24" s="1294"/>
      <c r="AA24" s="1294"/>
      <c r="AB24" s="1295"/>
      <c r="AC24" s="1296" t="s">
        <v>280</v>
      </c>
      <c r="AD24" s="1277"/>
      <c r="AE24" s="1277"/>
      <c r="AF24" s="1277"/>
      <c r="AG24" s="1277"/>
      <c r="AH24" s="1277"/>
      <c r="AI24" s="1277"/>
      <c r="AJ24" s="1277"/>
      <c r="AK24" s="1277"/>
      <c r="AL24" s="1277"/>
      <c r="AM24" s="1277"/>
      <c r="AN24" s="1278"/>
    </row>
    <row r="25" spans="2:41" x14ac:dyDescent="0.25">
      <c r="B25" s="1271"/>
      <c r="C25" s="1314"/>
      <c r="D25" s="285">
        <v>2018</v>
      </c>
      <c r="E25" s="1288">
        <v>2019</v>
      </c>
      <c r="F25" s="1289"/>
      <c r="G25" s="1289"/>
      <c r="H25" s="1290"/>
      <c r="I25" s="1288">
        <v>2020</v>
      </c>
      <c r="J25" s="1289"/>
      <c r="K25" s="1289"/>
      <c r="L25" s="1289"/>
      <c r="M25" s="1288">
        <v>2021</v>
      </c>
      <c r="N25" s="1289"/>
      <c r="O25" s="1289"/>
      <c r="P25" s="1289"/>
      <c r="Q25" s="1288">
        <v>2022</v>
      </c>
      <c r="R25" s="1300"/>
      <c r="S25" s="1300"/>
      <c r="T25" s="1290"/>
      <c r="U25" s="441"/>
      <c r="V25" s="431">
        <v>2023</v>
      </c>
      <c r="W25" s="431"/>
      <c r="X25" s="298"/>
      <c r="Y25" s="441"/>
      <c r="Z25" s="431">
        <v>2024</v>
      </c>
      <c r="AA25" s="431"/>
      <c r="AB25" s="298"/>
      <c r="AC25" s="1275">
        <v>2025</v>
      </c>
      <c r="AD25" s="1281"/>
      <c r="AE25" s="1281"/>
      <c r="AF25" s="1280"/>
      <c r="AG25" s="1275">
        <v>2026</v>
      </c>
      <c r="AH25" s="1276"/>
      <c r="AI25" s="1276"/>
      <c r="AJ25" s="1280"/>
      <c r="AK25" s="1275">
        <v>2027</v>
      </c>
      <c r="AL25" s="1276"/>
      <c r="AM25" s="1276"/>
      <c r="AN25" s="1280"/>
    </row>
    <row r="26" spans="2:41" x14ac:dyDescent="0.25">
      <c r="B26" s="1273"/>
      <c r="C26" s="1315"/>
      <c r="D26" s="214" t="s">
        <v>281</v>
      </c>
      <c r="E26" s="214" t="s">
        <v>282</v>
      </c>
      <c r="F26" s="215" t="s">
        <v>283</v>
      </c>
      <c r="G26" s="215" t="s">
        <v>238</v>
      </c>
      <c r="H26" s="221" t="s">
        <v>281</v>
      </c>
      <c r="I26" s="215" t="s">
        <v>282</v>
      </c>
      <c r="J26" s="215" t="s">
        <v>283</v>
      </c>
      <c r="K26" s="215" t="s">
        <v>238</v>
      </c>
      <c r="L26" s="215" t="s">
        <v>281</v>
      </c>
      <c r="M26" s="214" t="s">
        <v>282</v>
      </c>
      <c r="N26" s="215" t="s">
        <v>283</v>
      </c>
      <c r="O26" s="215" t="s">
        <v>238</v>
      </c>
      <c r="P26" s="215" t="s">
        <v>281</v>
      </c>
      <c r="Q26" s="214" t="s">
        <v>282</v>
      </c>
      <c r="R26" s="215" t="s">
        <v>283</v>
      </c>
      <c r="S26" s="215" t="s">
        <v>238</v>
      </c>
      <c r="T26" s="221" t="s">
        <v>281</v>
      </c>
      <c r="U26" s="275" t="s">
        <v>282</v>
      </c>
      <c r="V26" s="281" t="s">
        <v>283</v>
      </c>
      <c r="W26" s="276" t="s">
        <v>238</v>
      </c>
      <c r="X26" s="276" t="s">
        <v>281</v>
      </c>
      <c r="Y26" s="275" t="s">
        <v>282</v>
      </c>
      <c r="Z26" s="281" t="s">
        <v>283</v>
      </c>
      <c r="AA26" s="276" t="s">
        <v>238</v>
      </c>
      <c r="AB26" s="276" t="s">
        <v>281</v>
      </c>
      <c r="AC26" s="275" t="s">
        <v>282</v>
      </c>
      <c r="AD26" s="260" t="s">
        <v>283</v>
      </c>
      <c r="AE26" s="262" t="s">
        <v>238</v>
      </c>
      <c r="AF26" s="262" t="s">
        <v>281</v>
      </c>
      <c r="AG26" s="225" t="s">
        <v>282</v>
      </c>
      <c r="AH26" s="260" t="s">
        <v>283</v>
      </c>
      <c r="AI26" s="260" t="s">
        <v>238</v>
      </c>
      <c r="AJ26" s="279" t="s">
        <v>281</v>
      </c>
      <c r="AK26" s="225" t="s">
        <v>282</v>
      </c>
      <c r="AL26" s="260" t="s">
        <v>283</v>
      </c>
      <c r="AM26" s="260" t="s">
        <v>238</v>
      </c>
      <c r="AN26" s="279" t="s">
        <v>281</v>
      </c>
    </row>
    <row r="27" spans="2:41" ht="19.5" customHeight="1" x14ac:dyDescent="0.25">
      <c r="B27" s="580" t="s">
        <v>435</v>
      </c>
      <c r="C27" s="581"/>
      <c r="D27" s="567">
        <f t="shared" ref="D27:AC27" si="7">D10</f>
        <v>589.5</v>
      </c>
      <c r="E27" s="568">
        <f t="shared" si="7"/>
        <v>598.70000000000005</v>
      </c>
      <c r="F27" s="568">
        <f t="shared" si="7"/>
        <v>614.4</v>
      </c>
      <c r="G27" s="568">
        <f t="shared" si="7"/>
        <v>622.4</v>
      </c>
      <c r="H27" s="568">
        <f t="shared" si="7"/>
        <v>620.6</v>
      </c>
      <c r="I27" s="568">
        <f t="shared" si="7"/>
        <v>606.5</v>
      </c>
      <c r="J27" s="568">
        <f t="shared" si="7"/>
        <v>654.6</v>
      </c>
      <c r="K27" s="568">
        <f t="shared" si="7"/>
        <v>690.8</v>
      </c>
      <c r="L27" s="568">
        <f t="shared" si="7"/>
        <v>678.6</v>
      </c>
      <c r="M27" s="568">
        <f t="shared" si="7"/>
        <v>704.9</v>
      </c>
      <c r="N27" s="568">
        <f t="shared" si="7"/>
        <v>745.6</v>
      </c>
      <c r="O27" s="568">
        <f t="shared" si="7"/>
        <v>749.2</v>
      </c>
      <c r="P27" s="568">
        <f t="shared" si="7"/>
        <v>746.3</v>
      </c>
      <c r="Q27" s="568">
        <f t="shared" si="7"/>
        <v>791.9</v>
      </c>
      <c r="R27" s="568">
        <f t="shared" si="7"/>
        <v>819.2</v>
      </c>
      <c r="S27" s="569">
        <f t="shared" si="7"/>
        <v>819</v>
      </c>
      <c r="T27" s="556">
        <f t="shared" si="7"/>
        <v>827.5</v>
      </c>
      <c r="U27" s="569">
        <f t="shared" si="7"/>
        <v>877.6</v>
      </c>
      <c r="V27" s="569">
        <f t="shared" si="7"/>
        <v>911.6</v>
      </c>
      <c r="W27" s="569">
        <f t="shared" si="7"/>
        <v>867.2</v>
      </c>
      <c r="X27" s="569">
        <f t="shared" si="7"/>
        <v>856.2</v>
      </c>
      <c r="Y27" s="569">
        <f t="shared" si="7"/>
        <v>904.8</v>
      </c>
      <c r="Z27" s="569">
        <f t="shared" si="7"/>
        <v>924.7</v>
      </c>
      <c r="AA27" s="569">
        <f t="shared" si="7"/>
        <v>932.4</v>
      </c>
      <c r="AB27" s="569">
        <f t="shared" si="7"/>
        <v>944.8</v>
      </c>
      <c r="AC27" s="569">
        <f t="shared" si="7"/>
        <v>966.6</v>
      </c>
      <c r="AD27" s="579">
        <f>AC27*(1+$H$20)^0.25+AD28</f>
        <v>971.46435495301887</v>
      </c>
      <c r="AE27" s="579">
        <f>AD27*(1+$H$20)^0.25+AE28</f>
        <v>990.42364361020816</v>
      </c>
      <c r="AF27" s="550">
        <f>AE27*(1+$I$20)^0.25+AF28</f>
        <v>1006.3990306414189</v>
      </c>
      <c r="AG27" s="552">
        <f>AF27*(1+$I$20)^0.25+AG28</f>
        <v>1022.6320983049969</v>
      </c>
      <c r="AH27" s="552">
        <f>AG27*(1+$I$20)^0.25+AH28</f>
        <v>1039.1270029514687</v>
      </c>
      <c r="AI27" s="552">
        <f>AH27*(1+$I$20)^0.25+AI28</f>
        <v>1055.8879679726806</v>
      </c>
      <c r="AJ27" s="550">
        <f>AI27*(1+$J$20)^0.25+AJ28</f>
        <v>1071.552919993354</v>
      </c>
      <c r="AK27" s="552">
        <f>AJ27*(1+$J$20)^0.25+AK28</f>
        <v>1087.4502742472691</v>
      </c>
      <c r="AL27" s="552">
        <f>AK27*(1+$J$20)^0.25+AL28</f>
        <v>1103.5834786095261</v>
      </c>
      <c r="AM27" s="552">
        <f>AL27*(1+$J$20)^0.25+AM28</f>
        <v>1119.9560321072408</v>
      </c>
      <c r="AN27" s="550" t="e">
        <f>AM27*(1+$K$20)^0.25+AN28</f>
        <v>#DIV/0!</v>
      </c>
      <c r="AO27" s="561" t="s">
        <v>1827</v>
      </c>
    </row>
    <row r="28" spans="2:41" ht="19.5" customHeight="1" x14ac:dyDescent="0.25">
      <c r="B28" s="571" t="s">
        <v>1697</v>
      </c>
      <c r="C28" s="256"/>
      <c r="D28" s="582"/>
      <c r="E28" s="549"/>
      <c r="F28" s="549"/>
      <c r="G28" s="549"/>
      <c r="H28" s="549"/>
      <c r="I28" s="549"/>
      <c r="J28" s="549"/>
      <c r="K28" s="549"/>
      <c r="L28" s="549"/>
      <c r="M28" s="549"/>
      <c r="N28" s="549"/>
      <c r="O28" s="549"/>
      <c r="P28" s="549"/>
      <c r="Q28" s="549"/>
      <c r="R28" s="549"/>
      <c r="S28" s="549"/>
      <c r="T28" s="549"/>
      <c r="U28" s="549"/>
      <c r="V28" s="549"/>
      <c r="W28" s="549"/>
      <c r="X28" s="549"/>
      <c r="Y28" s="552"/>
      <c r="Z28" s="552"/>
      <c r="AA28" s="552"/>
      <c r="AB28" s="552"/>
      <c r="AC28" s="552">
        <v>26</v>
      </c>
      <c r="AD28" s="552">
        <v>-14</v>
      </c>
      <c r="AE28" s="552"/>
      <c r="AF28" s="552"/>
      <c r="AG28" s="552"/>
      <c r="AH28" s="552"/>
      <c r="AI28" s="552"/>
      <c r="AJ28" s="552"/>
      <c r="AK28" s="552"/>
      <c r="AL28" s="552"/>
      <c r="AM28" s="552"/>
      <c r="AN28" s="552"/>
    </row>
    <row r="29" spans="2:41" ht="19.350000000000001" customHeight="1" x14ac:dyDescent="0.25">
      <c r="B29" s="571" t="s">
        <v>207</v>
      </c>
      <c r="C29" s="256"/>
      <c r="D29" s="582">
        <f t="shared" ref="D29:Q29" si="8">D10*D12</f>
        <v>391.92099999999999</v>
      </c>
      <c r="E29" s="549">
        <f t="shared" si="8"/>
        <v>405.36799999999999</v>
      </c>
      <c r="F29" s="549">
        <f t="shared" si="8"/>
        <v>414.19600000000003</v>
      </c>
      <c r="G29" s="549">
        <f t="shared" si="8"/>
        <v>418.68599999999992</v>
      </c>
      <c r="H29" s="549">
        <f t="shared" si="8"/>
        <v>416.18500000000006</v>
      </c>
      <c r="I29" s="549">
        <f t="shared" si="8"/>
        <v>422.89</v>
      </c>
      <c r="J29" s="549">
        <f t="shared" si="8"/>
        <v>502.90600000000001</v>
      </c>
      <c r="K29" s="549">
        <f t="shared" si="8"/>
        <v>484.48</v>
      </c>
      <c r="L29" s="549">
        <f t="shared" si="8"/>
        <v>509.88400000000001</v>
      </c>
      <c r="M29" s="549">
        <f t="shared" si="8"/>
        <v>499.42899999999997</v>
      </c>
      <c r="N29" s="549">
        <f t="shared" si="8"/>
        <v>520.79</v>
      </c>
      <c r="O29" s="549">
        <f t="shared" si="8"/>
        <v>545.32600000000002</v>
      </c>
      <c r="P29" s="549">
        <f t="shared" si="8"/>
        <v>567.61</v>
      </c>
      <c r="Q29" s="549">
        <f t="shared" si="8"/>
        <v>589.92700000000002</v>
      </c>
      <c r="R29" s="549">
        <f t="shared" ref="R29:AN29" si="9">R27*R12</f>
        <v>585.74599999999998</v>
      </c>
      <c r="S29" s="549">
        <f t="shared" si="9"/>
        <v>617.88900000000001</v>
      </c>
      <c r="T29" s="549">
        <f t="shared" si="9"/>
        <v>611.67999999999995</v>
      </c>
      <c r="U29" s="549">
        <f t="shared" si="9"/>
        <v>632.66</v>
      </c>
      <c r="V29" s="549">
        <f t="shared" si="9"/>
        <v>628.88699999999994</v>
      </c>
      <c r="W29" s="549">
        <f t="shared" si="9"/>
        <v>585.98400000000004</v>
      </c>
      <c r="X29" s="549">
        <f t="shared" si="9"/>
        <v>612.03399999999999</v>
      </c>
      <c r="Y29" s="552">
        <f t="shared" si="9"/>
        <v>618.72699999999998</v>
      </c>
      <c r="Z29" s="552">
        <f t="shared" si="9"/>
        <v>628.15700000000004</v>
      </c>
      <c r="AA29" s="552">
        <f t="shared" si="9"/>
        <v>641.23699999999997</v>
      </c>
      <c r="AB29" s="552">
        <f t="shared" si="9"/>
        <v>655.17499999999995</v>
      </c>
      <c r="AC29" s="552">
        <f t="shared" si="9"/>
        <v>647.03</v>
      </c>
      <c r="AD29" s="552">
        <f t="shared" si="9"/>
        <v>662.99467607709084</v>
      </c>
      <c r="AE29" s="552">
        <f t="shared" si="9"/>
        <v>676.71634748635768</v>
      </c>
      <c r="AF29" s="552">
        <f t="shared" si="9"/>
        <v>686.50756304311074</v>
      </c>
      <c r="AG29" s="552">
        <f t="shared" si="9"/>
        <v>694.68904776121451</v>
      </c>
      <c r="AH29" s="552">
        <f t="shared" si="9"/>
        <v>708.47318122785282</v>
      </c>
      <c r="AI29" s="552">
        <f t="shared" si="9"/>
        <v>719.72313447129341</v>
      </c>
      <c r="AJ29" s="552">
        <f t="shared" si="9"/>
        <v>729.96383786820741</v>
      </c>
      <c r="AK29" s="552">
        <f t="shared" si="9"/>
        <v>740.54278676547904</v>
      </c>
      <c r="AL29" s="552">
        <f t="shared" si="9"/>
        <v>751.99154425540803</v>
      </c>
      <c r="AM29" s="552">
        <f t="shared" si="9"/>
        <v>763.0394006565067</v>
      </c>
      <c r="AN29" s="552" t="e">
        <f t="shared" si="9"/>
        <v>#DIV/0!</v>
      </c>
    </row>
    <row r="30" spans="2:41" ht="19.350000000000001" customHeight="1" x14ac:dyDescent="0.25">
      <c r="B30" s="547" t="s">
        <v>436</v>
      </c>
      <c r="C30" s="359"/>
      <c r="D30" s="584">
        <f t="shared" ref="D30:G30" si="10">D27-D29</f>
        <v>197.57900000000001</v>
      </c>
      <c r="E30" s="551">
        <f t="shared" si="10"/>
        <v>193.33200000000005</v>
      </c>
      <c r="F30" s="551">
        <f t="shared" si="10"/>
        <v>200.20399999999995</v>
      </c>
      <c r="G30" s="551">
        <f t="shared" si="10"/>
        <v>203.71400000000006</v>
      </c>
      <c r="H30" s="551">
        <f t="shared" ref="H30:AC30" si="11">H27-H29</f>
        <v>204.41499999999996</v>
      </c>
      <c r="I30" s="551">
        <f t="shared" si="11"/>
        <v>183.61</v>
      </c>
      <c r="J30" s="551">
        <f t="shared" si="11"/>
        <v>151.69400000000002</v>
      </c>
      <c r="K30" s="551">
        <f t="shared" si="11"/>
        <v>206.31999999999994</v>
      </c>
      <c r="L30" s="551">
        <f t="shared" si="11"/>
        <v>168.71600000000001</v>
      </c>
      <c r="M30" s="551">
        <f t="shared" si="11"/>
        <v>205.471</v>
      </c>
      <c r="N30" s="551">
        <f t="shared" si="11"/>
        <v>224.81000000000006</v>
      </c>
      <c r="O30" s="551">
        <f>O27-O29</f>
        <v>203.87400000000002</v>
      </c>
      <c r="P30" s="551">
        <f>P27-P29</f>
        <v>178.68999999999994</v>
      </c>
      <c r="Q30" s="551">
        <f t="shared" si="11"/>
        <v>201.97299999999996</v>
      </c>
      <c r="R30" s="551">
        <f t="shared" si="11"/>
        <v>233.45400000000006</v>
      </c>
      <c r="S30" s="551">
        <f t="shared" si="11"/>
        <v>201.11099999999999</v>
      </c>
      <c r="T30" s="551">
        <f t="shared" si="11"/>
        <v>215.82000000000005</v>
      </c>
      <c r="U30" s="551">
        <f t="shared" si="11"/>
        <v>244.94000000000005</v>
      </c>
      <c r="V30" s="551">
        <f t="shared" si="11"/>
        <v>282.71300000000008</v>
      </c>
      <c r="W30" s="551">
        <f t="shared" si="11"/>
        <v>281.21600000000001</v>
      </c>
      <c r="X30" s="551">
        <f t="shared" si="11"/>
        <v>244.16600000000005</v>
      </c>
      <c r="Y30" s="578">
        <f t="shared" si="11"/>
        <v>286.07299999999998</v>
      </c>
      <c r="Z30" s="578">
        <f t="shared" si="11"/>
        <v>296.54300000000001</v>
      </c>
      <c r="AA30" s="578">
        <f t="shared" si="11"/>
        <v>291.16300000000001</v>
      </c>
      <c r="AB30" s="578">
        <f>AB27-AB29</f>
        <v>289.625</v>
      </c>
      <c r="AC30" s="578">
        <f t="shared" si="11"/>
        <v>319.57000000000005</v>
      </c>
      <c r="AD30" s="578">
        <f t="shared" ref="AD30:AG30" si="12">AD27-AD29</f>
        <v>308.46967887592803</v>
      </c>
      <c r="AE30" s="578">
        <f t="shared" si="12"/>
        <v>313.70729612385048</v>
      </c>
      <c r="AF30" s="578">
        <f t="shared" si="12"/>
        <v>319.89146759830817</v>
      </c>
      <c r="AG30" s="578">
        <f t="shared" si="12"/>
        <v>327.94305054378242</v>
      </c>
      <c r="AH30" s="578">
        <f>AH27-AH29</f>
        <v>330.65382172361592</v>
      </c>
      <c r="AI30" s="578">
        <f>AI27-AI29</f>
        <v>336.16483350138719</v>
      </c>
      <c r="AJ30" s="578">
        <f>AJ27-AJ29</f>
        <v>341.58908212514655</v>
      </c>
      <c r="AK30" s="578">
        <f>AK27-AK29</f>
        <v>346.9074874817901</v>
      </c>
      <c r="AL30" s="578">
        <f>AL27-AL29</f>
        <v>351.59193435411805</v>
      </c>
      <c r="AM30" s="578">
        <f t="shared" ref="AM30:AN30" si="13">AM27-AM29</f>
        <v>356.91663145073414</v>
      </c>
      <c r="AN30" s="578" t="e">
        <f t="shared" si="13"/>
        <v>#DIV/0!</v>
      </c>
    </row>
    <row r="31" spans="2:41" ht="19.350000000000001" customHeight="1" x14ac:dyDescent="0.25">
      <c r="B31" s="238"/>
      <c r="C31" s="238"/>
      <c r="D31" s="491"/>
      <c r="E31" s="491"/>
      <c r="F31" s="491"/>
      <c r="G31" s="491"/>
      <c r="H31" s="491"/>
      <c r="I31" s="491"/>
      <c r="J31" s="491"/>
      <c r="K31" s="491"/>
      <c r="L31" s="491"/>
      <c r="M31" s="491"/>
      <c r="N31" s="491"/>
      <c r="O31" s="491"/>
      <c r="P31" s="491"/>
      <c r="Q31" s="491"/>
      <c r="R31" s="491"/>
      <c r="S31" s="491"/>
      <c r="T31" s="491"/>
      <c r="U31" s="491"/>
      <c r="V31" s="491"/>
      <c r="W31" s="491"/>
      <c r="X31" s="491"/>
    </row>
    <row r="32" spans="2:41" ht="19.350000000000001" customHeight="1" x14ac:dyDescent="0.25">
      <c r="B32" s="238"/>
      <c r="C32" s="238"/>
      <c r="D32" s="491"/>
      <c r="E32" s="491"/>
      <c r="F32" s="491"/>
      <c r="G32" s="491"/>
      <c r="H32" s="491"/>
      <c r="I32" s="491"/>
    </row>
    <row r="33" spans="2:34" ht="19.350000000000001" customHeight="1" x14ac:dyDescent="0.25">
      <c r="B33" s="238"/>
      <c r="C33" s="238"/>
      <c r="D33" s="491"/>
      <c r="E33" s="491"/>
      <c r="F33" s="491"/>
      <c r="G33" s="491"/>
      <c r="H33" s="491"/>
      <c r="I33" s="491"/>
    </row>
    <row r="34" spans="2:34" ht="19.350000000000001" customHeight="1" x14ac:dyDescent="0.25">
      <c r="B34" s="238"/>
      <c r="C34" s="238"/>
      <c r="D34" s="491"/>
      <c r="E34" s="491"/>
      <c r="F34" s="491"/>
      <c r="G34" s="491"/>
      <c r="H34" s="491"/>
      <c r="I34" s="491"/>
      <c r="J34" s="491"/>
      <c r="K34" s="491"/>
      <c r="L34" s="491"/>
      <c r="M34" s="491"/>
      <c r="N34" s="491"/>
      <c r="O34" s="491"/>
      <c r="P34" s="491"/>
      <c r="Q34" s="491"/>
      <c r="R34" s="491"/>
      <c r="S34" s="491"/>
      <c r="T34" s="491"/>
      <c r="Y34" s="491"/>
      <c r="Z34" s="491"/>
      <c r="AA34" s="491"/>
      <c r="AB34" s="491"/>
      <c r="AC34" s="491"/>
      <c r="AD34" s="491"/>
      <c r="AE34" s="491"/>
      <c r="AF34" s="491"/>
      <c r="AG34" s="491"/>
      <c r="AH34" s="491"/>
    </row>
    <row r="35" spans="2:34" ht="19.350000000000001" customHeight="1" x14ac:dyDescent="0.25">
      <c r="B35" s="238"/>
      <c r="C35" s="238"/>
      <c r="D35" s="491"/>
      <c r="E35" s="491"/>
      <c r="F35" s="491"/>
      <c r="G35" s="491"/>
      <c r="H35" s="491"/>
      <c r="I35" s="491"/>
      <c r="J35" s="491"/>
      <c r="K35" s="491"/>
      <c r="L35" s="491"/>
      <c r="M35" s="491"/>
      <c r="N35" s="491"/>
      <c r="O35" s="491"/>
      <c r="P35" s="491"/>
      <c r="Q35" s="491"/>
      <c r="R35" s="491"/>
      <c r="S35" s="491"/>
      <c r="T35" s="491"/>
      <c r="Y35" s="491"/>
      <c r="Z35" s="491"/>
      <c r="AA35" s="491"/>
      <c r="AB35" s="491"/>
      <c r="AC35" s="491"/>
      <c r="AD35" s="491"/>
      <c r="AE35" s="491"/>
      <c r="AF35" s="491"/>
      <c r="AG35" s="491"/>
      <c r="AH35" s="491"/>
    </row>
    <row r="36" spans="2:34" ht="18.95" customHeight="1" x14ac:dyDescent="0.25">
      <c r="B36" s="238"/>
      <c r="C36" s="238"/>
      <c r="D36" s="491"/>
      <c r="E36" s="491"/>
      <c r="F36" s="491"/>
      <c r="G36" s="491"/>
      <c r="H36" s="491"/>
      <c r="I36" s="491"/>
      <c r="J36" s="491"/>
      <c r="K36" s="491"/>
      <c r="L36" s="491"/>
      <c r="M36" s="491"/>
      <c r="N36" s="491"/>
      <c r="O36" s="491"/>
      <c r="AG36" s="491"/>
      <c r="AH36" s="491"/>
    </row>
    <row r="37" spans="2:34" ht="18.95" customHeight="1" x14ac:dyDescent="0.25">
      <c r="B37" s="238"/>
      <c r="C37" s="238"/>
      <c r="D37" s="491"/>
      <c r="E37" s="491"/>
      <c r="F37" s="491"/>
      <c r="G37" s="491"/>
      <c r="H37" s="491"/>
      <c r="I37" s="491"/>
      <c r="J37" s="491"/>
      <c r="K37" s="491"/>
      <c r="L37" s="491"/>
      <c r="M37" s="491"/>
      <c r="N37" s="491"/>
      <c r="O37" s="491"/>
      <c r="AG37" s="491"/>
      <c r="AH37" s="491"/>
    </row>
    <row r="38" spans="2:34" ht="19.350000000000001" customHeight="1" x14ac:dyDescent="0.25">
      <c r="B38" s="238"/>
      <c r="C38" s="238"/>
      <c r="D38" s="491"/>
      <c r="E38" s="491"/>
      <c r="F38" s="491"/>
      <c r="G38" s="491"/>
      <c r="H38" s="491"/>
      <c r="I38" s="491"/>
      <c r="J38" s="491"/>
      <c r="K38" s="491"/>
      <c r="L38" s="491"/>
      <c r="M38" s="491"/>
      <c r="N38" s="491"/>
      <c r="O38" s="491"/>
      <c r="P38" s="491"/>
      <c r="Q38" s="491"/>
      <c r="R38" s="491"/>
      <c r="S38" s="491"/>
      <c r="T38" s="491"/>
      <c r="Y38" s="491"/>
      <c r="Z38" s="491"/>
      <c r="AA38" s="491"/>
      <c r="AB38" s="491"/>
      <c r="AC38" s="491"/>
      <c r="AD38" s="491"/>
      <c r="AE38" s="491"/>
      <c r="AF38" s="491"/>
      <c r="AG38" s="491"/>
      <c r="AH38" s="491"/>
    </row>
    <row r="39" spans="2:34" ht="14.85" customHeight="1" x14ac:dyDescent="0.25">
      <c r="B39" s="573" t="s">
        <v>437</v>
      </c>
      <c r="C39" s="574"/>
      <c r="D39" s="574"/>
      <c r="E39" s="575"/>
      <c r="F39" s="576">
        <v>2021</v>
      </c>
      <c r="G39" s="576">
        <v>2022</v>
      </c>
      <c r="H39" s="576">
        <v>2023</v>
      </c>
      <c r="I39" s="576">
        <v>2024</v>
      </c>
      <c r="J39" s="576">
        <v>2025</v>
      </c>
      <c r="K39" s="576">
        <v>2025</v>
      </c>
      <c r="L39" s="576">
        <v>2027</v>
      </c>
      <c r="M39" s="576">
        <v>2028</v>
      </c>
      <c r="N39" s="576">
        <v>2029</v>
      </c>
      <c r="O39" s="576">
        <v>2030</v>
      </c>
      <c r="P39" s="577">
        <v>2031</v>
      </c>
    </row>
    <row r="40" spans="2:34" ht="15" customHeight="1" x14ac:dyDescent="0.25">
      <c r="B40" s="1344" t="s">
        <v>438</v>
      </c>
      <c r="C40" s="1345"/>
      <c r="D40" s="1345"/>
      <c r="E40" s="1346"/>
      <c r="F40" s="222">
        <v>287</v>
      </c>
      <c r="G40" s="222">
        <v>534</v>
      </c>
      <c r="H40" s="222">
        <v>247</v>
      </c>
      <c r="I40" s="222">
        <v>63</v>
      </c>
      <c r="J40" s="222"/>
      <c r="K40" s="222"/>
      <c r="L40" s="222"/>
      <c r="M40" s="222"/>
      <c r="N40" s="222"/>
      <c r="O40" s="222"/>
      <c r="P40" s="545"/>
    </row>
    <row r="41" spans="2:34" ht="15" customHeight="1" x14ac:dyDescent="0.25">
      <c r="B41" s="1329" t="s">
        <v>439</v>
      </c>
      <c r="C41" s="1330"/>
      <c r="D41" s="1330"/>
      <c r="E41" s="1331"/>
      <c r="F41" s="222">
        <v>0</v>
      </c>
      <c r="G41" s="222">
        <v>0</v>
      </c>
      <c r="H41" s="222">
        <v>756</v>
      </c>
      <c r="I41" s="222">
        <v>1249</v>
      </c>
      <c r="J41" s="222">
        <v>1417</v>
      </c>
      <c r="K41" s="222">
        <v>1522</v>
      </c>
      <c r="L41" s="222">
        <v>1107</v>
      </c>
      <c r="M41" s="222"/>
      <c r="N41" s="222"/>
      <c r="O41" s="222"/>
      <c r="P41" s="545"/>
    </row>
    <row r="42" spans="2:34" x14ac:dyDescent="0.25">
      <c r="B42" s="1329" t="s">
        <v>440</v>
      </c>
      <c r="C42" s="1330"/>
      <c r="D42" s="1330"/>
      <c r="E42" s="1331"/>
      <c r="F42" s="222">
        <v>0</v>
      </c>
      <c r="G42" s="222">
        <v>5</v>
      </c>
      <c r="H42" s="222">
        <v>77</v>
      </c>
      <c r="I42" s="222">
        <v>307</v>
      </c>
      <c r="J42" s="222">
        <v>332</v>
      </c>
      <c r="K42" s="222">
        <v>270</v>
      </c>
      <c r="L42" s="222">
        <v>25</v>
      </c>
      <c r="M42" s="222">
        <v>32</v>
      </c>
      <c r="N42" s="222">
        <v>40</v>
      </c>
      <c r="O42" s="222">
        <v>49</v>
      </c>
      <c r="P42" s="545">
        <v>58</v>
      </c>
    </row>
    <row r="43" spans="2:34" ht="32.85" customHeight="1" x14ac:dyDescent="0.25">
      <c r="B43" s="1341" t="s">
        <v>441</v>
      </c>
      <c r="C43" s="1342"/>
      <c r="D43" s="1342"/>
      <c r="E43" s="1343"/>
      <c r="F43" s="222">
        <v>0</v>
      </c>
      <c r="G43" s="222">
        <v>0</v>
      </c>
      <c r="H43" s="222">
        <v>3768</v>
      </c>
      <c r="I43" s="222">
        <v>3428</v>
      </c>
      <c r="J43" s="222">
        <v>2176</v>
      </c>
      <c r="K43" s="222">
        <v>2304</v>
      </c>
      <c r="L43" s="222">
        <v>2129</v>
      </c>
      <c r="M43" s="222">
        <v>1335</v>
      </c>
      <c r="N43" s="222">
        <v>478</v>
      </c>
      <c r="O43" s="222">
        <v>531</v>
      </c>
      <c r="P43" s="545">
        <v>212</v>
      </c>
    </row>
    <row r="44" spans="2:34" ht="32.85" customHeight="1" x14ac:dyDescent="0.25">
      <c r="B44" s="1341" t="s">
        <v>442</v>
      </c>
      <c r="C44" s="1342"/>
      <c r="D44" s="1342"/>
      <c r="E44" s="1343"/>
      <c r="F44" s="222">
        <v>38</v>
      </c>
      <c r="G44" s="222">
        <v>81</v>
      </c>
      <c r="H44" s="222">
        <v>43</v>
      </c>
      <c r="I44" s="222"/>
      <c r="J44" s="222"/>
      <c r="K44" s="222"/>
      <c r="L44" s="222"/>
      <c r="M44" s="222"/>
      <c r="N44" s="222"/>
      <c r="O44" s="222"/>
      <c r="P44" s="545"/>
    </row>
    <row r="45" spans="2:34" x14ac:dyDescent="0.25">
      <c r="B45" s="1329" t="s">
        <v>443</v>
      </c>
      <c r="C45" s="1330"/>
      <c r="D45" s="1330"/>
      <c r="E45" s="1331"/>
      <c r="F45" s="222"/>
      <c r="G45" s="222"/>
      <c r="H45" s="222"/>
      <c r="I45" s="222">
        <v>-184</v>
      </c>
      <c r="J45" s="222">
        <v>-1830</v>
      </c>
      <c r="K45" s="222">
        <v>-2406</v>
      </c>
      <c r="L45" s="222">
        <v>-2419</v>
      </c>
      <c r="M45" s="222">
        <v>-2467</v>
      </c>
      <c r="N45" s="222">
        <v>-2531</v>
      </c>
      <c r="O45" s="222">
        <v>-2667</v>
      </c>
      <c r="P45" s="545">
        <v>-2809</v>
      </c>
    </row>
    <row r="46" spans="2:34" ht="15.75" customHeight="1" x14ac:dyDescent="0.25">
      <c r="B46" s="1335" t="s">
        <v>444</v>
      </c>
      <c r="C46" s="1336"/>
      <c r="D46" s="1336"/>
      <c r="E46" s="1337"/>
      <c r="F46" s="222">
        <v>6524</v>
      </c>
      <c r="G46" s="222">
        <v>6143</v>
      </c>
      <c r="H46" s="222"/>
      <c r="I46" s="222"/>
      <c r="J46" s="222"/>
      <c r="K46" s="222"/>
      <c r="L46" s="222"/>
      <c r="M46" s="222"/>
      <c r="N46" s="222"/>
      <c r="O46" s="222"/>
      <c r="P46" s="545"/>
    </row>
    <row r="47" spans="2:34" x14ac:dyDescent="0.25">
      <c r="B47" s="1329" t="s">
        <v>445</v>
      </c>
      <c r="C47" s="1330"/>
      <c r="D47" s="1330"/>
      <c r="E47" s="1331"/>
      <c r="F47" s="222">
        <v>50</v>
      </c>
      <c r="G47" s="222">
        <v>175</v>
      </c>
      <c r="H47" s="222">
        <v>25</v>
      </c>
      <c r="I47" s="222"/>
      <c r="J47" s="222"/>
      <c r="K47" s="222"/>
      <c r="L47" s="222"/>
      <c r="M47" s="222"/>
      <c r="N47" s="222"/>
      <c r="O47" s="222"/>
      <c r="P47" s="545"/>
    </row>
    <row r="48" spans="2:34" x14ac:dyDescent="0.25">
      <c r="B48" s="1329" t="s">
        <v>446</v>
      </c>
      <c r="C48" s="1330"/>
      <c r="D48" s="1330"/>
      <c r="E48" s="1331"/>
      <c r="F48" s="222">
        <v>829</v>
      </c>
      <c r="G48" s="222">
        <v>844</v>
      </c>
      <c r="H48" s="222"/>
      <c r="I48" s="222"/>
      <c r="J48" s="222"/>
      <c r="K48" s="222"/>
      <c r="L48" s="222"/>
      <c r="M48" s="222"/>
      <c r="N48" s="222"/>
      <c r="O48" s="222"/>
      <c r="P48" s="545"/>
    </row>
    <row r="49" spans="2:17" x14ac:dyDescent="0.25">
      <c r="B49" s="1338" t="s">
        <v>447</v>
      </c>
      <c r="C49" s="1339"/>
      <c r="D49" s="1339"/>
      <c r="E49" s="1340"/>
      <c r="F49" s="222">
        <f t="shared" ref="F49:P49" si="14">SUM(F40:F48)</f>
        <v>7728</v>
      </c>
      <c r="G49" s="222">
        <f t="shared" si="14"/>
        <v>7782</v>
      </c>
      <c r="H49" s="222">
        <f t="shared" si="14"/>
        <v>4916</v>
      </c>
      <c r="I49" s="222">
        <f t="shared" si="14"/>
        <v>4863</v>
      </c>
      <c r="J49" s="222">
        <f t="shared" si="14"/>
        <v>2095</v>
      </c>
      <c r="K49" s="222">
        <f t="shared" si="14"/>
        <v>1690</v>
      </c>
      <c r="L49" s="222">
        <f t="shared" si="14"/>
        <v>842</v>
      </c>
      <c r="M49" s="222">
        <f t="shared" si="14"/>
        <v>-1100</v>
      </c>
      <c r="N49" s="222">
        <f t="shared" si="14"/>
        <v>-2013</v>
      </c>
      <c r="O49" s="222">
        <f t="shared" si="14"/>
        <v>-2087</v>
      </c>
      <c r="P49" s="545">
        <f t="shared" si="14"/>
        <v>-2539</v>
      </c>
    </row>
    <row r="50" spans="2:17" x14ac:dyDescent="0.25">
      <c r="B50" s="1335" t="s">
        <v>448</v>
      </c>
      <c r="C50" s="1336"/>
      <c r="D50" s="1336"/>
      <c r="E50" s="1337"/>
      <c r="F50" s="222">
        <f t="shared" ref="F50:P50" si="15">F46+F44+F43</f>
        <v>6562</v>
      </c>
      <c r="G50" s="222">
        <f t="shared" si="15"/>
        <v>6224</v>
      </c>
      <c r="H50" s="222">
        <f t="shared" si="15"/>
        <v>3811</v>
      </c>
      <c r="I50" s="222">
        <f t="shared" si="15"/>
        <v>3428</v>
      </c>
      <c r="J50" s="222">
        <f t="shared" si="15"/>
        <v>2176</v>
      </c>
      <c r="K50" s="222">
        <f t="shared" si="15"/>
        <v>2304</v>
      </c>
      <c r="L50" s="222">
        <f t="shared" si="15"/>
        <v>2129</v>
      </c>
      <c r="M50" s="222">
        <f t="shared" si="15"/>
        <v>1335</v>
      </c>
      <c r="N50" s="222">
        <f t="shared" si="15"/>
        <v>478</v>
      </c>
      <c r="O50" s="222">
        <f t="shared" si="15"/>
        <v>531</v>
      </c>
      <c r="P50" s="545">
        <f t="shared" si="15"/>
        <v>212</v>
      </c>
      <c r="Q50" s="238" t="s">
        <v>449</v>
      </c>
    </row>
    <row r="51" spans="2:17" x14ac:dyDescent="0.25">
      <c r="B51" s="1329" t="s">
        <v>450</v>
      </c>
      <c r="C51" s="1330"/>
      <c r="D51" s="1330"/>
      <c r="E51" s="1331"/>
      <c r="F51" s="222">
        <f>(F50/1000)/M27</f>
        <v>9.3091218612569165E-3</v>
      </c>
      <c r="G51" s="222">
        <f>(G50/F50)*F51</f>
        <v>8.8296212228684921E-3</v>
      </c>
      <c r="H51" s="222">
        <f>(H50/G50)*G51+H52</f>
        <v>5.4064406298765782E-3</v>
      </c>
      <c r="I51" s="222">
        <f>(I50/H50)*H51+I52</f>
        <v>4.8631011490991626E-3</v>
      </c>
      <c r="J51" s="222">
        <f>J52</f>
        <v>0</v>
      </c>
      <c r="K51" s="222">
        <f t="shared" ref="K51:L51" si="16">K52</f>
        <v>0</v>
      </c>
      <c r="L51" s="222">
        <f t="shared" si="16"/>
        <v>0</v>
      </c>
      <c r="M51" s="222"/>
      <c r="N51" s="222"/>
      <c r="O51" s="222"/>
      <c r="P51" s="545"/>
      <c r="Q51" s="238" t="s">
        <v>451</v>
      </c>
    </row>
    <row r="52" spans="2:17" ht="29.25" customHeight="1" x14ac:dyDescent="0.25">
      <c r="B52" s="539" t="s">
        <v>889</v>
      </c>
      <c r="C52" s="540"/>
      <c r="D52" s="540"/>
      <c r="E52" s="541"/>
      <c r="F52" s="222"/>
      <c r="G52" s="222"/>
      <c r="H52" s="222"/>
      <c r="I52" s="222"/>
      <c r="J52" s="222"/>
      <c r="K52" s="222"/>
      <c r="L52" s="222"/>
      <c r="M52" s="222"/>
      <c r="N52" s="222"/>
      <c r="O52" s="222"/>
      <c r="P52" s="545"/>
      <c r="Q52" s="238"/>
    </row>
    <row r="53" spans="2:17" x14ac:dyDescent="0.25">
      <c r="B53" s="1332"/>
      <c r="C53" s="1333"/>
      <c r="D53" s="1333"/>
      <c r="E53" s="1334"/>
      <c r="F53" s="542"/>
      <c r="G53" s="542"/>
      <c r="H53" s="542"/>
      <c r="I53" s="542"/>
      <c r="J53" s="542"/>
      <c r="K53" s="542"/>
      <c r="L53" s="542"/>
      <c r="M53" s="542"/>
      <c r="N53" s="542"/>
      <c r="O53" s="542"/>
      <c r="P53" s="562"/>
    </row>
  </sheetData>
  <mergeCells count="36">
    <mergeCell ref="B1:AC1"/>
    <mergeCell ref="V2:AB4"/>
    <mergeCell ref="B2:U4"/>
    <mergeCell ref="M25:P25"/>
    <mergeCell ref="M8:P8"/>
    <mergeCell ref="Q8:T8"/>
    <mergeCell ref="Q25:T25"/>
    <mergeCell ref="AC8:AF8"/>
    <mergeCell ref="AC25:AF25"/>
    <mergeCell ref="E8:H8"/>
    <mergeCell ref="B7:C9"/>
    <mergeCell ref="I8:L8"/>
    <mergeCell ref="AC7:AN7"/>
    <mergeCell ref="D7:AB7"/>
    <mergeCell ref="AK25:AN25"/>
    <mergeCell ref="AK8:AN8"/>
    <mergeCell ref="B43:E43"/>
    <mergeCell ref="AG8:AJ8"/>
    <mergeCell ref="AG25:AJ25"/>
    <mergeCell ref="B44:E44"/>
    <mergeCell ref="B42:E42"/>
    <mergeCell ref="B40:E40"/>
    <mergeCell ref="I25:L25"/>
    <mergeCell ref="B24:C26"/>
    <mergeCell ref="E25:H25"/>
    <mergeCell ref="B41:E41"/>
    <mergeCell ref="AC24:AN24"/>
    <mergeCell ref="D24:AB24"/>
    <mergeCell ref="B45:E45"/>
    <mergeCell ref="B53:E53"/>
    <mergeCell ref="B46:E46"/>
    <mergeCell ref="B47:E47"/>
    <mergeCell ref="B48:E48"/>
    <mergeCell ref="B49:E49"/>
    <mergeCell ref="B50:E50"/>
    <mergeCell ref="B51:E51"/>
  </mergeCells>
  <pageMargins left="0.7" right="0.7" top="0.75" bottom="0.75" header="0.3" footer="0.3"/>
  <pageSetup paperSize="9" orientation="portrait" horizontalDpi="300" verticalDpi="300"/>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N34"/>
  <sheetViews>
    <sheetView zoomScale="85" zoomScaleNormal="85" workbookViewId="0">
      <pane xSplit="2" ySplit="4" topLeftCell="M5" activePane="bottomRight" state="frozen"/>
      <selection pane="topRight" activeCell="C1" sqref="C1"/>
      <selection pane="bottomLeft" activeCell="A5" sqref="A5"/>
      <selection pane="bottomRight" activeCell="AE17" sqref="AE17"/>
    </sheetView>
  </sheetViews>
  <sheetFormatPr defaultColWidth="10.85546875" defaultRowHeight="15" x14ac:dyDescent="0.25"/>
  <cols>
    <col min="2" max="2" width="51.140625" customWidth="1"/>
    <col min="3" max="3" width="7.42578125" customWidth="1"/>
    <col min="4" max="4" width="8.85546875" customWidth="1"/>
    <col min="5" max="5" width="9" customWidth="1"/>
    <col min="6" max="6" width="8.85546875" customWidth="1"/>
    <col min="7" max="7" width="9.5703125" customWidth="1"/>
    <col min="8" max="8" width="9.85546875" customWidth="1"/>
    <col min="9" max="9" width="10.140625" customWidth="1"/>
    <col min="10" max="10" width="9.140625" customWidth="1"/>
    <col min="11" max="11" width="9.85546875" customWidth="1"/>
    <col min="12" max="13" width="8.85546875" customWidth="1"/>
    <col min="14" max="14" width="9.140625" customWidth="1"/>
    <col min="15" max="19" width="8.85546875" customWidth="1"/>
    <col min="20" max="22" width="9.140625" customWidth="1"/>
  </cols>
  <sheetData>
    <row r="1" spans="2:40" x14ac:dyDescent="0.25">
      <c r="B1" s="1264" t="s">
        <v>55</v>
      </c>
      <c r="C1" s="1264"/>
      <c r="D1" s="1264"/>
      <c r="E1" s="1264"/>
      <c r="F1" s="1264"/>
      <c r="G1" s="1264"/>
      <c r="H1" s="1264"/>
      <c r="I1" s="1264"/>
      <c r="J1" s="1264"/>
      <c r="K1" s="1264"/>
      <c r="L1" s="1264"/>
      <c r="M1" s="1264"/>
      <c r="N1" s="1264"/>
      <c r="O1" s="1264"/>
      <c r="P1" s="1264"/>
      <c r="Q1" s="1264"/>
      <c r="R1" s="1264"/>
      <c r="S1" s="1264"/>
      <c r="T1" s="1264"/>
      <c r="U1" s="1264"/>
      <c r="V1" s="1264"/>
      <c r="W1" s="1264"/>
      <c r="X1" s="1264"/>
      <c r="Y1" s="1264"/>
      <c r="Z1" s="1264"/>
      <c r="AA1" s="1264"/>
      <c r="AB1" s="1264"/>
      <c r="AC1" s="1264"/>
    </row>
    <row r="2" spans="2:40" ht="14.25" customHeight="1" x14ac:dyDescent="0.25">
      <c r="B2" s="1348" t="s">
        <v>857</v>
      </c>
      <c r="C2" s="1348"/>
      <c r="D2" s="1348"/>
      <c r="E2" s="1348"/>
      <c r="F2" s="1348"/>
      <c r="G2" s="1348"/>
      <c r="H2" s="1348"/>
      <c r="I2" s="1348"/>
      <c r="J2" s="1348"/>
      <c r="K2" s="1348"/>
      <c r="L2" s="1348"/>
      <c r="M2" s="1348"/>
      <c r="N2" s="1348"/>
      <c r="O2" s="1348"/>
      <c r="P2" s="1348"/>
      <c r="Q2" s="1348"/>
      <c r="R2" s="1348"/>
      <c r="S2" s="587"/>
      <c r="T2" s="1349" t="s">
        <v>905</v>
      </c>
      <c r="U2" s="1349"/>
      <c r="V2" s="1349"/>
      <c r="W2" s="1349"/>
      <c r="X2" s="1349"/>
      <c r="Y2" s="1349"/>
      <c r="Z2" s="1349"/>
      <c r="AA2" s="1349"/>
      <c r="AB2" s="1349"/>
      <c r="AC2" s="1349"/>
    </row>
    <row r="3" spans="2:40" x14ac:dyDescent="0.25">
      <c r="B3" s="1348"/>
      <c r="C3" s="1348"/>
      <c r="D3" s="1348"/>
      <c r="E3" s="1348"/>
      <c r="F3" s="1348"/>
      <c r="G3" s="1348"/>
      <c r="H3" s="1348"/>
      <c r="I3" s="1348"/>
      <c r="J3" s="1348"/>
      <c r="K3" s="1348"/>
      <c r="L3" s="1348"/>
      <c r="M3" s="1348"/>
      <c r="N3" s="1348"/>
      <c r="O3" s="1348"/>
      <c r="P3" s="1348"/>
      <c r="Q3" s="1348"/>
      <c r="R3" s="1348"/>
      <c r="S3" s="587"/>
      <c r="T3" s="1349"/>
      <c r="U3" s="1349"/>
      <c r="V3" s="1349"/>
      <c r="W3" s="1349"/>
      <c r="X3" s="1349"/>
      <c r="Y3" s="1349"/>
      <c r="Z3" s="1349"/>
      <c r="AA3" s="1349"/>
      <c r="AB3" s="1349"/>
      <c r="AC3" s="1349"/>
    </row>
    <row r="4" spans="2:40" ht="21" customHeight="1" x14ac:dyDescent="0.25">
      <c r="B4" s="1348"/>
      <c r="C4" s="1348"/>
      <c r="D4" s="1348"/>
      <c r="E4" s="1348"/>
      <c r="F4" s="1348"/>
      <c r="G4" s="1348"/>
      <c r="H4" s="1348"/>
      <c r="I4" s="1348"/>
      <c r="J4" s="1348"/>
      <c r="K4" s="1348"/>
      <c r="L4" s="1348"/>
      <c r="M4" s="1348"/>
      <c r="N4" s="1348"/>
      <c r="O4" s="1348"/>
      <c r="P4" s="1348"/>
      <c r="Q4" s="1348"/>
      <c r="R4" s="1348"/>
      <c r="S4" s="587"/>
      <c r="T4" s="1349"/>
      <c r="U4" s="1349"/>
      <c r="V4" s="1349"/>
      <c r="W4" s="1349"/>
      <c r="X4" s="1349"/>
      <c r="Y4" s="1349"/>
      <c r="Z4" s="1349"/>
      <c r="AA4" s="1349"/>
      <c r="AB4" s="1349"/>
      <c r="AC4" s="1349"/>
    </row>
    <row r="6" spans="2:40" x14ac:dyDescent="0.25">
      <c r="B6" s="511" t="s">
        <v>332</v>
      </c>
    </row>
    <row r="7" spans="2:40" ht="14.85" customHeight="1" x14ac:dyDescent="0.25">
      <c r="B7" s="1269" t="s">
        <v>402</v>
      </c>
      <c r="C7" s="1270"/>
      <c r="D7" s="1279" t="s">
        <v>279</v>
      </c>
      <c r="E7" s="1279"/>
      <c r="F7" s="1279"/>
      <c r="G7" s="1279"/>
      <c r="H7" s="1279"/>
      <c r="I7" s="1279"/>
      <c r="J7" s="1279"/>
      <c r="K7" s="1279"/>
      <c r="L7" s="1279"/>
      <c r="M7" s="1279"/>
      <c r="N7" s="1279"/>
      <c r="O7" s="1279"/>
      <c r="P7" s="1279"/>
      <c r="Q7" s="1279"/>
      <c r="R7" s="1279"/>
      <c r="S7" s="1279"/>
      <c r="T7" s="1279"/>
      <c r="U7" s="1279"/>
      <c r="V7" s="1279"/>
      <c r="W7" s="1279"/>
      <c r="X7" s="1279"/>
      <c r="Y7" s="1279"/>
      <c r="Z7" s="1279"/>
      <c r="AA7" s="1279"/>
      <c r="AB7" s="591"/>
      <c r="AC7" s="1296" t="s">
        <v>280</v>
      </c>
      <c r="AD7" s="1277"/>
      <c r="AE7" s="1277"/>
      <c r="AF7" s="1277"/>
      <c r="AG7" s="1277"/>
      <c r="AH7" s="1277"/>
      <c r="AI7" s="1277"/>
      <c r="AJ7" s="1277"/>
      <c r="AK7" s="1277"/>
      <c r="AL7" s="1277"/>
      <c r="AM7" s="1277"/>
      <c r="AN7" s="1278"/>
    </row>
    <row r="8" spans="2:40" x14ac:dyDescent="0.25">
      <c r="B8" s="1271"/>
      <c r="C8" s="1272"/>
      <c r="D8" s="285">
        <v>2018</v>
      </c>
      <c r="E8" s="1288">
        <v>2019</v>
      </c>
      <c r="F8" s="1289"/>
      <c r="G8" s="1289"/>
      <c r="H8" s="1290"/>
      <c r="I8" s="1288">
        <v>2020</v>
      </c>
      <c r="J8" s="1289"/>
      <c r="K8" s="1289"/>
      <c r="L8" s="1289"/>
      <c r="M8" s="1288">
        <v>2021</v>
      </c>
      <c r="N8" s="1289"/>
      <c r="O8" s="1289"/>
      <c r="P8" s="1300"/>
      <c r="Q8" s="1288">
        <v>2022</v>
      </c>
      <c r="R8" s="1300"/>
      <c r="S8" s="1300"/>
      <c r="T8" s="1300"/>
      <c r="U8" s="1288">
        <v>2023</v>
      </c>
      <c r="V8" s="1300"/>
      <c r="W8" s="1300"/>
      <c r="X8" s="1290"/>
      <c r="Y8" s="291"/>
      <c r="Z8" s="431">
        <v>2024</v>
      </c>
      <c r="AA8" s="431"/>
      <c r="AB8" s="298"/>
      <c r="AC8" s="1275">
        <v>2025</v>
      </c>
      <c r="AD8" s="1281"/>
      <c r="AE8" s="1281"/>
      <c r="AF8" s="1280"/>
      <c r="AG8" s="1275">
        <v>2026</v>
      </c>
      <c r="AH8" s="1281"/>
      <c r="AI8" s="1281"/>
      <c r="AJ8" s="1280"/>
      <c r="AK8" s="1275">
        <v>2027</v>
      </c>
      <c r="AL8" s="1281"/>
      <c r="AM8" s="1281"/>
      <c r="AN8" s="1280"/>
    </row>
    <row r="9" spans="2:40" x14ac:dyDescent="0.25">
      <c r="B9" s="1273"/>
      <c r="C9" s="1274"/>
      <c r="D9" s="214" t="s">
        <v>281</v>
      </c>
      <c r="E9" s="214" t="s">
        <v>282</v>
      </c>
      <c r="F9" s="215" t="s">
        <v>283</v>
      </c>
      <c r="G9" s="215" t="s">
        <v>238</v>
      </c>
      <c r="H9" s="221" t="s">
        <v>281</v>
      </c>
      <c r="I9" s="215" t="s">
        <v>282</v>
      </c>
      <c r="J9" s="215" t="s">
        <v>283</v>
      </c>
      <c r="K9" s="215" t="s">
        <v>238</v>
      </c>
      <c r="L9" s="215" t="s">
        <v>281</v>
      </c>
      <c r="M9" s="214" t="s">
        <v>282</v>
      </c>
      <c r="N9" s="215" t="s">
        <v>283</v>
      </c>
      <c r="O9" s="215" t="s">
        <v>238</v>
      </c>
      <c r="P9" s="215" t="s">
        <v>281</v>
      </c>
      <c r="Q9" s="214" t="s">
        <v>282</v>
      </c>
      <c r="R9" s="215" t="s">
        <v>283</v>
      </c>
      <c r="S9" s="215" t="s">
        <v>238</v>
      </c>
      <c r="T9" s="215" t="s">
        <v>281</v>
      </c>
      <c r="U9" s="275" t="s">
        <v>282</v>
      </c>
      <c r="V9" s="276" t="s">
        <v>283</v>
      </c>
      <c r="W9" s="276" t="s">
        <v>238</v>
      </c>
      <c r="X9" s="274" t="s">
        <v>281</v>
      </c>
      <c r="Y9" s="276" t="s">
        <v>282</v>
      </c>
      <c r="Z9" s="281" t="s">
        <v>283</v>
      </c>
      <c r="AA9" s="276" t="s">
        <v>238</v>
      </c>
      <c r="AB9" s="276" t="s">
        <v>281</v>
      </c>
      <c r="AC9" s="275" t="s">
        <v>282</v>
      </c>
      <c r="AD9" s="260" t="s">
        <v>283</v>
      </c>
      <c r="AE9" s="262" t="s">
        <v>238</v>
      </c>
      <c r="AF9" s="262" t="s">
        <v>281</v>
      </c>
      <c r="AG9" s="288" t="s">
        <v>282</v>
      </c>
      <c r="AH9" s="260" t="s">
        <v>283</v>
      </c>
      <c r="AI9" s="262" t="s">
        <v>238</v>
      </c>
      <c r="AJ9" s="290" t="s">
        <v>281</v>
      </c>
      <c r="AK9" s="288" t="s">
        <v>282</v>
      </c>
      <c r="AL9" s="260" t="s">
        <v>283</v>
      </c>
      <c r="AM9" s="262" t="s">
        <v>238</v>
      </c>
      <c r="AN9" s="290" t="s">
        <v>281</v>
      </c>
    </row>
    <row r="10" spans="2:40" ht="14.85" customHeight="1" x14ac:dyDescent="0.25">
      <c r="B10" s="595" t="s">
        <v>452</v>
      </c>
      <c r="C10" s="56" t="s">
        <v>901</v>
      </c>
      <c r="D10" s="567">
        <f>'Haver Pivoted'!GO12</f>
        <v>755</v>
      </c>
      <c r="E10" s="568">
        <f>'Haver Pivoted'!GP12</f>
        <v>773.5</v>
      </c>
      <c r="F10" s="568">
        <f>'Haver Pivoted'!GQ12</f>
        <v>788.5</v>
      </c>
      <c r="G10" s="568">
        <f>'Haver Pivoted'!GR12</f>
        <v>798</v>
      </c>
      <c r="H10" s="568">
        <f>'Haver Pivoted'!GS12</f>
        <v>802</v>
      </c>
      <c r="I10" s="568">
        <f>'Haver Pivoted'!GT12</f>
        <v>801.9</v>
      </c>
      <c r="J10" s="568">
        <f>'Haver Pivoted'!GU12</f>
        <v>814.3</v>
      </c>
      <c r="K10" s="568">
        <f>'Haver Pivoted'!GV12</f>
        <v>826.6</v>
      </c>
      <c r="L10" s="568">
        <f>'Haver Pivoted'!GW12</f>
        <v>838.8</v>
      </c>
      <c r="M10" s="568">
        <f>'Haver Pivoted'!GX12</f>
        <v>854.9</v>
      </c>
      <c r="N10" s="568">
        <f>'Haver Pivoted'!GY12</f>
        <v>871.2</v>
      </c>
      <c r="O10" s="568">
        <f>'Haver Pivoted'!GZ12</f>
        <v>887.1</v>
      </c>
      <c r="P10" s="568">
        <f>'Haver Pivoted'!HA12</f>
        <v>902.4</v>
      </c>
      <c r="Q10" s="568">
        <f>'Haver Pivoted'!HB12</f>
        <v>917.6</v>
      </c>
      <c r="R10" s="568">
        <f>'Haver Pivoted'!HC12</f>
        <v>926.6</v>
      </c>
      <c r="S10" s="569">
        <f>'Haver Pivoted'!HD12</f>
        <v>937.4</v>
      </c>
      <c r="T10" s="556">
        <f>'Haver Pivoted'!HE12</f>
        <v>958.5</v>
      </c>
      <c r="U10" s="594">
        <f>'Haver Pivoted'!HF12</f>
        <v>981.1</v>
      </c>
      <c r="V10" s="569">
        <f>'Haver Pivoted'!HG12</f>
        <v>1001.8</v>
      </c>
      <c r="W10" s="569">
        <f>'Haver Pivoted'!HH12</f>
        <v>1019.9</v>
      </c>
      <c r="X10" s="569">
        <f>'Haver Pivoted'!HI12</f>
        <v>1035.3</v>
      </c>
      <c r="Y10" s="569">
        <f>'Haver Pivoted'!HJ12</f>
        <v>1049.2</v>
      </c>
      <c r="Z10" s="569">
        <f>'Haver Pivoted'!HK12</f>
        <v>1067.0999999999999</v>
      </c>
      <c r="AA10" s="569">
        <f>'Haver Pivoted'!HL12</f>
        <v>1090.2</v>
      </c>
      <c r="AB10" s="569">
        <f>'Haver Pivoted'!HM12</f>
        <v>1118.5</v>
      </c>
      <c r="AC10" s="569">
        <f>'Haver Pivoted'!HN12</f>
        <v>1150.3</v>
      </c>
      <c r="AD10" s="579">
        <f t="shared" ref="AD10:AE10" si="0">AC10*(1+AD13)+AD12</f>
        <v>1164.9491604763948</v>
      </c>
      <c r="AE10" s="579">
        <f t="shared" si="0"/>
        <v>1179.7848791573131</v>
      </c>
      <c r="AF10" s="579">
        <f>AE10*(1+AF13)+AF12</f>
        <v>1197.440355942422</v>
      </c>
      <c r="AG10" s="579">
        <f>AF10*(1+AG13)+AG12</f>
        <v>1215.3600468787854</v>
      </c>
      <c r="AH10" s="579">
        <f t="shared" ref="AH10:AI10" si="1">AG10*(1+AH13)+AH12</f>
        <v>1233.5479059302966</v>
      </c>
      <c r="AI10" s="579">
        <f t="shared" si="1"/>
        <v>1252.0079462319047</v>
      </c>
      <c r="AJ10" s="579">
        <f>AI10*(1+AJ13)+AJ12</f>
        <v>1270.9058610295497</v>
      </c>
      <c r="AK10" s="579">
        <f>AJ10*(1+AK13)+AK12</f>
        <v>1290.0890225660623</v>
      </c>
      <c r="AL10" s="579">
        <f t="shared" ref="AL10:AN10" si="2">AK10*(1+AL13)+AL12</f>
        <v>1309.5617363800645</v>
      </c>
      <c r="AM10" s="579">
        <f t="shared" si="2"/>
        <v>1329.3283729983457</v>
      </c>
      <c r="AN10" s="579">
        <f t="shared" si="2"/>
        <v>1329.3283729983457</v>
      </c>
    </row>
    <row r="11" spans="2:40" ht="28.5" customHeight="1" x14ac:dyDescent="0.25">
      <c r="B11" s="615" t="s">
        <v>903</v>
      </c>
      <c r="C11" s="607" t="s">
        <v>518</v>
      </c>
      <c r="D11" s="616"/>
      <c r="E11" s="604"/>
      <c r="F11" s="604"/>
      <c r="G11" s="604"/>
      <c r="H11" s="604"/>
      <c r="I11" s="604"/>
      <c r="J11" s="605">
        <f>'Haver Pivoted'!GU46</f>
        <v>9.6</v>
      </c>
      <c r="K11" s="605">
        <f>'Haver Pivoted'!GV46</f>
        <v>14.4</v>
      </c>
      <c r="L11" s="605">
        <f>'Haver Pivoted'!GW46</f>
        <v>14.3</v>
      </c>
      <c r="M11" s="605">
        <f>'Haver Pivoted'!GX46</f>
        <v>15</v>
      </c>
      <c r="N11" s="605">
        <f>'Haver Pivoted'!GY46</f>
        <v>15.3</v>
      </c>
      <c r="O11" s="605">
        <f>'Haver Pivoted'!GZ46</f>
        <v>15.6</v>
      </c>
      <c r="P11" s="605">
        <f>'Haver Pivoted'!HA46</f>
        <v>15.7</v>
      </c>
      <c r="Q11" s="605">
        <f>'Haver Pivoted'!HB46</f>
        <v>15.8</v>
      </c>
      <c r="R11" s="605">
        <f>'Haver Pivoted'!HC46</f>
        <v>7.9</v>
      </c>
      <c r="S11" s="538">
        <f>'Haver Pivoted'!HD46</f>
        <v>0</v>
      </c>
      <c r="T11" s="538">
        <f>'Haver Pivoted'!HE46</f>
        <v>0</v>
      </c>
      <c r="U11" s="538">
        <f>'Haver Pivoted'!HF46</f>
        <v>0</v>
      </c>
      <c r="V11" s="538">
        <f>'Haver Pivoted'!HG46</f>
        <v>0</v>
      </c>
      <c r="W11" s="538">
        <f>'Haver Pivoted'!HH46</f>
        <v>0</v>
      </c>
      <c r="X11" s="538">
        <f>'Haver Pivoted'!HI46</f>
        <v>0</v>
      </c>
      <c r="Y11" s="538">
        <f>'Haver Pivoted'!HJ46</f>
        <v>0</v>
      </c>
      <c r="Z11" s="538">
        <f>'Haver Pivoted'!HK46</f>
        <v>0</v>
      </c>
      <c r="AA11" s="538">
        <f>'Haver Pivoted'!HL46</f>
        <v>0</v>
      </c>
      <c r="AB11" s="538">
        <f>'Haver Pivoted'!HM46</f>
        <v>0</v>
      </c>
      <c r="AC11" s="538">
        <f>'Haver Pivoted'!HN46</f>
        <v>0</v>
      </c>
      <c r="AD11" s="597"/>
      <c r="AE11" s="597"/>
      <c r="AF11" s="597"/>
      <c r="AG11" s="597"/>
      <c r="AH11" s="597"/>
      <c r="AI11" s="597"/>
      <c r="AJ11" s="597"/>
      <c r="AK11" s="597"/>
      <c r="AL11" s="597"/>
      <c r="AM11" s="597"/>
      <c r="AN11" s="597"/>
    </row>
    <row r="12" spans="2:40" x14ac:dyDescent="0.25">
      <c r="B12" s="615" t="s">
        <v>1831</v>
      </c>
      <c r="C12" s="607"/>
      <c r="D12" s="616"/>
      <c r="E12" s="604"/>
      <c r="F12" s="604"/>
      <c r="G12" s="604"/>
      <c r="H12" s="604"/>
      <c r="I12" s="604"/>
      <c r="J12" s="605"/>
      <c r="K12" s="605"/>
      <c r="L12" s="605"/>
      <c r="M12" s="605"/>
      <c r="N12" s="605"/>
      <c r="O12" s="605"/>
      <c r="P12" s="605"/>
      <c r="Q12" s="605"/>
      <c r="R12" s="605"/>
      <c r="S12" s="538"/>
      <c r="T12" s="538"/>
      <c r="U12" s="538"/>
      <c r="V12" s="538"/>
      <c r="W12" s="400">
        <v>-7</v>
      </c>
      <c r="X12" s="597"/>
      <c r="Y12" s="597">
        <v>-13.3</v>
      </c>
      <c r="Z12" s="597">
        <v>-8</v>
      </c>
      <c r="AA12" s="597">
        <v>-2</v>
      </c>
      <c r="AB12" s="597">
        <v>12</v>
      </c>
      <c r="AC12" s="597">
        <f>16</f>
        <v>16</v>
      </c>
      <c r="AD12" s="597"/>
      <c r="AE12" s="597"/>
      <c r="AF12" s="597"/>
      <c r="AG12" s="597"/>
      <c r="AH12" s="597"/>
      <c r="AI12" s="597"/>
      <c r="AJ12" s="597"/>
      <c r="AK12" s="597"/>
      <c r="AL12" s="597"/>
      <c r="AM12" s="597"/>
      <c r="AN12" s="597"/>
    </row>
    <row r="13" spans="2:40" x14ac:dyDescent="0.25">
      <c r="B13" s="610" t="s">
        <v>453</v>
      </c>
      <c r="C13" s="609"/>
      <c r="D13" s="584"/>
      <c r="E13" s="551"/>
      <c r="F13" s="551"/>
      <c r="G13" s="551"/>
      <c r="H13" s="551"/>
      <c r="I13" s="551"/>
      <c r="J13" s="570"/>
      <c r="K13" s="570"/>
      <c r="L13" s="570"/>
      <c r="M13" s="570"/>
      <c r="N13" s="570">
        <f>(1 + $E$26)^0.25-1</f>
        <v>0</v>
      </c>
      <c r="O13" s="570">
        <f>(1 + $E$26)^0.25-1</f>
        <v>0</v>
      </c>
      <c r="P13" s="570">
        <f>(1 + $F$26)^0.25-1</f>
        <v>3.0584654007782985E-2</v>
      </c>
      <c r="Q13" s="570">
        <f>(1 +$F$26)^0.25-1</f>
        <v>3.0584654007782985E-2</v>
      </c>
      <c r="R13" s="570">
        <f>(1 +$F$26)^0.25-1</f>
        <v>3.0584654007782985E-2</v>
      </c>
      <c r="S13" s="606">
        <f>(1 +$F$26)^0.25-1</f>
        <v>3.0584654007782985E-2</v>
      </c>
      <c r="T13" s="606">
        <f>(1 +$G$26)^0.25-1</f>
        <v>1.0343738735768992E-2</v>
      </c>
      <c r="U13" s="606">
        <f>(1 +$G$26)^0.25-1</f>
        <v>1.0343738735768992E-2</v>
      </c>
      <c r="V13" s="606">
        <f>(1 +$G$26)^0.25-1</f>
        <v>1.0343738735768992E-2</v>
      </c>
      <c r="W13" s="570">
        <f>(1 +$G$26)^0.25-1</f>
        <v>1.0343738735768992E-2</v>
      </c>
      <c r="X13" s="598">
        <f>(1 +$H$26)^0.25-1</f>
        <v>2.4149796973031323E-2</v>
      </c>
      <c r="Y13" s="588">
        <f t="shared" ref="Y13:AA13" si="3">(1 +$H$26)^0.25-1</f>
        <v>2.4149796973031323E-2</v>
      </c>
      <c r="Z13" s="588">
        <f t="shared" si="3"/>
        <v>2.4149796973031323E-2</v>
      </c>
      <c r="AA13" s="588">
        <f t="shared" si="3"/>
        <v>2.4149796973031323E-2</v>
      </c>
      <c r="AB13" s="598">
        <f>(1 +$I$26)^0.25-1</f>
        <v>1.2735078219938245E-2</v>
      </c>
      <c r="AC13" s="588">
        <f>(1 +$I$26)^0.25-1</f>
        <v>1.2735078219938245E-2</v>
      </c>
      <c r="AD13" s="588">
        <f t="shared" ref="AD13:AE13" si="4">(1 +$I$26)^0.25-1</f>
        <v>1.2735078219938245E-2</v>
      </c>
      <c r="AE13" s="588">
        <f t="shared" si="4"/>
        <v>1.2735078219938245E-2</v>
      </c>
      <c r="AF13" s="598">
        <f>(1 +$J$26)^0.25-1</f>
        <v>1.4964996667629515E-2</v>
      </c>
      <c r="AG13" s="588">
        <f>(1 +$J$26)^0.25-1</f>
        <v>1.4964996667629515E-2</v>
      </c>
      <c r="AH13" s="588">
        <f>(1 +$J$26)^0.25-1</f>
        <v>1.4964996667629515E-2</v>
      </c>
      <c r="AI13" s="588">
        <f>(1 +$J$26)^0.25-1</f>
        <v>1.4964996667629515E-2</v>
      </c>
      <c r="AJ13" s="598">
        <f>(1 +$K$26)^0.25-1</f>
        <v>1.5094085348676067E-2</v>
      </c>
      <c r="AK13" s="588">
        <f>(1 +$K$26)^0.25-1</f>
        <v>1.5094085348676067E-2</v>
      </c>
      <c r="AL13" s="588">
        <f t="shared" ref="AL13:AM13" si="5">(1 +$K$26)^0.25-1</f>
        <v>1.5094085348676067E-2</v>
      </c>
      <c r="AM13" s="588">
        <f t="shared" si="5"/>
        <v>1.5094085348676067E-2</v>
      </c>
      <c r="AN13" s="598">
        <f>(1 +$L$26)^0.25-1</f>
        <v>0</v>
      </c>
    </row>
    <row r="14" spans="2:40" ht="15.75" customHeight="1" x14ac:dyDescent="0.25">
      <c r="B14" s="608"/>
      <c r="C14" s="596"/>
      <c r="D14" s="491"/>
      <c r="E14" s="491"/>
      <c r="F14" s="491"/>
      <c r="G14" s="491"/>
      <c r="H14" s="491"/>
      <c r="I14" s="491"/>
      <c r="J14" s="554"/>
      <c r="K14" s="554"/>
      <c r="L14" s="554"/>
      <c r="M14" s="554"/>
    </row>
    <row r="15" spans="2:40" ht="15.75" customHeight="1" x14ac:dyDescent="0.25">
      <c r="B15" s="608"/>
      <c r="C15" s="596"/>
      <c r="D15" s="491"/>
    </row>
    <row r="16" spans="2:40" ht="15.75" customHeight="1" x14ac:dyDescent="0.25">
      <c r="B16" s="608"/>
      <c r="C16" s="596"/>
      <c r="D16" s="491"/>
      <c r="E16" s="491"/>
      <c r="F16" s="491"/>
      <c r="G16" s="491"/>
      <c r="H16" s="491"/>
      <c r="I16" s="491"/>
      <c r="J16" s="554"/>
      <c r="K16" s="554"/>
      <c r="L16" s="554"/>
    </row>
    <row r="17" spans="2:32" x14ac:dyDescent="0.25">
      <c r="B17" s="608"/>
      <c r="C17" s="596"/>
      <c r="D17" s="491"/>
      <c r="E17" s="491"/>
      <c r="F17" s="491"/>
      <c r="G17" s="491"/>
      <c r="H17" s="491"/>
      <c r="I17" s="491"/>
      <c r="J17" s="554"/>
      <c r="K17" s="554"/>
      <c r="L17" s="554"/>
    </row>
    <row r="18" spans="2:32" x14ac:dyDescent="0.25">
      <c r="B18" s="608"/>
      <c r="C18" s="596"/>
      <c r="D18" s="491"/>
      <c r="E18" s="491"/>
      <c r="F18" s="491"/>
      <c r="G18" s="491"/>
      <c r="H18" s="491"/>
      <c r="I18" s="491"/>
      <c r="J18" s="554"/>
      <c r="K18" s="554"/>
      <c r="L18" s="554"/>
      <c r="N18" s="514"/>
      <c r="R18" s="514"/>
      <c r="V18" s="514"/>
      <c r="Z18" s="514"/>
    </row>
    <row r="19" spans="2:32" ht="14.85" customHeight="1" x14ac:dyDescent="0.25">
      <c r="B19" s="511" t="s">
        <v>351</v>
      </c>
    </row>
    <row r="20" spans="2:32" x14ac:dyDescent="0.25">
      <c r="B20" s="613" t="s">
        <v>430</v>
      </c>
      <c r="C20" s="613">
        <v>2019</v>
      </c>
      <c r="D20" s="614">
        <v>2020</v>
      </c>
      <c r="E20" s="589">
        <v>2021</v>
      </c>
      <c r="F20" s="589">
        <v>2022</v>
      </c>
      <c r="G20" s="589">
        <v>2023</v>
      </c>
      <c r="H20" s="589">
        <v>2024</v>
      </c>
      <c r="I20" s="589">
        <v>2025</v>
      </c>
      <c r="J20" s="589">
        <v>2026</v>
      </c>
      <c r="K20" s="590">
        <v>2027</v>
      </c>
    </row>
    <row r="21" spans="2:32" ht="21" customHeight="1" x14ac:dyDescent="0.25">
      <c r="B21" s="600" t="s">
        <v>1966</v>
      </c>
      <c r="C21" s="592"/>
      <c r="D21" s="592"/>
      <c r="E21" s="235">
        <v>867.67600000000004</v>
      </c>
      <c r="F21" s="235">
        <v>974.649</v>
      </c>
      <c r="G21" s="235">
        <v>1008.504</v>
      </c>
      <c r="H21" s="235">
        <v>1088.9089999999999</v>
      </c>
      <c r="I21" s="235">
        <v>1145.4469999999999</v>
      </c>
      <c r="J21" s="235">
        <v>1215.568</v>
      </c>
      <c r="K21" s="619">
        <v>1290.6379999999999</v>
      </c>
      <c r="L21" s="599">
        <v>1371.894</v>
      </c>
      <c r="M21" s="599">
        <v>1460.277</v>
      </c>
      <c r="N21" s="599">
        <v>1554.6379999999999</v>
      </c>
      <c r="O21" s="599">
        <v>1658.7670000000001</v>
      </c>
      <c r="P21" s="400">
        <v>1770.1189999999999</v>
      </c>
      <c r="Q21" s="400">
        <v>1904.5160000000001</v>
      </c>
      <c r="R21" s="400">
        <v>2036.5410000000002</v>
      </c>
      <c r="S21" s="400">
        <v>2166.35</v>
      </c>
      <c r="T21" s="400"/>
      <c r="U21" s="400"/>
      <c r="V21" s="400"/>
      <c r="W21" s="400"/>
      <c r="X21" s="400"/>
      <c r="Y21" s="400"/>
      <c r="Z21" s="400"/>
      <c r="AA21" s="400"/>
      <c r="AB21" s="400"/>
      <c r="AC21" s="400"/>
    </row>
    <row r="22" spans="2:32" ht="21" customHeight="1" x14ac:dyDescent="0.25">
      <c r="B22" s="601"/>
      <c r="C22" s="618"/>
      <c r="D22" s="618"/>
      <c r="E22" s="235">
        <f>AVERAGE(L10:O10)</f>
        <v>862.99999999999989</v>
      </c>
      <c r="F22" s="235">
        <f>AVERAGE(P10:S10)</f>
        <v>921</v>
      </c>
      <c r="G22" s="235">
        <f>AVERAGE(T10:W10)</f>
        <v>990.32499999999993</v>
      </c>
      <c r="H22" s="235">
        <f>AVERAGE(X10:AA10)</f>
        <v>1060.45</v>
      </c>
      <c r="I22" s="235">
        <f>AVERAGE(AB10:AE10)</f>
        <v>1153.383509908427</v>
      </c>
      <c r="J22" s="491">
        <f>AVERAGE(AF10:AI10)</f>
        <v>1224.5890637458522</v>
      </c>
      <c r="K22" s="330">
        <f>AVERAGE(AJ10:AM10)</f>
        <v>1299.9712482435057</v>
      </c>
      <c r="L22" s="599"/>
      <c r="M22" s="599"/>
      <c r="N22" s="599"/>
      <c r="O22" s="599"/>
      <c r="P22" s="400"/>
      <c r="Q22" s="400"/>
      <c r="R22" s="400"/>
      <c r="S22" s="400"/>
      <c r="T22" s="400"/>
      <c r="U22" s="400"/>
      <c r="V22" s="400"/>
      <c r="W22" s="400"/>
      <c r="X22" s="400"/>
      <c r="Y22" s="400"/>
      <c r="Z22" s="400"/>
      <c r="AA22" s="400"/>
      <c r="AB22" s="400"/>
      <c r="AC22" s="400"/>
    </row>
    <row r="23" spans="2:32" ht="21" customHeight="1" x14ac:dyDescent="0.25">
      <c r="B23" s="617" t="s">
        <v>454</v>
      </c>
      <c r="C23" s="222"/>
      <c r="D23" s="222">
        <v>47</v>
      </c>
      <c r="E23" s="222">
        <v>48</v>
      </c>
      <c r="F23" s="222">
        <v>-50</v>
      </c>
      <c r="G23" s="222">
        <v>-45</v>
      </c>
      <c r="H23" s="222"/>
      <c r="I23" s="222"/>
      <c r="J23" s="222">
        <f>SUM(D23:G23)</f>
        <v>0</v>
      </c>
      <c r="K23" s="545">
        <v>0</v>
      </c>
      <c r="M23" s="599"/>
      <c r="N23" s="599"/>
      <c r="O23" s="599"/>
      <c r="P23" s="400"/>
      <c r="Q23" s="400"/>
      <c r="R23" s="400"/>
      <c r="S23" s="400"/>
      <c r="T23" s="400"/>
      <c r="U23" s="400"/>
      <c r="V23" s="400"/>
      <c r="W23" s="400"/>
      <c r="X23" s="400"/>
      <c r="Y23" s="400"/>
      <c r="Z23" s="400"/>
      <c r="AA23" s="400"/>
      <c r="AB23" s="400"/>
      <c r="AC23" s="400"/>
    </row>
    <row r="24" spans="2:32" x14ac:dyDescent="0.25">
      <c r="B24" s="617" t="s">
        <v>1372</v>
      </c>
      <c r="C24" s="618"/>
      <c r="D24" s="618"/>
      <c r="E24" s="618">
        <f>E21-E23</f>
        <v>819.67600000000004</v>
      </c>
      <c r="F24" s="618">
        <f>F21+F23</f>
        <v>924.649</v>
      </c>
      <c r="G24" s="618">
        <f>G21+G23</f>
        <v>963.50400000000002</v>
      </c>
      <c r="H24" s="618">
        <f>H21+H23</f>
        <v>1088.9089999999999</v>
      </c>
      <c r="I24" s="618">
        <f>I21+I23</f>
        <v>1145.4469999999999</v>
      </c>
      <c r="J24" s="618">
        <f t="shared" ref="J24:K24" si="6">J21+J23</f>
        <v>1215.568</v>
      </c>
      <c r="K24" s="593">
        <f t="shared" si="6"/>
        <v>1290.6379999999999</v>
      </c>
      <c r="N24" s="612"/>
      <c r="O24" s="596"/>
      <c r="P24" s="400"/>
      <c r="Q24" s="400"/>
      <c r="R24" s="400"/>
      <c r="S24" s="400"/>
      <c r="T24" s="400"/>
      <c r="U24" s="400"/>
      <c r="V24" s="400"/>
      <c r="W24" s="400"/>
      <c r="X24" s="400"/>
      <c r="Y24" s="400"/>
      <c r="Z24" s="400"/>
      <c r="AA24" s="400"/>
      <c r="AB24" s="400"/>
      <c r="AC24" s="400"/>
    </row>
    <row r="25" spans="2:32" x14ac:dyDescent="0.25">
      <c r="B25" s="617" t="s">
        <v>456</v>
      </c>
      <c r="C25" s="491">
        <f>AVERAGE(D10:G10)</f>
        <v>778.75</v>
      </c>
      <c r="D25" s="491">
        <f>AVERAGE(H10:K10)</f>
        <v>811.19999999999993</v>
      </c>
      <c r="E25" s="618">
        <f>AVERAGE(L10:O10)</f>
        <v>862.99999999999989</v>
      </c>
      <c r="F25" s="222"/>
      <c r="G25" s="222"/>
      <c r="H25" s="222"/>
      <c r="I25" s="222"/>
      <c r="J25" s="222"/>
      <c r="K25" s="545"/>
      <c r="L25" s="238" t="s">
        <v>455</v>
      </c>
      <c r="P25" s="400"/>
      <c r="Q25" s="400"/>
      <c r="R25" s="400"/>
      <c r="S25" s="400"/>
      <c r="T25" s="400"/>
      <c r="U25" s="400"/>
      <c r="V25" s="400"/>
      <c r="W25" s="400"/>
      <c r="X25" s="400"/>
      <c r="Y25" s="400"/>
      <c r="Z25" s="400"/>
      <c r="AA25" s="400"/>
      <c r="AB25" s="400"/>
      <c r="AC25" s="400"/>
    </row>
    <row r="26" spans="2:32" x14ac:dyDescent="0.25">
      <c r="B26" s="602" t="s">
        <v>914</v>
      </c>
      <c r="C26" s="222"/>
      <c r="D26" s="222"/>
      <c r="E26" s="222"/>
      <c r="F26" s="222">
        <f>F24/E24-1</f>
        <v>0.12806645552632978</v>
      </c>
      <c r="G26" s="222">
        <f>G24/F24-1+G27</f>
        <v>4.2021350804467339E-2</v>
      </c>
      <c r="H26" s="222">
        <f>H24/G24-1+H27-0.03</f>
        <v>0.10015514206479662</v>
      </c>
      <c r="I26" s="222">
        <f>I24/H24-1</f>
        <v>5.1921694099323235E-2</v>
      </c>
      <c r="J26" s="222">
        <f>J24/I24-1</f>
        <v>6.1217149287570827E-2</v>
      </c>
      <c r="K26" s="545">
        <f>K24/J24-1</f>
        <v>6.1757137404077733E-2</v>
      </c>
      <c r="P26" s="238"/>
      <c r="Q26" s="238"/>
      <c r="R26" s="238"/>
      <c r="S26" s="238"/>
      <c r="T26" s="238"/>
      <c r="U26" s="238"/>
      <c r="V26" s="238"/>
      <c r="W26" s="238"/>
      <c r="X26" s="238"/>
      <c r="Y26" s="238"/>
      <c r="Z26" s="238"/>
      <c r="AA26" s="238"/>
      <c r="AB26" s="238"/>
      <c r="AC26" s="238"/>
    </row>
    <row r="27" spans="2:32" x14ac:dyDescent="0.25">
      <c r="B27" s="603" t="s">
        <v>887</v>
      </c>
      <c r="C27" s="542"/>
      <c r="D27" s="542"/>
      <c r="E27" s="542"/>
      <c r="F27" s="542"/>
      <c r="G27" s="542">
        <v>0</v>
      </c>
      <c r="H27" s="542"/>
      <c r="I27" s="542"/>
      <c r="J27" s="542"/>
      <c r="K27" s="562"/>
      <c r="P27" s="238"/>
      <c r="Q27" s="238"/>
      <c r="R27" s="238"/>
      <c r="S27" s="238"/>
      <c r="T27" s="238"/>
      <c r="U27" s="238"/>
      <c r="V27" s="238"/>
      <c r="W27" s="238"/>
      <c r="X27" s="238"/>
      <c r="Y27" s="238"/>
      <c r="Z27" s="238"/>
      <c r="AA27" s="238"/>
      <c r="AB27" s="238"/>
      <c r="AC27" s="238"/>
    </row>
    <row r="28" spans="2:32" x14ac:dyDescent="0.25">
      <c r="C28" s="611"/>
      <c r="D28" s="611"/>
      <c r="E28" s="611"/>
      <c r="F28" s="611"/>
      <c r="G28" s="611"/>
      <c r="H28" s="611"/>
      <c r="I28" s="611"/>
      <c r="J28" s="611"/>
      <c r="P28" s="238"/>
      <c r="Q28" s="238"/>
      <c r="R28" s="238"/>
      <c r="S28" s="238"/>
      <c r="T28" s="238"/>
      <c r="U28" s="238"/>
      <c r="V28" s="238"/>
      <c r="W28" s="238"/>
      <c r="X28" s="238"/>
      <c r="Y28" s="238"/>
      <c r="Z28" s="238"/>
      <c r="AA28" s="238"/>
      <c r="AB28" s="238"/>
      <c r="AC28" s="238"/>
    </row>
    <row r="29" spans="2:32" x14ac:dyDescent="0.25">
      <c r="P29" s="238"/>
      <c r="Q29" s="238"/>
      <c r="R29" s="238"/>
      <c r="S29" s="238"/>
      <c r="T29" s="238"/>
      <c r="U29" s="238"/>
      <c r="V29" s="238"/>
      <c r="W29" s="238"/>
      <c r="X29" s="238"/>
      <c r="Y29" s="238"/>
      <c r="Z29" s="238"/>
      <c r="AA29" s="238"/>
      <c r="AB29" s="238"/>
      <c r="AC29" s="238"/>
    </row>
    <row r="30" spans="2:32" x14ac:dyDescent="0.25">
      <c r="S30" s="238"/>
      <c r="T30" s="238"/>
      <c r="U30" s="238"/>
      <c r="V30" s="238"/>
      <c r="W30" s="238"/>
      <c r="X30" s="238"/>
      <c r="Y30" s="238"/>
      <c r="Z30" s="238"/>
      <c r="AA30" s="238"/>
      <c r="AB30" s="238"/>
      <c r="AC30" s="238"/>
      <c r="AD30" s="238"/>
      <c r="AE30" s="238"/>
      <c r="AF30" s="238"/>
    </row>
    <row r="31" spans="2:32" x14ac:dyDescent="0.25">
      <c r="P31" s="238"/>
      <c r="Q31" s="238"/>
      <c r="R31" s="238"/>
      <c r="S31" s="238"/>
      <c r="T31" s="238"/>
      <c r="U31" s="238"/>
      <c r="V31" s="238"/>
      <c r="W31" s="238"/>
      <c r="X31" s="238"/>
      <c r="Y31" s="238"/>
      <c r="Z31" s="238"/>
      <c r="AA31" s="238"/>
      <c r="AB31" s="238"/>
      <c r="AC31" s="238"/>
    </row>
    <row r="32" spans="2:32" x14ac:dyDescent="0.25">
      <c r="F32" s="56"/>
      <c r="G32" s="56"/>
      <c r="P32" s="238"/>
      <c r="Q32" s="238"/>
      <c r="R32" s="238"/>
      <c r="S32" s="238"/>
      <c r="T32" s="238"/>
      <c r="U32" s="238"/>
      <c r="V32" s="238"/>
      <c r="W32" s="238"/>
      <c r="X32" s="238"/>
      <c r="Y32" s="238"/>
      <c r="Z32" s="238"/>
      <c r="AA32" s="238"/>
      <c r="AB32" s="238"/>
      <c r="AC32" s="238"/>
    </row>
    <row r="33" spans="16:29" x14ac:dyDescent="0.25">
      <c r="P33" s="238"/>
      <c r="Q33" s="238"/>
      <c r="R33" s="238"/>
      <c r="S33" s="238"/>
      <c r="T33" s="238"/>
      <c r="U33" s="238"/>
      <c r="V33" s="238"/>
      <c r="W33" s="238"/>
      <c r="X33" s="238"/>
      <c r="Y33" s="238"/>
      <c r="Z33" s="238"/>
      <c r="AA33" s="238"/>
      <c r="AB33" s="238"/>
      <c r="AC33" s="238"/>
    </row>
    <row r="34" spans="16:29" x14ac:dyDescent="0.25">
      <c r="P34" s="238"/>
      <c r="Q34" s="238"/>
      <c r="R34" s="238"/>
      <c r="S34" s="238"/>
      <c r="T34" s="238"/>
      <c r="U34" s="238"/>
      <c r="V34" s="238"/>
      <c r="W34" s="238"/>
      <c r="X34" s="238"/>
      <c r="Y34" s="238"/>
      <c r="Z34" s="238"/>
      <c r="AA34" s="238"/>
      <c r="AB34" s="238"/>
      <c r="AC34" s="238"/>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J23"/>
  <sheetViews>
    <sheetView topLeftCell="J1" zoomScale="90" zoomScaleNormal="90" workbookViewId="0">
      <selection activeCell="R34" sqref="R34"/>
    </sheetView>
  </sheetViews>
  <sheetFormatPr defaultColWidth="10.85546875" defaultRowHeight="15" x14ac:dyDescent="0.25"/>
  <cols>
    <col min="1" max="1" width="16.85546875" customWidth="1"/>
  </cols>
  <sheetData>
    <row r="1" spans="2:36" x14ac:dyDescent="0.25">
      <c r="B1" s="1264" t="s">
        <v>1374</v>
      </c>
      <c r="C1" s="1264"/>
      <c r="D1" s="1264"/>
      <c r="E1" s="1264"/>
      <c r="F1" s="1264"/>
      <c r="G1" s="1264"/>
      <c r="H1" s="1264"/>
      <c r="I1" s="1264"/>
      <c r="J1" s="1264"/>
      <c r="K1" s="1264"/>
      <c r="L1" s="1264"/>
      <c r="M1" s="1264"/>
      <c r="N1" s="1264"/>
      <c r="O1" s="1264"/>
      <c r="P1" s="1264"/>
      <c r="Q1" s="1264"/>
      <c r="R1" s="1264"/>
      <c r="S1" s="1264"/>
      <c r="T1" s="1264"/>
      <c r="U1" s="1264"/>
      <c r="V1" s="1264"/>
      <c r="W1" s="1264"/>
      <c r="X1" s="1264"/>
      <c r="Y1" s="1264"/>
      <c r="Z1" s="1264"/>
      <c r="AA1" s="1264"/>
      <c r="AB1" s="1264"/>
      <c r="AC1" s="1264"/>
    </row>
    <row r="2" spans="2:36" x14ac:dyDescent="0.25">
      <c r="B2" s="1265" t="s">
        <v>1377</v>
      </c>
      <c r="C2" s="1265"/>
      <c r="D2" s="1265"/>
      <c r="E2" s="1265"/>
      <c r="F2" s="1265"/>
      <c r="G2" s="1265"/>
      <c r="H2" s="1265"/>
      <c r="I2" s="1265"/>
      <c r="J2" s="1265"/>
      <c r="K2" s="1265"/>
      <c r="L2" s="1265"/>
      <c r="M2" s="1265"/>
      <c r="N2" s="1265"/>
      <c r="O2" s="1265"/>
      <c r="P2" s="1265"/>
      <c r="Q2" s="1265"/>
      <c r="R2" s="1265"/>
      <c r="S2" s="1265"/>
      <c r="T2" s="1265"/>
      <c r="U2" s="1265"/>
      <c r="V2" s="1265"/>
      <c r="W2" s="1265"/>
      <c r="X2" s="1265"/>
      <c r="Y2" s="1265"/>
      <c r="Z2" s="1265"/>
      <c r="AA2" s="1265"/>
      <c r="AB2" s="1265"/>
      <c r="AC2" s="1265"/>
    </row>
    <row r="3" spans="2:36" x14ac:dyDescent="0.25">
      <c r="B3" s="1265"/>
      <c r="C3" s="1265"/>
      <c r="D3" s="1265"/>
      <c r="E3" s="1265"/>
      <c r="F3" s="1265"/>
      <c r="G3" s="1265"/>
      <c r="H3" s="1265"/>
      <c r="I3" s="1265"/>
      <c r="J3" s="1265"/>
      <c r="K3" s="1265"/>
      <c r="L3" s="1265"/>
      <c r="M3" s="1265"/>
      <c r="N3" s="1265"/>
      <c r="O3" s="1265"/>
      <c r="P3" s="1265"/>
      <c r="Q3" s="1265"/>
      <c r="R3" s="1265"/>
      <c r="S3" s="1265"/>
      <c r="T3" s="1265"/>
      <c r="U3" s="1265"/>
      <c r="V3" s="1265"/>
      <c r="W3" s="1265"/>
      <c r="X3" s="1265"/>
      <c r="Y3" s="1265"/>
      <c r="Z3" s="1265"/>
      <c r="AA3" s="1265"/>
      <c r="AB3" s="1265"/>
      <c r="AC3" s="1265"/>
    </row>
    <row r="4" spans="2:36" x14ac:dyDescent="0.25">
      <c r="B4" s="1265"/>
      <c r="C4" s="1265"/>
      <c r="D4" s="1265"/>
      <c r="E4" s="1265"/>
      <c r="F4" s="1265"/>
      <c r="G4" s="1265"/>
      <c r="H4" s="1265"/>
      <c r="I4" s="1265"/>
      <c r="J4" s="1265"/>
      <c r="K4" s="1265"/>
      <c r="L4" s="1265"/>
      <c r="M4" s="1265"/>
      <c r="N4" s="1265"/>
      <c r="O4" s="1265"/>
      <c r="P4" s="1265"/>
      <c r="Q4" s="1265"/>
      <c r="R4" s="1265"/>
      <c r="S4" s="1265"/>
      <c r="T4" s="1265"/>
      <c r="U4" s="1265"/>
      <c r="V4" s="1265"/>
      <c r="W4" s="1265"/>
      <c r="X4" s="1265"/>
      <c r="Y4" s="1265"/>
      <c r="Z4" s="1265"/>
      <c r="AA4" s="1265"/>
      <c r="AB4" s="1265"/>
      <c r="AC4" s="1265"/>
    </row>
    <row r="5" spans="2:36" x14ac:dyDescent="0.25">
      <c r="B5" s="398"/>
      <c r="C5" s="238"/>
      <c r="D5" s="238"/>
      <c r="E5" s="238"/>
      <c r="F5" s="238"/>
      <c r="G5" s="238"/>
      <c r="H5" s="238"/>
      <c r="I5" s="238"/>
      <c r="J5" s="238"/>
      <c r="K5" s="238"/>
      <c r="L5" s="238"/>
      <c r="M5" s="238"/>
      <c r="N5" s="238"/>
      <c r="O5" s="238"/>
      <c r="P5" s="238"/>
      <c r="Q5" s="238"/>
      <c r="R5" s="238"/>
      <c r="S5" s="238"/>
      <c r="T5" s="238"/>
      <c r="U5" s="238"/>
      <c r="V5" s="238"/>
      <c r="W5" s="238"/>
      <c r="X5" s="238"/>
      <c r="Y5" s="238"/>
    </row>
    <row r="6" spans="2:36" x14ac:dyDescent="0.25">
      <c r="B6" s="1269" t="s">
        <v>1690</v>
      </c>
      <c r="C6" s="1313"/>
      <c r="D6" s="1273" t="s">
        <v>279</v>
      </c>
      <c r="E6" s="1315"/>
      <c r="F6" s="1315"/>
      <c r="G6" s="1315"/>
      <c r="H6" s="1315"/>
      <c r="I6" s="1315"/>
      <c r="J6" s="1315"/>
      <c r="K6" s="1315"/>
      <c r="L6" s="1315"/>
      <c r="M6" s="1315"/>
      <c r="N6" s="1315"/>
      <c r="O6" s="1315"/>
      <c r="P6" s="1315"/>
      <c r="Q6" s="1314"/>
      <c r="R6" s="1314"/>
      <c r="S6" s="1314"/>
      <c r="T6" s="1314"/>
      <c r="U6" s="1314"/>
      <c r="V6" s="1272"/>
      <c r="W6" s="1353" t="s">
        <v>280</v>
      </c>
      <c r="X6" s="1351"/>
      <c r="Y6" s="1351"/>
      <c r="Z6" s="1351"/>
      <c r="AA6" s="1351"/>
      <c r="AB6" s="1351"/>
      <c r="AC6" s="1351"/>
      <c r="AD6" s="1351"/>
      <c r="AE6" s="1351"/>
      <c r="AF6" s="1351"/>
      <c r="AG6" s="1352"/>
      <c r="AH6" s="620"/>
      <c r="AI6" s="620"/>
      <c r="AJ6" s="620"/>
    </row>
    <row r="7" spans="2:36" x14ac:dyDescent="0.25">
      <c r="B7" s="1271"/>
      <c r="C7" s="1272"/>
      <c r="D7" s="214">
        <v>2018</v>
      </c>
      <c r="E7" s="1266">
        <v>2019</v>
      </c>
      <c r="F7" s="1267"/>
      <c r="G7" s="1267"/>
      <c r="H7" s="1328"/>
      <c r="I7" s="1266">
        <v>2020</v>
      </c>
      <c r="J7" s="1267"/>
      <c r="K7" s="1267"/>
      <c r="L7" s="1267"/>
      <c r="M7" s="1266">
        <v>2021</v>
      </c>
      <c r="N7" s="1267"/>
      <c r="O7" s="1267"/>
      <c r="P7" s="1267"/>
      <c r="Q7" s="1291">
        <v>2022</v>
      </c>
      <c r="R7" s="1292"/>
      <c r="S7" s="291"/>
      <c r="T7" s="291"/>
      <c r="U7" s="441"/>
      <c r="V7" s="291">
        <v>2023</v>
      </c>
      <c r="W7" s="327"/>
      <c r="X7" s="324"/>
      <c r="Y7" s="1276">
        <v>2024</v>
      </c>
      <c r="Z7" s="1281"/>
      <c r="AA7" s="1281"/>
      <c r="AB7" s="1280"/>
      <c r="AC7" s="1275">
        <v>2025</v>
      </c>
      <c r="AD7" s="1281"/>
      <c r="AE7" s="1281"/>
      <c r="AF7" s="1280"/>
      <c r="AG7" s="1275">
        <v>2026</v>
      </c>
      <c r="AH7" s="1281"/>
      <c r="AI7" s="1281"/>
      <c r="AJ7" s="1280"/>
    </row>
    <row r="8" spans="2:36" x14ac:dyDescent="0.25">
      <c r="B8" s="1273"/>
      <c r="C8" s="1274"/>
      <c r="D8" s="214" t="s">
        <v>281</v>
      </c>
      <c r="E8" s="214" t="s">
        <v>282</v>
      </c>
      <c r="F8" s="215" t="s">
        <v>283</v>
      </c>
      <c r="G8" s="215" t="s">
        <v>238</v>
      </c>
      <c r="H8" s="221" t="s">
        <v>281</v>
      </c>
      <c r="I8" s="215" t="s">
        <v>282</v>
      </c>
      <c r="J8" s="215" t="s">
        <v>283</v>
      </c>
      <c r="K8" s="215" t="s">
        <v>238</v>
      </c>
      <c r="L8" s="215" t="s">
        <v>281</v>
      </c>
      <c r="M8" s="214" t="s">
        <v>282</v>
      </c>
      <c r="N8" s="215" t="s">
        <v>283</v>
      </c>
      <c r="O8" s="215" t="s">
        <v>238</v>
      </c>
      <c r="P8" s="215" t="s">
        <v>281</v>
      </c>
      <c r="Q8" s="275" t="s">
        <v>282</v>
      </c>
      <c r="R8" s="276" t="s">
        <v>283</v>
      </c>
      <c r="S8" s="276" t="s">
        <v>238</v>
      </c>
      <c r="T8" s="276" t="s">
        <v>281</v>
      </c>
      <c r="U8" s="275" t="s">
        <v>282</v>
      </c>
      <c r="V8" s="276" t="s">
        <v>283</v>
      </c>
      <c r="W8" s="262" t="s">
        <v>238</v>
      </c>
      <c r="X8" s="290" t="s">
        <v>281</v>
      </c>
      <c r="Y8" s="262" t="s">
        <v>282</v>
      </c>
      <c r="Z8" s="260" t="s">
        <v>283</v>
      </c>
      <c r="AA8" s="262" t="s">
        <v>238</v>
      </c>
      <c r="AB8" s="262" t="s">
        <v>281</v>
      </c>
      <c r="AC8" s="288" t="s">
        <v>282</v>
      </c>
      <c r="AD8" s="260" t="s">
        <v>283</v>
      </c>
      <c r="AE8" s="262" t="s">
        <v>238</v>
      </c>
      <c r="AF8" s="262" t="s">
        <v>281</v>
      </c>
      <c r="AG8" s="288" t="s">
        <v>282</v>
      </c>
      <c r="AH8" s="260" t="s">
        <v>283</v>
      </c>
      <c r="AI8" s="262" t="s">
        <v>238</v>
      </c>
      <c r="AJ8" s="262" t="s">
        <v>281</v>
      </c>
    </row>
    <row r="9" spans="2:36" x14ac:dyDescent="0.25">
      <c r="B9" s="107" t="s">
        <v>1376</v>
      </c>
      <c r="C9" s="644"/>
      <c r="D9" s="645"/>
      <c r="E9" s="644"/>
      <c r="F9" s="644"/>
      <c r="G9" s="644"/>
      <c r="H9" s="644"/>
      <c r="I9" s="644"/>
      <c r="J9" s="646"/>
      <c r="K9" s="646"/>
      <c r="L9" s="646"/>
      <c r="M9" s="646"/>
      <c r="N9" s="646"/>
      <c r="O9" s="646"/>
      <c r="P9" s="646"/>
      <c r="Q9" s="624"/>
      <c r="R9" s="625">
        <v>0</v>
      </c>
      <c r="S9" s="626">
        <v>0</v>
      </c>
      <c r="T9" s="625">
        <v>0</v>
      </c>
      <c r="U9" s="625">
        <v>0</v>
      </c>
      <c r="V9" s="625">
        <v>0</v>
      </c>
      <c r="W9" s="625">
        <v>-7.7999999999999999E-4</v>
      </c>
      <c r="X9" s="625">
        <v>-7.7999999999999999E-4</v>
      </c>
      <c r="Y9" s="625">
        <v>-9.5E-4</v>
      </c>
      <c r="Z9" s="625">
        <v>-9.5E-4</v>
      </c>
      <c r="AA9" s="625">
        <v>-9.5E-4</v>
      </c>
      <c r="AB9" s="625">
        <v>-9.5E-4</v>
      </c>
      <c r="AC9" s="625">
        <v>-9.3999999999999997E-4</v>
      </c>
      <c r="AD9" s="625">
        <v>-9.3999999999999997E-4</v>
      </c>
      <c r="AE9" s="625">
        <v>-9.3999999999999997E-4</v>
      </c>
      <c r="AF9" s="625">
        <v>-9.3999999999999997E-4</v>
      </c>
      <c r="AG9" s="625">
        <v>-9.3999999999999997E-4</v>
      </c>
      <c r="AH9" s="625">
        <v>-9.3999999999999997E-4</v>
      </c>
      <c r="AI9" s="625">
        <v>0</v>
      </c>
      <c r="AJ9" s="625">
        <v>0</v>
      </c>
    </row>
    <row r="10" spans="2:36" x14ac:dyDescent="0.25">
      <c r="B10" s="56" t="s">
        <v>1375</v>
      </c>
      <c r="C10" s="256"/>
      <c r="D10" s="571"/>
      <c r="E10" s="256"/>
      <c r="F10" s="256"/>
      <c r="G10" s="256"/>
      <c r="H10" s="256"/>
      <c r="I10" s="256"/>
      <c r="J10" s="623"/>
      <c r="K10" s="623"/>
      <c r="L10" s="623"/>
      <c r="M10" s="623"/>
      <c r="N10" s="623"/>
      <c r="O10" s="623"/>
      <c r="P10" s="623"/>
      <c r="Q10" s="623"/>
      <c r="R10" s="622"/>
      <c r="S10" s="622"/>
      <c r="T10" s="622"/>
      <c r="U10" s="622">
        <v>26095</v>
      </c>
      <c r="V10" s="622">
        <v>26404</v>
      </c>
      <c r="W10" s="622">
        <v>26686</v>
      </c>
      <c r="X10" s="622">
        <v>26931</v>
      </c>
      <c r="Y10" s="622">
        <v>27174</v>
      </c>
      <c r="Z10" s="622">
        <v>27411</v>
      </c>
      <c r="AA10" s="622">
        <v>27647</v>
      </c>
      <c r="AB10" s="622">
        <v>27893</v>
      </c>
      <c r="AC10" s="622">
        <v>28143</v>
      </c>
      <c r="AD10" s="622">
        <v>28400</v>
      </c>
      <c r="AE10" s="622">
        <v>28649</v>
      </c>
      <c r="AF10" s="622">
        <v>28910</v>
      </c>
      <c r="AG10" s="622">
        <v>28910</v>
      </c>
      <c r="AH10" s="622">
        <v>28910</v>
      </c>
    </row>
    <row r="11" spans="2:36" x14ac:dyDescent="0.25">
      <c r="B11" s="56" t="s">
        <v>311</v>
      </c>
      <c r="C11" s="533"/>
      <c r="D11" s="532"/>
      <c r="E11" s="533"/>
      <c r="F11" s="533"/>
      <c r="G11" s="533"/>
      <c r="H11" s="533"/>
      <c r="I11" s="533"/>
      <c r="J11" s="643">
        <v>45</v>
      </c>
      <c r="K11" s="643">
        <v>45</v>
      </c>
      <c r="L11" s="643">
        <v>45</v>
      </c>
      <c r="M11" s="643">
        <v>45</v>
      </c>
      <c r="N11" s="643">
        <v>45</v>
      </c>
      <c r="O11" s="643">
        <v>45</v>
      </c>
      <c r="P11" s="643">
        <v>45</v>
      </c>
      <c r="Q11" s="643">
        <v>45</v>
      </c>
      <c r="R11" s="642">
        <v>45</v>
      </c>
      <c r="S11" s="642">
        <v>45</v>
      </c>
      <c r="T11" s="642">
        <v>45</v>
      </c>
      <c r="U11" s="647">
        <v>45</v>
      </c>
      <c r="V11" s="647">
        <v>45</v>
      </c>
      <c r="W11" s="647">
        <f>W9*W10*(-1)*0.1</f>
        <v>2.0815079999999999</v>
      </c>
      <c r="X11" s="647">
        <f t="shared" ref="X11:AF11" si="0">X9*X10*(-1)*0.1</f>
        <v>2.1006180000000003</v>
      </c>
      <c r="Y11" s="647">
        <f t="shared" si="0"/>
        <v>2.5815300000000003</v>
      </c>
      <c r="Z11" s="647">
        <f t="shared" si="0"/>
        <v>2.6040450000000002</v>
      </c>
      <c r="AA11" s="647">
        <f t="shared" si="0"/>
        <v>2.626465</v>
      </c>
      <c r="AB11" s="647">
        <f t="shared" si="0"/>
        <v>2.6498349999999999</v>
      </c>
      <c r="AC11" s="647">
        <f t="shared" si="0"/>
        <v>2.6454420000000001</v>
      </c>
      <c r="AD11" s="647">
        <f t="shared" si="0"/>
        <v>2.6696</v>
      </c>
      <c r="AE11" s="647">
        <f t="shared" si="0"/>
        <v>2.693006</v>
      </c>
      <c r="AF11" s="647">
        <f t="shared" si="0"/>
        <v>2.7175400000000001</v>
      </c>
      <c r="AG11" s="647">
        <f>AG9*AG10*(-1)*0.1</f>
        <v>2.7175400000000001</v>
      </c>
      <c r="AH11" s="647">
        <f>AH9*AH10*(-1)*0.1</f>
        <v>2.7175400000000001</v>
      </c>
      <c r="AI11">
        <v>0</v>
      </c>
      <c r="AJ11">
        <v>0</v>
      </c>
    </row>
    <row r="12" spans="2:36" x14ac:dyDescent="0.25">
      <c r="B12" s="56"/>
      <c r="C12" s="256"/>
      <c r="D12" s="256"/>
      <c r="E12" s="256"/>
      <c r="F12" s="256"/>
      <c r="G12" s="256"/>
      <c r="H12" s="256"/>
      <c r="I12" s="256"/>
      <c r="J12" s="623"/>
      <c r="K12" s="623"/>
      <c r="L12" s="623"/>
      <c r="M12" s="623"/>
      <c r="N12" s="623"/>
      <c r="O12" s="623"/>
      <c r="P12" s="623"/>
      <c r="Q12" s="623"/>
      <c r="R12" s="622"/>
      <c r="S12" s="622"/>
      <c r="T12" s="622"/>
      <c r="U12" s="80"/>
      <c r="V12" s="80"/>
      <c r="W12" s="80"/>
      <c r="X12" s="80"/>
      <c r="Y12" s="80"/>
      <c r="Z12" s="80"/>
      <c r="AA12" s="80"/>
      <c r="AB12" s="80"/>
      <c r="AC12" s="80"/>
      <c r="AD12" s="80"/>
      <c r="AE12" s="80"/>
      <c r="AF12" s="80"/>
      <c r="AG12" s="80"/>
      <c r="AH12" s="80"/>
    </row>
    <row r="13" spans="2:36" x14ac:dyDescent="0.25">
      <c r="B13" s="238"/>
      <c r="C13" s="238"/>
      <c r="D13" s="238"/>
      <c r="E13" s="238"/>
      <c r="F13" s="238"/>
      <c r="G13" s="238"/>
      <c r="H13" s="238"/>
      <c r="I13" s="238"/>
      <c r="J13" s="238"/>
      <c r="K13" s="238"/>
      <c r="L13" s="238"/>
      <c r="M13" s="238"/>
      <c r="N13" s="238"/>
      <c r="O13" s="238"/>
      <c r="P13" s="238"/>
      <c r="Q13" s="238"/>
      <c r="R13" s="238"/>
      <c r="S13" s="238"/>
      <c r="T13" s="238"/>
      <c r="U13" s="238"/>
      <c r="V13" s="238"/>
      <c r="W13" s="238"/>
      <c r="X13" s="238"/>
      <c r="Y13" s="238"/>
      <c r="Z13" s="56"/>
      <c r="AA13" s="56"/>
      <c r="AB13" s="56"/>
      <c r="AC13" s="56"/>
    </row>
    <row r="14" spans="2:36" x14ac:dyDescent="0.25">
      <c r="B14" s="1220" t="s">
        <v>1744</v>
      </c>
      <c r="C14" s="1220"/>
      <c r="D14" s="1220"/>
      <c r="E14" s="1220"/>
      <c r="F14" s="1220"/>
      <c r="G14" s="1220"/>
      <c r="H14" s="1220"/>
      <c r="I14" s="1220"/>
      <c r="J14" s="1220"/>
      <c r="K14" s="1220"/>
      <c r="L14" s="1220"/>
      <c r="M14" s="1220"/>
      <c r="N14" s="1220"/>
      <c r="O14" s="1220"/>
      <c r="P14" s="1220"/>
      <c r="Q14" s="1220"/>
      <c r="R14" s="1220"/>
      <c r="S14" s="1220"/>
      <c r="T14" s="1220"/>
      <c r="U14" s="1220"/>
      <c r="V14" s="1220"/>
      <c r="W14" s="1220"/>
      <c r="X14" s="1220"/>
      <c r="Y14" s="1220"/>
      <c r="Z14" s="1220"/>
      <c r="AA14" s="1220"/>
      <c r="AB14" s="1220"/>
      <c r="AC14" s="1220"/>
      <c r="AD14" s="1220"/>
      <c r="AE14" s="1220"/>
      <c r="AF14" s="1220"/>
    </row>
    <row r="15" spans="2:36" x14ac:dyDescent="0.25">
      <c r="B15" s="1269" t="s">
        <v>1689</v>
      </c>
      <c r="C15" s="1313"/>
      <c r="D15" s="1293" t="s">
        <v>279</v>
      </c>
      <c r="E15" s="1294"/>
      <c r="F15" s="1294"/>
      <c r="G15" s="1294"/>
      <c r="H15" s="1294"/>
      <c r="I15" s="1294"/>
      <c r="J15" s="1294"/>
      <c r="K15" s="1294"/>
      <c r="L15" s="1294"/>
      <c r="M15" s="1294"/>
      <c r="N15" s="1294"/>
      <c r="O15" s="1294"/>
      <c r="P15" s="1294"/>
      <c r="Q15" s="1294"/>
      <c r="R15" s="1294"/>
      <c r="S15" s="1294"/>
      <c r="T15" s="1294"/>
      <c r="U15" s="1294"/>
      <c r="V15" s="1294"/>
      <c r="W15" s="1351" t="s">
        <v>280</v>
      </c>
      <c r="X15" s="1351"/>
      <c r="Y15" s="1351"/>
      <c r="Z15" s="1351"/>
      <c r="AA15" s="1351"/>
      <c r="AB15" s="1351"/>
      <c r="AC15" s="1351"/>
      <c r="AD15" s="1351"/>
      <c r="AE15" s="1351"/>
      <c r="AF15" s="1351"/>
      <c r="AG15" s="1352"/>
      <c r="AH15" s="620"/>
    </row>
    <row r="16" spans="2:36" x14ac:dyDescent="0.25">
      <c r="B16" s="1271"/>
      <c r="C16" s="1272"/>
      <c r="D16" s="214">
        <v>2018</v>
      </c>
      <c r="E16" s="1266">
        <v>2019</v>
      </c>
      <c r="F16" s="1267"/>
      <c r="G16" s="1267"/>
      <c r="H16" s="1328"/>
      <c r="I16" s="1266">
        <v>2020</v>
      </c>
      <c r="J16" s="1267"/>
      <c r="K16" s="1267"/>
      <c r="L16" s="1267"/>
      <c r="M16" s="1266">
        <v>2021</v>
      </c>
      <c r="N16" s="1267"/>
      <c r="O16" s="1267"/>
      <c r="P16" s="1267"/>
      <c r="Q16" s="1291">
        <v>2022</v>
      </c>
      <c r="R16" s="1350"/>
      <c r="S16" s="291"/>
      <c r="T16" s="298"/>
      <c r="U16" s="441"/>
      <c r="V16" s="291">
        <v>2023</v>
      </c>
      <c r="W16" s="621"/>
      <c r="X16" s="621"/>
      <c r="Y16" s="1275">
        <v>2024</v>
      </c>
      <c r="Z16" s="1281"/>
      <c r="AA16" s="1281"/>
      <c r="AB16" s="1280"/>
      <c r="AC16" s="1275">
        <v>2025</v>
      </c>
      <c r="AD16" s="1281"/>
      <c r="AE16" s="1281"/>
      <c r="AF16" s="1280"/>
      <c r="AG16" s="1275">
        <v>2026</v>
      </c>
      <c r="AH16" s="1280"/>
    </row>
    <row r="17" spans="2:34" x14ac:dyDescent="0.25">
      <c r="B17" s="1273"/>
      <c r="C17" s="1274"/>
      <c r="D17" s="214" t="s">
        <v>281</v>
      </c>
      <c r="E17" s="214" t="s">
        <v>282</v>
      </c>
      <c r="F17" s="215" t="s">
        <v>283</v>
      </c>
      <c r="G17" s="215" t="s">
        <v>238</v>
      </c>
      <c r="H17" s="221" t="s">
        <v>281</v>
      </c>
      <c r="I17" s="215" t="s">
        <v>282</v>
      </c>
      <c r="J17" s="215" t="s">
        <v>283</v>
      </c>
      <c r="K17" s="215" t="s">
        <v>238</v>
      </c>
      <c r="L17" s="215" t="s">
        <v>281</v>
      </c>
      <c r="M17" s="214" t="s">
        <v>282</v>
      </c>
      <c r="N17" s="215" t="s">
        <v>283</v>
      </c>
      <c r="O17" s="215" t="s">
        <v>238</v>
      </c>
      <c r="P17" s="215" t="s">
        <v>281</v>
      </c>
      <c r="Q17" s="275" t="s">
        <v>282</v>
      </c>
      <c r="R17" s="276" t="s">
        <v>283</v>
      </c>
      <c r="S17" s="276" t="s">
        <v>238</v>
      </c>
      <c r="T17" s="274" t="s">
        <v>281</v>
      </c>
      <c r="U17" s="275" t="s">
        <v>282</v>
      </c>
      <c r="V17" s="276" t="s">
        <v>283</v>
      </c>
      <c r="W17" s="262" t="s">
        <v>238</v>
      </c>
      <c r="X17" s="262" t="s">
        <v>281</v>
      </c>
      <c r="Y17" s="288" t="s">
        <v>282</v>
      </c>
      <c r="Z17" s="260" t="s">
        <v>283</v>
      </c>
      <c r="AA17" s="262" t="s">
        <v>238</v>
      </c>
      <c r="AB17" s="290" t="s">
        <v>281</v>
      </c>
      <c r="AC17" s="288" t="s">
        <v>282</v>
      </c>
      <c r="AD17" s="260" t="s">
        <v>283</v>
      </c>
      <c r="AE17" s="262" t="s">
        <v>238</v>
      </c>
      <c r="AF17" s="262" t="s">
        <v>281</v>
      </c>
      <c r="AG17" s="288" t="s">
        <v>282</v>
      </c>
      <c r="AH17" s="290" t="s">
        <v>283</v>
      </c>
    </row>
    <row r="18" spans="2:34" x14ac:dyDescent="0.25">
      <c r="B18" s="107" t="s">
        <v>1376</v>
      </c>
      <c r="C18" s="630"/>
      <c r="D18" s="631"/>
      <c r="E18" s="630"/>
      <c r="F18" s="630"/>
      <c r="G18" s="630"/>
      <c r="H18" s="630"/>
      <c r="I18" s="630"/>
      <c r="J18" s="632"/>
      <c r="K18" s="632"/>
      <c r="L18" s="632"/>
      <c r="M18" s="632"/>
      <c r="N18" s="632"/>
      <c r="O18" s="632"/>
      <c r="P18" s="632"/>
      <c r="Q18" s="632"/>
      <c r="R18" s="633">
        <v>0</v>
      </c>
      <c r="S18" s="627">
        <v>0</v>
      </c>
      <c r="T18" s="629">
        <v>0</v>
      </c>
      <c r="U18" s="629">
        <v>-7.7999999999999999E-4</v>
      </c>
      <c r="V18" s="629">
        <v>-7.7999999999999999E-4</v>
      </c>
      <c r="W18" s="629">
        <v>-7.7999999999999999E-4</v>
      </c>
      <c r="X18" s="629">
        <v>-7.7999999999999999E-4</v>
      </c>
      <c r="Y18" s="629">
        <v>-9.5E-4</v>
      </c>
      <c r="Z18" s="629">
        <v>-9.5E-4</v>
      </c>
      <c r="AA18" s="629">
        <v>-9.5E-4</v>
      </c>
      <c r="AB18" s="629">
        <v>-9.5E-4</v>
      </c>
      <c r="AC18" s="629">
        <v>-9.3999999999999997E-4</v>
      </c>
      <c r="AD18" s="629">
        <v>-9.3999999999999997E-4</v>
      </c>
      <c r="AE18" s="629">
        <v>-9.3999999999999997E-4</v>
      </c>
      <c r="AF18" s="629">
        <v>-9.3999999999999997E-4</v>
      </c>
      <c r="AG18" s="627">
        <v>-9.3999999999999997E-4</v>
      </c>
      <c r="AH18" s="627">
        <v>-9.3999999999999997E-4</v>
      </c>
    </row>
    <row r="19" spans="2:34" x14ac:dyDescent="0.25">
      <c r="B19" s="56" t="s">
        <v>1375</v>
      </c>
      <c r="C19" s="634"/>
      <c r="D19" s="635"/>
      <c r="E19" s="634"/>
      <c r="F19" s="634"/>
      <c r="G19" s="634"/>
      <c r="H19" s="634"/>
      <c r="I19" s="634"/>
      <c r="J19" s="636"/>
      <c r="K19" s="636"/>
      <c r="L19" s="636"/>
      <c r="M19" s="636"/>
      <c r="N19" s="636"/>
      <c r="O19" s="636"/>
      <c r="P19" s="636"/>
      <c r="Q19" s="636"/>
      <c r="R19" s="628"/>
      <c r="S19" s="628"/>
      <c r="T19" s="628"/>
      <c r="U19" s="628">
        <v>26095</v>
      </c>
      <c r="V19" s="628">
        <v>26404</v>
      </c>
      <c r="W19" s="628">
        <v>26686</v>
      </c>
      <c r="X19" s="628">
        <v>26931</v>
      </c>
      <c r="Y19" s="628">
        <v>27174</v>
      </c>
      <c r="Z19" s="628">
        <v>27411</v>
      </c>
      <c r="AA19" s="628">
        <v>27647</v>
      </c>
      <c r="AB19" s="628">
        <v>27893</v>
      </c>
      <c r="AC19" s="628">
        <v>28143</v>
      </c>
      <c r="AD19" s="628">
        <v>28400</v>
      </c>
      <c r="AE19" s="628">
        <v>28649</v>
      </c>
      <c r="AF19" s="628">
        <v>28910</v>
      </c>
      <c r="AG19" s="628">
        <v>28910</v>
      </c>
      <c r="AH19" s="628">
        <v>28910</v>
      </c>
    </row>
    <row r="20" spans="2:34" x14ac:dyDescent="0.25">
      <c r="B20" s="56" t="s">
        <v>311</v>
      </c>
      <c r="C20" s="637"/>
      <c r="D20" s="638"/>
      <c r="E20" s="637"/>
      <c r="F20" s="637"/>
      <c r="G20" s="637"/>
      <c r="H20" s="637"/>
      <c r="I20" s="637"/>
      <c r="J20" s="639"/>
      <c r="K20" s="639"/>
      <c r="L20" s="639"/>
      <c r="M20" s="639"/>
      <c r="N20" s="639"/>
      <c r="O20" s="639"/>
      <c r="P20" s="639"/>
      <c r="Q20" s="639"/>
      <c r="R20" s="640">
        <f>R18*R19</f>
        <v>0</v>
      </c>
      <c r="S20" s="640">
        <f t="shared" ref="S20:T20" si="1">S18*S19</f>
        <v>0</v>
      </c>
      <c r="T20" s="640">
        <f t="shared" si="1"/>
        <v>0</v>
      </c>
      <c r="U20" s="641">
        <f>U18*U19*-1</f>
        <v>20.354099999999999</v>
      </c>
      <c r="V20" s="641">
        <f t="shared" ref="V20:AF20" si="2">V18*V19*-1</f>
        <v>20.595119999999998</v>
      </c>
      <c r="W20" s="641">
        <f t="shared" si="2"/>
        <v>20.815079999999998</v>
      </c>
      <c r="X20" s="641">
        <f t="shared" si="2"/>
        <v>21.006180000000001</v>
      </c>
      <c r="Y20" s="641">
        <f t="shared" si="2"/>
        <v>25.815300000000001</v>
      </c>
      <c r="Z20" s="641">
        <f t="shared" si="2"/>
        <v>26.04045</v>
      </c>
      <c r="AA20" s="641">
        <f t="shared" si="2"/>
        <v>26.26465</v>
      </c>
      <c r="AB20" s="641">
        <f t="shared" si="2"/>
        <v>26.498349999999999</v>
      </c>
      <c r="AC20" s="641">
        <f t="shared" si="2"/>
        <v>26.454419999999999</v>
      </c>
      <c r="AD20" s="641">
        <f t="shared" si="2"/>
        <v>26.695999999999998</v>
      </c>
      <c r="AE20" s="641">
        <f t="shared" si="2"/>
        <v>26.930059999999997</v>
      </c>
      <c r="AF20" s="641">
        <f t="shared" si="2"/>
        <v>27.1754</v>
      </c>
      <c r="AG20" s="641">
        <f>AG18*AG19*-1</f>
        <v>27.1754</v>
      </c>
      <c r="AH20" s="641">
        <f>AH18*AH19*-1</f>
        <v>27.1754</v>
      </c>
    </row>
    <row r="23" spans="2:34" x14ac:dyDescent="0.25">
      <c r="C23" t="s">
        <v>1833</v>
      </c>
      <c r="F23" s="180" t="s">
        <v>1832</v>
      </c>
    </row>
  </sheetData>
  <mergeCells count="23">
    <mergeCell ref="Y7:AB7"/>
    <mergeCell ref="B1:AC1"/>
    <mergeCell ref="B2:AC4"/>
    <mergeCell ref="B6:C8"/>
    <mergeCell ref="E7:H7"/>
    <mergeCell ref="I7:L7"/>
    <mergeCell ref="M7:P7"/>
    <mergeCell ref="Q7:R7"/>
    <mergeCell ref="D6:V6"/>
    <mergeCell ref="AC7:AF7"/>
    <mergeCell ref="W6:AG6"/>
    <mergeCell ref="AG7:AJ7"/>
    <mergeCell ref="B14:AF14"/>
    <mergeCell ref="B15:C17"/>
    <mergeCell ref="E16:H16"/>
    <mergeCell ref="I16:L16"/>
    <mergeCell ref="M16:P16"/>
    <mergeCell ref="Q16:R16"/>
    <mergeCell ref="Y16:AB16"/>
    <mergeCell ref="AC16:AF16"/>
    <mergeCell ref="D15:V15"/>
    <mergeCell ref="W15:AG15"/>
    <mergeCell ref="AG16:AH16"/>
  </mergeCells>
  <hyperlinks>
    <hyperlink ref="F23" r:id="rId1" xr:uid="{00000000-0004-0000-1300-000000000000}"/>
  </hyperlinks>
  <pageMargins left="0.7" right="0.7" top="0.75" bottom="0.75" header="0.3" footer="0.3"/>
  <pageSetup paperSize="9" orientation="portrait" horizontalDpi="300" verticalDpi="300"/>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CX102"/>
  <sheetViews>
    <sheetView zoomScale="85" zoomScaleNormal="85" workbookViewId="0">
      <pane xSplit="3" ySplit="10" topLeftCell="S63" activePane="bottomRight" state="frozen"/>
      <selection pane="topRight" activeCell="D1" sqref="D1"/>
      <selection pane="bottomLeft" activeCell="A11" sqref="A11"/>
      <selection pane="bottomRight" activeCell="AC70" sqref="AC70"/>
    </sheetView>
  </sheetViews>
  <sheetFormatPr defaultColWidth="10.85546875" defaultRowHeight="15" outlineLevelRow="1" x14ac:dyDescent="0.25"/>
  <cols>
    <col min="2" max="2" width="71.140625" customWidth="1"/>
    <col min="6" max="6" width="12.140625" customWidth="1"/>
    <col min="7" max="7" width="10.42578125" customWidth="1"/>
    <col min="9" max="9" width="12" customWidth="1"/>
  </cols>
  <sheetData>
    <row r="1" spans="2:40" ht="18" customHeight="1" x14ac:dyDescent="0.25">
      <c r="B1" s="1361" t="s">
        <v>463</v>
      </c>
      <c r="C1" s="1361"/>
      <c r="D1" s="1361"/>
      <c r="E1" s="1361"/>
      <c r="F1" s="1361"/>
      <c r="G1" s="1361"/>
      <c r="H1" s="1361"/>
      <c r="I1" s="1361"/>
      <c r="J1" s="1361"/>
      <c r="K1" s="1361"/>
      <c r="L1" s="1361"/>
      <c r="M1" s="1361"/>
      <c r="N1" s="1361"/>
      <c r="O1" s="1361"/>
      <c r="P1" s="1361"/>
      <c r="Q1" s="1361"/>
      <c r="R1" s="1361"/>
      <c r="S1" s="1361"/>
      <c r="T1" s="1361"/>
      <c r="U1" s="1361"/>
      <c r="V1" s="1361"/>
      <c r="W1" s="1361"/>
      <c r="X1" s="1361"/>
      <c r="Y1" s="1361"/>
      <c r="Z1" s="1361"/>
      <c r="AA1" s="1361"/>
      <c r="AB1" s="1361"/>
      <c r="AC1" s="1361"/>
    </row>
    <row r="2" spans="2:40" ht="34.5" hidden="1" customHeight="1" outlineLevel="1" x14ac:dyDescent="0.25">
      <c r="B2" s="1265" t="s">
        <v>858</v>
      </c>
      <c r="C2" s="1306"/>
      <c r="D2" s="1306"/>
      <c r="E2" s="1306"/>
      <c r="F2" s="1306"/>
      <c r="G2" s="1306"/>
      <c r="H2" s="1306"/>
      <c r="I2" s="1306"/>
      <c r="J2" s="1306"/>
      <c r="K2" s="1306"/>
      <c r="L2" s="1306"/>
      <c r="M2" s="1306"/>
      <c r="N2" s="1306"/>
      <c r="O2" s="1306"/>
      <c r="P2" s="1306"/>
      <c r="Q2" s="1306"/>
      <c r="R2" s="1306"/>
      <c r="S2" s="1306"/>
      <c r="T2" s="1306"/>
      <c r="U2" s="1306"/>
      <c r="V2" s="1306"/>
      <c r="W2" s="1306"/>
      <c r="X2" s="1306"/>
      <c r="Y2" s="1306"/>
      <c r="Z2" s="1306"/>
      <c r="AA2" s="1306"/>
      <c r="AB2" s="1306"/>
      <c r="AC2" s="1306"/>
    </row>
    <row r="3" spans="2:40" ht="3" hidden="1" customHeight="1" outlineLevel="1" x14ac:dyDescent="0.25">
      <c r="B3" s="1306"/>
      <c r="C3" s="1306"/>
      <c r="D3" s="1306"/>
      <c r="E3" s="1306"/>
      <c r="F3" s="1306"/>
      <c r="G3" s="1306"/>
      <c r="H3" s="1306"/>
      <c r="I3" s="1306"/>
      <c r="J3" s="1306"/>
      <c r="K3" s="1306"/>
      <c r="L3" s="1306"/>
      <c r="M3" s="1306"/>
      <c r="N3" s="1306"/>
      <c r="O3" s="1306"/>
      <c r="P3" s="1306"/>
      <c r="Q3" s="1306"/>
      <c r="R3" s="1306"/>
      <c r="S3" s="1306"/>
      <c r="T3" s="1306"/>
      <c r="U3" s="1306"/>
      <c r="V3" s="1306"/>
      <c r="W3" s="1306"/>
      <c r="X3" s="1306"/>
      <c r="Y3" s="1306"/>
      <c r="Z3" s="1306"/>
      <c r="AA3" s="1306"/>
      <c r="AB3" s="1306"/>
      <c r="AC3" s="1306"/>
    </row>
    <row r="4" spans="2:40" ht="10.35" hidden="1" customHeight="1" outlineLevel="1" x14ac:dyDescent="0.25">
      <c r="B4" s="1306"/>
      <c r="C4" s="1306"/>
      <c r="D4" s="1306"/>
      <c r="E4" s="1306"/>
      <c r="F4" s="1306"/>
      <c r="G4" s="1306"/>
      <c r="H4" s="1306"/>
      <c r="I4" s="1306"/>
      <c r="J4" s="1306"/>
      <c r="K4" s="1306"/>
      <c r="L4" s="1306"/>
      <c r="M4" s="1306"/>
      <c r="N4" s="1306"/>
      <c r="O4" s="1306"/>
      <c r="P4" s="1306"/>
      <c r="Q4" s="1306"/>
      <c r="R4" s="1306"/>
      <c r="S4" s="1306"/>
      <c r="T4" s="1306"/>
      <c r="U4" s="1306"/>
      <c r="V4" s="1306"/>
      <c r="W4" s="1306"/>
      <c r="X4" s="1306"/>
      <c r="Y4" s="1306"/>
      <c r="Z4" s="1306"/>
      <c r="AA4" s="1306"/>
      <c r="AB4" s="1306"/>
      <c r="AC4" s="1306"/>
    </row>
    <row r="5" spans="2:40" ht="14.25" hidden="1" customHeight="1" outlineLevel="1" x14ac:dyDescent="0.25">
      <c r="B5" s="1306"/>
      <c r="C5" s="1306"/>
      <c r="D5" s="1306"/>
      <c r="E5" s="1306"/>
      <c r="F5" s="1306"/>
      <c r="G5" s="1306"/>
      <c r="H5" s="1306"/>
      <c r="I5" s="1306"/>
      <c r="J5" s="1306"/>
      <c r="K5" s="1306"/>
      <c r="L5" s="1306"/>
      <c r="M5" s="1306"/>
      <c r="N5" s="1306"/>
      <c r="O5" s="1306"/>
      <c r="P5" s="1306"/>
      <c r="Q5" s="1306"/>
      <c r="R5" s="1306"/>
      <c r="S5" s="1306"/>
      <c r="T5" s="1306"/>
      <c r="U5" s="1306"/>
      <c r="V5" s="1306"/>
      <c r="W5" s="1306"/>
      <c r="X5" s="1306"/>
      <c r="Y5" s="1306"/>
      <c r="Z5" s="1306"/>
      <c r="AA5" s="1306"/>
      <c r="AB5" s="1306"/>
      <c r="AC5" s="1306"/>
    </row>
    <row r="6" spans="2:40" ht="14.25" hidden="1" customHeight="1" outlineLevel="1" x14ac:dyDescent="0.25">
      <c r="B6" s="1306"/>
      <c r="C6" s="1306"/>
      <c r="D6" s="1306"/>
      <c r="E6" s="1306"/>
      <c r="F6" s="1306"/>
      <c r="G6" s="1306"/>
      <c r="H6" s="1306"/>
      <c r="I6" s="1306"/>
      <c r="J6" s="1306"/>
      <c r="K6" s="1306"/>
      <c r="L6" s="1306"/>
      <c r="M6" s="1306"/>
      <c r="N6" s="1306"/>
      <c r="O6" s="1306"/>
      <c r="P6" s="1306"/>
      <c r="Q6" s="1306"/>
      <c r="R6" s="1306"/>
      <c r="S6" s="1306"/>
      <c r="T6" s="1306"/>
      <c r="U6" s="1306"/>
      <c r="V6" s="1306"/>
      <c r="W6" s="1306"/>
      <c r="X6" s="1306"/>
      <c r="Y6" s="1306"/>
      <c r="Z6" s="1306"/>
      <c r="AA6" s="1306"/>
      <c r="AB6" s="1306"/>
      <c r="AC6" s="1306"/>
    </row>
    <row r="7" spans="2:40" collapsed="1" x14ac:dyDescent="0.25">
      <c r="B7" s="703" t="s">
        <v>332</v>
      </c>
      <c r="C7" s="258"/>
      <c r="D7" s="258"/>
      <c r="E7" s="258"/>
      <c r="F7" s="258"/>
      <c r="G7" s="258"/>
      <c r="H7" s="259"/>
      <c r="I7" s="259"/>
      <c r="J7" s="259"/>
      <c r="K7" s="259"/>
      <c r="L7" s="259"/>
      <c r="M7" s="259"/>
      <c r="N7" s="259"/>
      <c r="O7" s="259"/>
      <c r="P7" s="259"/>
      <c r="Q7" s="259"/>
      <c r="R7" s="259"/>
      <c r="S7" s="259"/>
      <c r="T7" s="259"/>
      <c r="U7" s="259"/>
    </row>
    <row r="8" spans="2:40" ht="14.85" customHeight="1" x14ac:dyDescent="0.25">
      <c r="B8" s="675" t="s">
        <v>303</v>
      </c>
      <c r="C8" s="676"/>
      <c r="D8" s="1293" t="s">
        <v>279</v>
      </c>
      <c r="E8" s="1294"/>
      <c r="F8" s="1294"/>
      <c r="G8" s="1294"/>
      <c r="H8" s="1294"/>
      <c r="I8" s="1294"/>
      <c r="J8" s="1294"/>
      <c r="K8" s="1294"/>
      <c r="L8" s="1294"/>
      <c r="M8" s="1294"/>
      <c r="N8" s="1294"/>
      <c r="O8" s="1294"/>
      <c r="P8" s="1294"/>
      <c r="Q8" s="1294"/>
      <c r="R8" s="1294"/>
      <c r="S8" s="1294"/>
      <c r="T8" s="1294"/>
      <c r="U8" s="1294"/>
      <c r="V8" s="1294"/>
      <c r="W8" s="1294"/>
      <c r="X8" s="1294"/>
      <c r="Y8" s="1294"/>
      <c r="Z8" s="1294"/>
      <c r="AA8" s="1294"/>
      <c r="AB8" s="1295"/>
      <c r="AC8" s="1296" t="s">
        <v>280</v>
      </c>
      <c r="AD8" s="1277"/>
      <c r="AE8" s="1277"/>
      <c r="AF8" s="1277"/>
      <c r="AG8" s="1277"/>
      <c r="AH8" s="1277"/>
      <c r="AI8" s="1277"/>
      <c r="AJ8" s="1277"/>
      <c r="AK8" s="1277"/>
      <c r="AL8" s="1277"/>
      <c r="AM8" s="1277"/>
      <c r="AN8" s="1278"/>
    </row>
    <row r="9" spans="2:40" ht="14.85" customHeight="1" x14ac:dyDescent="0.25">
      <c r="B9" s="677"/>
      <c r="C9" s="678"/>
      <c r="D9" s="285">
        <v>2018</v>
      </c>
      <c r="E9" s="1288">
        <v>2019</v>
      </c>
      <c r="F9" s="1289"/>
      <c r="G9" s="1289"/>
      <c r="H9" s="1290"/>
      <c r="I9" s="1288">
        <v>2020</v>
      </c>
      <c r="J9" s="1289"/>
      <c r="K9" s="1289"/>
      <c r="L9" s="1289"/>
      <c r="M9" s="1288">
        <v>2021</v>
      </c>
      <c r="N9" s="1289"/>
      <c r="O9" s="1289"/>
      <c r="P9" s="1289"/>
      <c r="Q9" s="1288">
        <v>2022</v>
      </c>
      <c r="R9" s="1300"/>
      <c r="S9" s="1300"/>
      <c r="T9" s="1290"/>
      <c r="U9" s="1288">
        <v>2023</v>
      </c>
      <c r="V9" s="1300"/>
      <c r="W9" s="1300"/>
      <c r="X9" s="1290"/>
      <c r="Y9" s="71"/>
      <c r="Z9" s="291">
        <v>2024</v>
      </c>
      <c r="AA9" s="431"/>
      <c r="AB9" s="298"/>
      <c r="AC9" s="1275">
        <v>2025</v>
      </c>
      <c r="AD9" s="1281"/>
      <c r="AE9" s="1281"/>
      <c r="AF9" s="1276"/>
      <c r="AG9" s="1275">
        <v>2026</v>
      </c>
      <c r="AH9" s="1281"/>
      <c r="AI9" s="1281"/>
      <c r="AJ9" s="1280"/>
      <c r="AK9" s="1275">
        <v>2027</v>
      </c>
      <c r="AL9" s="1281"/>
      <c r="AM9" s="1281"/>
      <c r="AN9" s="1280"/>
    </row>
    <row r="10" spans="2:40" x14ac:dyDescent="0.25">
      <c r="B10" s="677"/>
      <c r="C10" s="678"/>
      <c r="D10" s="214" t="s">
        <v>281</v>
      </c>
      <c r="E10" s="214" t="s">
        <v>282</v>
      </c>
      <c r="F10" s="215" t="s">
        <v>283</v>
      </c>
      <c r="G10" s="215" t="s">
        <v>238</v>
      </c>
      <c r="H10" s="221" t="s">
        <v>281</v>
      </c>
      <c r="I10" s="215" t="s">
        <v>282</v>
      </c>
      <c r="J10" s="215" t="s">
        <v>283</v>
      </c>
      <c r="K10" s="215" t="s">
        <v>238</v>
      </c>
      <c r="L10" s="215" t="s">
        <v>281</v>
      </c>
      <c r="M10" s="214" t="s">
        <v>282</v>
      </c>
      <c r="N10" s="215" t="s">
        <v>283</v>
      </c>
      <c r="O10" s="215" t="s">
        <v>238</v>
      </c>
      <c r="P10" s="215" t="s">
        <v>281</v>
      </c>
      <c r="Q10" s="214" t="s">
        <v>282</v>
      </c>
      <c r="R10" s="215" t="s">
        <v>283</v>
      </c>
      <c r="S10" s="215" t="s">
        <v>238</v>
      </c>
      <c r="T10" s="221" t="s">
        <v>281</v>
      </c>
      <c r="U10" s="215" t="s">
        <v>282</v>
      </c>
      <c r="V10" s="276" t="s">
        <v>283</v>
      </c>
      <c r="W10" s="276" t="s">
        <v>238</v>
      </c>
      <c r="X10" s="274" t="s">
        <v>281</v>
      </c>
      <c r="Y10" s="275" t="s">
        <v>282</v>
      </c>
      <c r="Z10" s="281" t="s">
        <v>283</v>
      </c>
      <c r="AA10" s="276" t="s">
        <v>238</v>
      </c>
      <c r="AB10" s="276" t="s">
        <v>281</v>
      </c>
      <c r="AC10" s="214" t="s">
        <v>282</v>
      </c>
      <c r="AD10" s="260" t="s">
        <v>283</v>
      </c>
      <c r="AE10" s="262" t="s">
        <v>238</v>
      </c>
      <c r="AF10" s="262" t="s">
        <v>281</v>
      </c>
      <c r="AG10" s="288" t="s">
        <v>282</v>
      </c>
      <c r="AH10" s="260" t="s">
        <v>283</v>
      </c>
      <c r="AI10" s="262" t="s">
        <v>238</v>
      </c>
      <c r="AJ10" s="290" t="s">
        <v>281</v>
      </c>
      <c r="AK10" s="288" t="s">
        <v>282</v>
      </c>
      <c r="AL10" s="260" t="s">
        <v>283</v>
      </c>
      <c r="AM10" s="262" t="s">
        <v>238</v>
      </c>
      <c r="AN10" s="290" t="s">
        <v>281</v>
      </c>
    </row>
    <row r="11" spans="2:40" x14ac:dyDescent="0.25">
      <c r="B11" s="1358" t="s">
        <v>464</v>
      </c>
      <c r="C11" s="1359"/>
      <c r="D11" s="648"/>
      <c r="E11" s="700"/>
      <c r="F11" s="700"/>
      <c r="G11" s="700"/>
      <c r="H11" s="309"/>
      <c r="I11" s="309"/>
      <c r="J11" s="309"/>
      <c r="K11" s="309"/>
      <c r="L11" s="309"/>
      <c r="M11" s="564"/>
      <c r="N11" s="564"/>
      <c r="O11" s="564"/>
      <c r="P11" s="309"/>
      <c r="Q11" s="309"/>
      <c r="R11" s="309"/>
      <c r="S11" s="309"/>
      <c r="T11" s="277"/>
      <c r="U11" s="309"/>
      <c r="V11" s="309"/>
      <c r="W11" s="216"/>
      <c r="X11" s="216"/>
      <c r="Y11" s="216"/>
      <c r="Z11" s="216"/>
      <c r="AA11" s="216"/>
      <c r="AB11" s="216"/>
      <c r="AC11" s="216"/>
      <c r="AD11" s="216"/>
      <c r="AE11" s="216"/>
      <c r="AF11" s="216"/>
      <c r="AG11" s="216"/>
      <c r="AH11" s="216"/>
      <c r="AI11" s="216"/>
      <c r="AJ11" s="216"/>
      <c r="AK11" s="216"/>
      <c r="AL11" s="216"/>
      <c r="AM11" s="216"/>
      <c r="AN11" s="216"/>
    </row>
    <row r="12" spans="2:40" ht="17.100000000000001" customHeight="1" x14ac:dyDescent="0.25">
      <c r="B12" s="665" t="s">
        <v>465</v>
      </c>
      <c r="C12" s="238" t="s">
        <v>466</v>
      </c>
      <c r="D12" s="583">
        <f>'Haver Pivoted'!GO31</f>
        <v>2223</v>
      </c>
      <c r="E12" s="491">
        <f>'Haver Pivoted'!GP31</f>
        <v>2303.8000000000002</v>
      </c>
      <c r="F12" s="491">
        <f>'Haver Pivoted'!GQ31</f>
        <v>2321.6999999999998</v>
      </c>
      <c r="G12" s="491">
        <f>'Haver Pivoted'!GR31</f>
        <v>2337.1</v>
      </c>
      <c r="H12" s="491">
        <f>'Haver Pivoted'!GS31</f>
        <v>2349.5</v>
      </c>
      <c r="I12" s="491">
        <f>'Haver Pivoted'!GT31</f>
        <v>2414.4</v>
      </c>
      <c r="J12" s="491">
        <f>'Haver Pivoted'!GU31</f>
        <v>4654.1000000000004</v>
      </c>
      <c r="K12" s="491">
        <f>'Haver Pivoted'!GV31</f>
        <v>3504.7</v>
      </c>
      <c r="L12" s="491">
        <f>'Haver Pivoted'!GW31</f>
        <v>2888.4</v>
      </c>
      <c r="M12" s="491">
        <f>'Haver Pivoted'!GX31</f>
        <v>5138.1000000000004</v>
      </c>
      <c r="N12" s="491">
        <f>'Haver Pivoted'!GY31</f>
        <v>3397.8</v>
      </c>
      <c r="O12" s="491">
        <f>'Haver Pivoted'!GZ31</f>
        <v>3124.9</v>
      </c>
      <c r="P12" s="491">
        <f>'Haver Pivoted'!HA31</f>
        <v>2952.6</v>
      </c>
      <c r="Q12" s="491">
        <f>'Haver Pivoted'!HB31</f>
        <v>2970.9</v>
      </c>
      <c r="R12" s="491">
        <f>'Haver Pivoted'!HC31</f>
        <v>2976.2</v>
      </c>
      <c r="S12" s="553">
        <f>'Haver Pivoted'!HD31</f>
        <v>2970.4</v>
      </c>
      <c r="T12" s="553">
        <f>'Haver Pivoted'!HE31</f>
        <v>3024.4</v>
      </c>
      <c r="U12" s="553">
        <f>'Haver Pivoted'!HF31</f>
        <v>3038.4</v>
      </c>
      <c r="V12" s="553">
        <f>'Haver Pivoted'!HG31</f>
        <v>3049.1</v>
      </c>
      <c r="W12" s="553">
        <f>'Haver Pivoted'!HH31</f>
        <v>3078</v>
      </c>
      <c r="X12" s="553">
        <f>'Haver Pivoted'!HI31</f>
        <v>3095.6</v>
      </c>
      <c r="Y12" s="553">
        <f>'Haver Pivoted'!HJ31</f>
        <v>3201.1</v>
      </c>
      <c r="Z12" s="553">
        <f>'Haver Pivoted'!HK31</f>
        <v>3243.1</v>
      </c>
      <c r="AA12" s="553">
        <f>'Haver Pivoted'!HL31</f>
        <v>3283.8</v>
      </c>
      <c r="AB12" s="553">
        <f>'Haver Pivoted'!HM31</f>
        <v>3328.6</v>
      </c>
      <c r="AC12" s="553">
        <f>'Haver Pivoted'!HN31</f>
        <v>3435.7</v>
      </c>
      <c r="AD12" s="653">
        <f t="shared" ref="AD12:AJ12" si="0">SUM(AD14:AD31)-AD30</f>
        <v>3439.9821604763952</v>
      </c>
      <c r="AE12" s="653">
        <f t="shared" si="0"/>
        <v>3461.5178791573135</v>
      </c>
      <c r="AF12" s="653">
        <f t="shared" si="0"/>
        <v>3484.0323559424228</v>
      </c>
      <c r="AG12" s="653">
        <f t="shared" si="0"/>
        <v>3543.4916999137859</v>
      </c>
      <c r="AH12" s="653">
        <f t="shared" si="0"/>
        <v>3568.3795589652968</v>
      </c>
      <c r="AI12" s="653">
        <f t="shared" si="0"/>
        <v>3594.539599266905</v>
      </c>
      <c r="AJ12" s="653">
        <f t="shared" si="0"/>
        <v>3621.13751406455</v>
      </c>
      <c r="AK12" s="653">
        <f t="shared" ref="AK12:AN12" si="1">SUM(AK14:AK31)-AK30</f>
        <v>3688.3002066558674</v>
      </c>
      <c r="AL12" s="653">
        <f t="shared" si="1"/>
        <v>3716.4729204698697</v>
      </c>
      <c r="AM12" s="653">
        <f t="shared" si="1"/>
        <v>3744.9395570881507</v>
      </c>
      <c r="AN12" s="653">
        <f t="shared" si="1"/>
        <v>3753.6395570881505</v>
      </c>
    </row>
    <row r="13" spans="2:40" x14ac:dyDescent="0.25">
      <c r="B13" s="280"/>
      <c r="C13" s="238"/>
      <c r="D13" s="583"/>
      <c r="E13" s="491"/>
      <c r="F13" s="491"/>
      <c r="G13" s="491"/>
      <c r="H13" s="491"/>
      <c r="I13" s="491"/>
      <c r="J13" s="491"/>
      <c r="K13" s="491"/>
      <c r="L13" s="491"/>
      <c r="M13" s="491"/>
      <c r="N13" s="491"/>
      <c r="O13" s="491"/>
      <c r="P13" s="238"/>
      <c r="Q13" s="222"/>
      <c r="R13" s="222"/>
      <c r="S13" s="222"/>
      <c r="T13" s="222"/>
      <c r="U13" s="222"/>
      <c r="V13" s="222"/>
      <c r="W13" s="222"/>
      <c r="X13" s="318"/>
      <c r="Y13" s="318"/>
      <c r="Z13" s="318"/>
      <c r="AA13" s="318"/>
      <c r="AB13" s="318"/>
      <c r="AC13" s="318"/>
      <c r="AD13" s="318"/>
      <c r="AE13" s="318"/>
      <c r="AF13" s="318"/>
      <c r="AG13" s="318"/>
      <c r="AH13" s="318"/>
      <c r="AI13" s="318"/>
      <c r="AJ13" s="318"/>
      <c r="AK13" s="318"/>
      <c r="AL13" s="318"/>
      <c r="AM13" s="318"/>
      <c r="AN13" s="318"/>
    </row>
    <row r="14" spans="2:40" x14ac:dyDescent="0.25">
      <c r="B14" s="661" t="s">
        <v>1834</v>
      </c>
      <c r="C14" s="238"/>
      <c r="D14" s="583">
        <f>'Unemployment Insurance'!D21+'Unemployment Insurance'!D20</f>
        <v>27.1</v>
      </c>
      <c r="E14" s="491">
        <f>'Unemployment Insurance'!E21+'Unemployment Insurance'!E20</f>
        <v>29.6</v>
      </c>
      <c r="F14" s="491">
        <f>'Unemployment Insurance'!F21+'Unemployment Insurance'!F20</f>
        <v>27.3</v>
      </c>
      <c r="G14" s="491">
        <f>'Unemployment Insurance'!G21+'Unemployment Insurance'!G20</f>
        <v>26.4</v>
      </c>
      <c r="H14" s="491">
        <f>'Unemployment Insurance'!H21+'Unemployment Insurance'!H20</f>
        <v>26.7</v>
      </c>
      <c r="I14" s="491">
        <f>'Unemployment Insurance'!I21+'Unemployment Insurance'!I20</f>
        <v>40.1</v>
      </c>
      <c r="J14" s="491">
        <f>'Unemployment Insurance'!J21+'Unemployment Insurance'!J20</f>
        <v>951.5</v>
      </c>
      <c r="K14" s="491">
        <f>'Unemployment Insurance'!K21+'Unemployment Insurance'!K20</f>
        <v>800</v>
      </c>
      <c r="L14" s="491">
        <f>'Unemployment Insurance'!L21+'Unemployment Insurance'!L20</f>
        <v>322.7</v>
      </c>
      <c r="M14" s="491">
        <f>'Unemployment Insurance'!M21+'Unemployment Insurance'!M20</f>
        <v>583.79999999999995</v>
      </c>
      <c r="N14" s="491">
        <f>'Unemployment Insurance'!N21+'Unemployment Insurance'!N20</f>
        <v>440.8</v>
      </c>
      <c r="O14" s="491">
        <f>'Unemployment Insurance'!O21+'Unemployment Insurance'!O20</f>
        <v>212.8</v>
      </c>
      <c r="P14" s="491">
        <f>'Unemployment Insurance'!P21+'Unemployment Insurance'!P20</f>
        <v>31.8</v>
      </c>
      <c r="Q14" s="491">
        <f>'Unemployment Insurance'!Q21+'Unemployment Insurance'!Q20</f>
        <v>24.5</v>
      </c>
      <c r="R14" s="491">
        <f>'Unemployment Insurance'!R21+'Unemployment Insurance'!R20</f>
        <v>21.7</v>
      </c>
      <c r="S14" s="491">
        <f>'Unemployment Insurance'!S21+'Unemployment Insurance'!S20</f>
        <v>23.1</v>
      </c>
      <c r="T14" s="491">
        <f>'Unemployment Insurance'!T21+'Unemployment Insurance'!T20</f>
        <v>25.9</v>
      </c>
      <c r="U14" s="491">
        <f>'Unemployment Insurance'!U21+'Unemployment Insurance'!U20</f>
        <v>30.1</v>
      </c>
      <c r="V14" s="553">
        <f t="shared" ref="V14:AA14" si="2">V15+V16</f>
        <v>30.960000000000004</v>
      </c>
      <c r="W14" s="553">
        <f t="shared" si="2"/>
        <v>30.960000000000004</v>
      </c>
      <c r="X14" s="553">
        <f t="shared" si="2"/>
        <v>35.299999999999997</v>
      </c>
      <c r="Y14" s="553">
        <f t="shared" si="2"/>
        <v>34.9</v>
      </c>
      <c r="Z14" s="553">
        <f t="shared" si="2"/>
        <v>34.9</v>
      </c>
      <c r="AA14" s="553">
        <f t="shared" si="2"/>
        <v>35.700000000000003</v>
      </c>
      <c r="AB14" s="553">
        <f t="shared" ref="AB14:AC14" si="3">AB15+AB16</f>
        <v>36.1</v>
      </c>
      <c r="AC14" s="553">
        <f t="shared" si="3"/>
        <v>35.799999999999997</v>
      </c>
      <c r="AD14" s="653">
        <f>'Unemployment Insurance'!AD21+'Unemployment Insurance'!AD20</f>
        <v>35.700000000000003</v>
      </c>
      <c r="AE14" s="653">
        <f>'Unemployment Insurance'!AE21+'Unemployment Insurance'!AE20</f>
        <v>35.700000000000003</v>
      </c>
      <c r="AF14" s="653">
        <f>'Unemployment Insurance'!AF21+'Unemployment Insurance'!AF20</f>
        <v>35.700000000000003</v>
      </c>
      <c r="AG14" s="653">
        <f>'Unemployment Insurance'!AG21+'Unemployment Insurance'!AG20</f>
        <v>35.700000000000003</v>
      </c>
      <c r="AH14" s="653">
        <f>'Unemployment Insurance'!AH21+'Unemployment Insurance'!AH20</f>
        <v>35.700000000000003</v>
      </c>
      <c r="AI14" s="653">
        <f>'Unemployment Insurance'!AI21+'Unemployment Insurance'!AI20</f>
        <v>35.700000000000003</v>
      </c>
      <c r="AJ14" s="653">
        <f>'Unemployment Insurance'!AJ21+'Unemployment Insurance'!AJ20</f>
        <v>35.700000000000003</v>
      </c>
      <c r="AK14" s="653">
        <f>'Unemployment Insurance'!AK21+'Unemployment Insurance'!AK20</f>
        <v>36.700000000000003</v>
      </c>
      <c r="AL14" s="653">
        <f>'Unemployment Insurance'!AL21+'Unemployment Insurance'!AL20</f>
        <v>37.700000000000003</v>
      </c>
      <c r="AM14" s="653">
        <f>'Unemployment Insurance'!AM21+'Unemployment Insurance'!AM20</f>
        <v>38.700000000000003</v>
      </c>
      <c r="AN14" s="653">
        <f>'Unemployment Insurance'!AN21+'Unemployment Insurance'!AN20</f>
        <v>39.700000000000003</v>
      </c>
    </row>
    <row r="15" spans="2:40" x14ac:dyDescent="0.25">
      <c r="B15" s="413" t="s">
        <v>203</v>
      </c>
      <c r="C15" s="238"/>
      <c r="D15" s="583"/>
      <c r="E15" s="491"/>
      <c r="F15" s="491"/>
      <c r="G15" s="491"/>
      <c r="H15" s="491"/>
      <c r="I15" s="491"/>
      <c r="J15" s="491"/>
      <c r="K15" s="491"/>
      <c r="L15" s="491"/>
      <c r="M15" s="491"/>
      <c r="N15" s="491"/>
      <c r="O15" s="491"/>
      <c r="P15" s="491"/>
      <c r="Q15" s="491"/>
      <c r="R15" s="491"/>
      <c r="S15" s="491"/>
      <c r="T15" s="491"/>
      <c r="U15" s="491"/>
      <c r="V15" s="553">
        <f>'Unemployment Insurance'!V20</f>
        <v>0</v>
      </c>
      <c r="W15" s="553">
        <f>'Unemployment Insurance'!W20</f>
        <v>0</v>
      </c>
      <c r="X15" s="553">
        <f>'Unemployment Insurance'!X20</f>
        <v>4.632399999999997</v>
      </c>
      <c r="Y15" s="553">
        <f>'Unemployment Insurance'!Y20</f>
        <v>3.0799999999999947</v>
      </c>
      <c r="Z15" s="553">
        <f>'Unemployment Insurance'!Z20</f>
        <v>0</v>
      </c>
      <c r="AA15" s="553">
        <f>'Unemployment Insurance'!AA20</f>
        <v>0</v>
      </c>
      <c r="AB15" s="553">
        <f>'Unemployment Insurance'!AB20</f>
        <v>0.39999999999999858</v>
      </c>
      <c r="AC15" s="553">
        <f>'Unemployment Insurance'!AC20</f>
        <v>9.9999999999994316E-2</v>
      </c>
      <c r="AD15" s="653"/>
      <c r="AE15" s="653"/>
      <c r="AF15" s="653"/>
      <c r="AG15" s="653"/>
      <c r="AH15" s="653"/>
      <c r="AI15" s="653"/>
      <c r="AJ15" s="653"/>
      <c r="AK15" s="653"/>
      <c r="AL15" s="653"/>
      <c r="AM15" s="653"/>
      <c r="AN15" s="653"/>
    </row>
    <row r="16" spans="2:40" x14ac:dyDescent="0.25">
      <c r="B16" s="413" t="s">
        <v>205</v>
      </c>
      <c r="C16" s="238"/>
      <c r="D16" s="583"/>
      <c r="E16" s="491"/>
      <c r="F16" s="491"/>
      <c r="G16" s="491"/>
      <c r="H16" s="491"/>
      <c r="I16" s="491"/>
      <c r="J16" s="491"/>
      <c r="K16" s="491"/>
      <c r="L16" s="491"/>
      <c r="M16" s="491"/>
      <c r="N16" s="491"/>
      <c r="O16" s="491"/>
      <c r="P16" s="491"/>
      <c r="Q16" s="491"/>
      <c r="R16" s="491"/>
      <c r="S16" s="491"/>
      <c r="T16" s="491"/>
      <c r="U16" s="491"/>
      <c r="V16" s="553">
        <f>'Unemployment Insurance'!V21</f>
        <v>30.960000000000004</v>
      </c>
      <c r="W16" s="553">
        <f>'Unemployment Insurance'!W21</f>
        <v>30.960000000000004</v>
      </c>
      <c r="X16" s="553">
        <f>'Unemployment Insurance'!X21</f>
        <v>30.6676</v>
      </c>
      <c r="Y16" s="553">
        <f>'Unemployment Insurance'!Y21</f>
        <v>31.820000000000004</v>
      </c>
      <c r="Z16" s="553">
        <f>'Unemployment Insurance'!Z21</f>
        <v>34.9</v>
      </c>
      <c r="AA16" s="553">
        <f>'Unemployment Insurance'!AA21</f>
        <v>35.700000000000003</v>
      </c>
      <c r="AB16" s="553">
        <f>'Unemployment Insurance'!AB21</f>
        <v>35.700000000000003</v>
      </c>
      <c r="AC16" s="553">
        <f>'Unemployment Insurance'!AC21</f>
        <v>35.700000000000003</v>
      </c>
      <c r="AD16" s="653"/>
      <c r="AE16" s="653"/>
      <c r="AF16" s="653"/>
      <c r="AG16" s="653"/>
      <c r="AH16" s="653"/>
      <c r="AI16" s="653"/>
      <c r="AJ16" s="653"/>
      <c r="AK16" s="653"/>
      <c r="AL16" s="653"/>
      <c r="AM16" s="653"/>
      <c r="AN16" s="653"/>
    </row>
    <row r="17" spans="2:102" ht="17.850000000000001" customHeight="1" x14ac:dyDescent="0.25">
      <c r="B17" s="661" t="s">
        <v>55</v>
      </c>
      <c r="C17" s="238"/>
      <c r="D17" s="583">
        <f>Medicare!D10</f>
        <v>755</v>
      </c>
      <c r="E17" s="491">
        <f>Medicare!E10</f>
        <v>773.5</v>
      </c>
      <c r="F17" s="491">
        <f>Medicare!F10</f>
        <v>788.5</v>
      </c>
      <c r="G17" s="491">
        <f>Medicare!G10</f>
        <v>798</v>
      </c>
      <c r="H17" s="491">
        <f>Medicare!H10</f>
        <v>802</v>
      </c>
      <c r="I17" s="491">
        <f>Medicare!I10</f>
        <v>801.9</v>
      </c>
      <c r="J17" s="491">
        <f>Medicare!J10</f>
        <v>814.3</v>
      </c>
      <c r="K17" s="491">
        <f>Medicare!K10</f>
        <v>826.6</v>
      </c>
      <c r="L17" s="491">
        <f>Medicare!L10</f>
        <v>838.8</v>
      </c>
      <c r="M17" s="491">
        <f>Medicare!M10</f>
        <v>854.9</v>
      </c>
      <c r="N17" s="491">
        <f>Medicare!N10</f>
        <v>871.2</v>
      </c>
      <c r="O17" s="491">
        <f>Medicare!O10</f>
        <v>887.1</v>
      </c>
      <c r="P17" s="491">
        <f>Medicare!P10</f>
        <v>902.4</v>
      </c>
      <c r="Q17" s="491">
        <f>Medicare!Q10</f>
        <v>917.6</v>
      </c>
      <c r="R17" s="491">
        <f>Medicare!R10</f>
        <v>926.6</v>
      </c>
      <c r="S17" s="491">
        <f>Medicare!S10</f>
        <v>937.4</v>
      </c>
      <c r="T17" s="491">
        <f>Medicare!T10</f>
        <v>958.5</v>
      </c>
      <c r="U17" s="491">
        <f>Medicare!U10</f>
        <v>981.1</v>
      </c>
      <c r="V17" s="491">
        <f>Medicare!V10</f>
        <v>1001.8</v>
      </c>
      <c r="W17" s="491">
        <f>Medicare!W10</f>
        <v>1019.9</v>
      </c>
      <c r="X17" s="653">
        <f>Medicare!X10</f>
        <v>1035.3</v>
      </c>
      <c r="Y17" s="653">
        <f>Medicare!Y10</f>
        <v>1049.2</v>
      </c>
      <c r="Z17" s="653">
        <f>Medicare!Z10</f>
        <v>1067.0999999999999</v>
      </c>
      <c r="AA17" s="653">
        <f>Medicare!AA10</f>
        <v>1090.2</v>
      </c>
      <c r="AB17" s="653">
        <f>Medicare!AB10</f>
        <v>1118.5</v>
      </c>
      <c r="AC17" s="653">
        <f>Medicare!AC10</f>
        <v>1150.3</v>
      </c>
      <c r="AD17" s="653">
        <f>Medicare!AD10</f>
        <v>1164.9491604763948</v>
      </c>
      <c r="AE17" s="653">
        <f>Medicare!AE10</f>
        <v>1179.7848791573131</v>
      </c>
      <c r="AF17" s="653">
        <f>Medicare!AF10</f>
        <v>1197.440355942422</v>
      </c>
      <c r="AG17" s="653">
        <f>Medicare!AG10</f>
        <v>1215.3600468787854</v>
      </c>
      <c r="AH17" s="653">
        <f>Medicare!AH10</f>
        <v>1233.5479059302966</v>
      </c>
      <c r="AI17" s="653">
        <f>Medicare!AI10</f>
        <v>1252.0079462319047</v>
      </c>
      <c r="AJ17" s="653">
        <f>Medicare!AJ10</f>
        <v>1270.9058610295497</v>
      </c>
      <c r="AK17" s="653">
        <f>Medicare!AK10</f>
        <v>1290.0890225660623</v>
      </c>
      <c r="AL17" s="653">
        <f>Medicare!AL10</f>
        <v>1309.5617363800645</v>
      </c>
      <c r="AM17" s="653">
        <f>Medicare!AM10</f>
        <v>1329.3283729983457</v>
      </c>
      <c r="AN17" s="653">
        <f>Medicare!AN10</f>
        <v>1329.3283729983457</v>
      </c>
    </row>
    <row r="18" spans="2:102" ht="18" customHeight="1" x14ac:dyDescent="0.25">
      <c r="B18" s="662" t="s">
        <v>467</v>
      </c>
      <c r="C18" s="238"/>
      <c r="D18" s="265"/>
      <c r="E18" s="222"/>
      <c r="F18" s="222"/>
      <c r="G18" s="222"/>
      <c r="H18" s="491">
        <f>'Rebate Checks (expired)'!H10 +'Rebate Checks (expired)'!H11</f>
        <v>0</v>
      </c>
      <c r="I18" s="491">
        <f>'Rebate Checks (expired)'!I10 +'Rebate Checks (expired)'!I11</f>
        <v>0</v>
      </c>
      <c r="J18" s="491">
        <f>'Rebate Checks (expired)'!J10 +'Rebate Checks (expired)'!J11</f>
        <v>1078.0999999999999</v>
      </c>
      <c r="K18" s="491">
        <f>'Rebate Checks (expired)'!K10 +'Rebate Checks (expired)'!K11</f>
        <v>15.6</v>
      </c>
      <c r="L18" s="491">
        <f>'Rebate Checks (expired)'!L10 +'Rebate Checks (expired)'!L11</f>
        <v>5</v>
      </c>
      <c r="M18" s="491">
        <f>'Rebate Checks (expired)'!M10 +'Rebate Checks (expired)'!M11</f>
        <v>1933.6999999999998</v>
      </c>
      <c r="N18" s="491">
        <f>'Rebate Checks (expired)'!N10 +'Rebate Checks (expired)'!N11</f>
        <v>290.10000000000002</v>
      </c>
      <c r="O18" s="491">
        <f>'Rebate Checks (expired)'!O10 +'Rebate Checks (expired)'!O11</f>
        <v>38.9</v>
      </c>
      <c r="P18" s="491">
        <f>'Rebate Checks (expired)'!P10 +'Rebate Checks (expired)'!P11</f>
        <v>14.2</v>
      </c>
      <c r="Q18" s="491">
        <f>'Rebate Checks (expired)'!Q10 +'Rebate Checks (expired)'!Q11</f>
        <v>0</v>
      </c>
      <c r="R18" s="491">
        <f>'Rebate Checks (expired)'!Q10 +'Rebate Checks (expired)'!R11</f>
        <v>0</v>
      </c>
      <c r="S18" s="491">
        <f>'Rebate Checks (expired)'!S10 +'Rebate Checks (expired)'!S11</f>
        <v>0</v>
      </c>
      <c r="T18" s="491">
        <f>'Rebate Checks (expired)'!T10 +'Rebate Checks (expired)'!T11</f>
        <v>0</v>
      </c>
      <c r="U18" s="491">
        <f>'Rebate Checks (expired)'!U10 +'Rebate Checks (expired)'!U11</f>
        <v>0</v>
      </c>
      <c r="V18" s="553">
        <f t="shared" ref="V18:AA18" si="4">V19+V20</f>
        <v>0</v>
      </c>
      <c r="W18" s="553">
        <f t="shared" si="4"/>
        <v>0</v>
      </c>
      <c r="X18" s="553">
        <f t="shared" si="4"/>
        <v>0</v>
      </c>
      <c r="Y18" s="553">
        <f t="shared" si="4"/>
        <v>0</v>
      </c>
      <c r="Z18" s="553">
        <f t="shared" si="4"/>
        <v>0</v>
      </c>
      <c r="AA18" s="553">
        <f t="shared" si="4"/>
        <v>0</v>
      </c>
      <c r="AB18" s="553">
        <f>AB19+AB20</f>
        <v>0</v>
      </c>
      <c r="AC18" s="553">
        <f>AC19+AC20</f>
        <v>0</v>
      </c>
      <c r="AD18" s="653">
        <f>'Rebate Checks (expired)'!AD10 +'Rebate Checks (expired)'!AD11</f>
        <v>0</v>
      </c>
      <c r="AE18" s="653">
        <f>'Rebate Checks (expired)'!AE10 +'Rebate Checks (expired)'!AE11</f>
        <v>0</v>
      </c>
      <c r="AF18" s="653">
        <f>'Rebate Checks (expired)'!AF10 +'Rebate Checks (expired)'!AF11</f>
        <v>0</v>
      </c>
      <c r="AG18" s="653">
        <f>'Rebate Checks (expired)'!AG10 +'Rebate Checks (expired)'!AG11</f>
        <v>0</v>
      </c>
      <c r="AH18" s="653">
        <f>'Rebate Checks (expired)'!AH10 +'Rebate Checks (expired)'!AH11</f>
        <v>0</v>
      </c>
      <c r="AI18" s="653">
        <f>'Rebate Checks (expired)'!AI10 +'Rebate Checks (expired)'!AI11</f>
        <v>0</v>
      </c>
      <c r="AJ18" s="653">
        <f>'Rebate Checks (expired)'!AJ10 +'Rebate Checks (expired)'!AJ11</f>
        <v>0</v>
      </c>
      <c r="AK18" s="653">
        <f>'Rebate Checks (expired)'!AK10 +'Rebate Checks (expired)'!AK11</f>
        <v>0</v>
      </c>
      <c r="AL18" s="653">
        <f>'Rebate Checks (expired)'!AL10 +'Rebate Checks (expired)'!AL11</f>
        <v>0</v>
      </c>
      <c r="AM18" s="653">
        <f>'Rebate Checks (expired)'!AM10 +'Rebate Checks (expired)'!AM11</f>
        <v>0</v>
      </c>
      <c r="AN18" s="653">
        <f>'Rebate Checks (expired)'!AN10 +'Rebate Checks (expired)'!AN11</f>
        <v>0</v>
      </c>
    </row>
    <row r="19" spans="2:102" ht="18" customHeight="1" x14ac:dyDescent="0.25">
      <c r="B19" s="663" t="s">
        <v>1835</v>
      </c>
      <c r="C19" s="238"/>
      <c r="D19" s="265"/>
      <c r="E19" s="222"/>
      <c r="F19" s="222"/>
      <c r="G19" s="222"/>
      <c r="H19" s="491"/>
      <c r="I19" s="491"/>
      <c r="J19" s="491"/>
      <c r="K19" s="491"/>
      <c r="L19" s="491"/>
      <c r="M19" s="491"/>
      <c r="N19" s="491"/>
      <c r="O19" s="491"/>
      <c r="P19" s="491"/>
      <c r="Q19" s="491"/>
      <c r="R19" s="491"/>
      <c r="S19" s="491"/>
      <c r="T19" s="491"/>
      <c r="U19" s="491"/>
      <c r="V19" s="491">
        <v>0</v>
      </c>
      <c r="W19" s="491"/>
      <c r="X19" s="653"/>
      <c r="Y19" s="653"/>
      <c r="Z19" s="653"/>
      <c r="AA19" s="653"/>
      <c r="AB19" s="653"/>
      <c r="AC19" s="653"/>
      <c r="AD19" s="653"/>
      <c r="AE19" s="653"/>
      <c r="AF19" s="653"/>
      <c r="AG19" s="653"/>
      <c r="AH19" s="653"/>
      <c r="AI19" s="653"/>
      <c r="AJ19" s="653"/>
      <c r="AK19" s="653"/>
      <c r="AL19" s="653"/>
      <c r="AM19" s="653"/>
      <c r="AN19" s="653"/>
    </row>
    <row r="20" spans="2:102" ht="18" customHeight="1" x14ac:dyDescent="0.25">
      <c r="B20" s="663" t="s">
        <v>1836</v>
      </c>
      <c r="C20" s="238"/>
      <c r="D20" s="265"/>
      <c r="E20" s="222"/>
      <c r="F20" s="222"/>
      <c r="G20" s="222"/>
      <c r="H20" s="491"/>
      <c r="I20" s="491"/>
      <c r="J20" s="491"/>
      <c r="K20" s="491"/>
      <c r="L20" s="491"/>
      <c r="M20" s="491"/>
      <c r="N20" s="491"/>
      <c r="O20" s="491"/>
      <c r="P20" s="491"/>
      <c r="Q20" s="491"/>
      <c r="R20" s="491"/>
      <c r="S20" s="491"/>
      <c r="T20" s="491"/>
      <c r="U20" s="491"/>
      <c r="V20" s="491">
        <v>0</v>
      </c>
      <c r="W20" s="491"/>
      <c r="X20" s="653"/>
      <c r="Y20" s="653"/>
      <c r="Z20" s="653"/>
      <c r="AA20" s="653"/>
      <c r="AB20" s="653"/>
      <c r="AC20" s="653"/>
      <c r="AD20" s="653"/>
      <c r="AE20" s="653"/>
      <c r="AF20" s="653"/>
      <c r="AG20" s="653"/>
      <c r="AH20" s="653"/>
      <c r="AI20" s="653"/>
      <c r="AJ20" s="653"/>
      <c r="AK20" s="653"/>
      <c r="AL20" s="653"/>
      <c r="AM20" s="653"/>
      <c r="AN20" s="653"/>
    </row>
    <row r="21" spans="2:102" ht="18" customHeight="1" x14ac:dyDescent="0.25">
      <c r="B21" s="664" t="s">
        <v>49</v>
      </c>
      <c r="C21" s="238"/>
      <c r="D21" s="264">
        <f>'Provider Relief (expired)'!D11</f>
        <v>0</v>
      </c>
      <c r="E21" s="234">
        <f>'Provider Relief (expired)'!E11</f>
        <v>0</v>
      </c>
      <c r="F21" s="234">
        <f>'Provider Relief (expired)'!F11</f>
        <v>0</v>
      </c>
      <c r="G21" s="234">
        <f>'Provider Relief (expired)'!G11</f>
        <v>0</v>
      </c>
      <c r="H21" s="234">
        <f>'Provider Relief (expired)'!H11</f>
        <v>0</v>
      </c>
      <c r="I21" s="234">
        <f>'Provider Relief (expired)'!I11</f>
        <v>0</v>
      </c>
      <c r="J21" s="234">
        <f>'Provider Relief (expired)'!J11</f>
        <v>160.9</v>
      </c>
      <c r="K21" s="234">
        <f>'Provider Relief (expired)'!K11</f>
        <v>58.4</v>
      </c>
      <c r="L21" s="234">
        <f>'Provider Relief (expired)'!L11</f>
        <v>34.5</v>
      </c>
      <c r="M21" s="234">
        <f>'Provider Relief (expired)'!M11</f>
        <v>21.4</v>
      </c>
      <c r="N21" s="234">
        <f>'Provider Relief (expired)'!N11</f>
        <v>13.3</v>
      </c>
      <c r="O21" s="234">
        <f>'Provider Relief (expired)'!O11</f>
        <v>18.7</v>
      </c>
      <c r="P21" s="234">
        <f>'Provider Relief (expired)'!P11</f>
        <v>32.200000000000003</v>
      </c>
      <c r="Q21" s="234">
        <f>'Provider Relief (expired)'!Q11</f>
        <v>26.9</v>
      </c>
      <c r="R21" s="234">
        <f>'Provider Relief (expired)'!R11</f>
        <v>20</v>
      </c>
      <c r="S21" s="234">
        <f>'Provider Relief (expired)'!S11</f>
        <v>8.1</v>
      </c>
      <c r="T21" s="234">
        <f>'Provider Relief (expired)'!T11</f>
        <v>4.9000000000000004</v>
      </c>
      <c r="U21" s="234">
        <v>0</v>
      </c>
      <c r="V21" s="491">
        <v>0</v>
      </c>
      <c r="W21" s="491">
        <v>0</v>
      </c>
      <c r="X21" s="653">
        <v>0</v>
      </c>
      <c r="Y21" s="653">
        <v>0</v>
      </c>
      <c r="Z21" s="653">
        <v>0</v>
      </c>
      <c r="AA21" s="653">
        <v>0</v>
      </c>
      <c r="AB21" s="653">
        <v>0</v>
      </c>
      <c r="AC21" s="653">
        <v>0</v>
      </c>
      <c r="AD21" s="653">
        <v>0</v>
      </c>
      <c r="AE21" s="653">
        <v>0</v>
      </c>
      <c r="AF21" s="653">
        <v>0</v>
      </c>
      <c r="AG21" s="653">
        <v>0</v>
      </c>
      <c r="AH21" s="653">
        <v>0</v>
      </c>
      <c r="AI21" s="653">
        <v>0</v>
      </c>
      <c r="AJ21" s="653">
        <v>0</v>
      </c>
      <c r="AK21" s="653">
        <v>0</v>
      </c>
      <c r="AL21" s="653">
        <v>0</v>
      </c>
      <c r="AM21" s="653">
        <v>0</v>
      </c>
      <c r="AN21" s="653">
        <v>0</v>
      </c>
    </row>
    <row r="22" spans="2:102" ht="18" customHeight="1" x14ac:dyDescent="0.25">
      <c r="B22" s="280" t="s">
        <v>1837</v>
      </c>
      <c r="C22" s="238"/>
      <c r="D22" s="264"/>
      <c r="E22" s="234"/>
      <c r="F22" s="234"/>
      <c r="G22" s="234"/>
      <c r="H22" s="234"/>
      <c r="I22" s="234"/>
      <c r="J22" s="234"/>
      <c r="K22" s="234"/>
      <c r="L22" s="234"/>
      <c r="M22" s="234"/>
      <c r="N22" s="234"/>
      <c r="O22" s="234"/>
      <c r="P22" s="234"/>
      <c r="Q22" s="234"/>
      <c r="R22" s="234"/>
      <c r="S22" s="234"/>
      <c r="T22" s="234"/>
      <c r="U22" s="234"/>
      <c r="V22" s="491"/>
      <c r="W22" s="491"/>
      <c r="X22" s="653"/>
      <c r="Y22" s="653"/>
      <c r="Z22" s="653"/>
      <c r="AA22" s="653"/>
      <c r="AB22" s="653"/>
      <c r="AC22" s="653"/>
      <c r="AD22" s="653"/>
      <c r="AE22" s="653"/>
      <c r="AF22" s="653"/>
      <c r="AG22" s="653"/>
      <c r="AH22" s="653"/>
      <c r="AI22" s="653"/>
      <c r="AJ22" s="653"/>
      <c r="AK22" s="653"/>
      <c r="AL22" s="653"/>
      <c r="AM22" s="653"/>
      <c r="AN22" s="653"/>
    </row>
    <row r="23" spans="2:102" ht="18" customHeight="1" x14ac:dyDescent="0.25">
      <c r="B23" s="280" t="s">
        <v>1838</v>
      </c>
      <c r="C23" s="238"/>
      <c r="D23" s="264"/>
      <c r="E23" s="234"/>
      <c r="F23" s="234"/>
      <c r="G23" s="234"/>
      <c r="H23" s="234"/>
      <c r="I23" s="234"/>
      <c r="J23" s="234"/>
      <c r="K23" s="234"/>
      <c r="L23" s="234"/>
      <c r="M23" s="234"/>
      <c r="N23" s="234"/>
      <c r="O23" s="234"/>
      <c r="P23" s="234"/>
      <c r="Q23" s="234"/>
      <c r="R23" s="234"/>
      <c r="S23" s="234"/>
      <c r="T23" s="234"/>
      <c r="U23" s="234"/>
      <c r="V23" s="491"/>
      <c r="W23" s="491"/>
      <c r="X23" s="653"/>
      <c r="Y23" s="653"/>
      <c r="Z23" s="653"/>
      <c r="AA23" s="653"/>
      <c r="AB23" s="653"/>
      <c r="AC23" s="653"/>
      <c r="AD23" s="653"/>
      <c r="AE23" s="653"/>
      <c r="AF23" s="653"/>
      <c r="AG23" s="653"/>
      <c r="AH23" s="653"/>
      <c r="AI23" s="653"/>
      <c r="AJ23" s="653"/>
      <c r="AK23" s="653"/>
      <c r="AL23" s="653"/>
      <c r="AM23" s="653"/>
      <c r="AN23" s="653"/>
    </row>
    <row r="24" spans="2:102" ht="20.100000000000001" customHeight="1" x14ac:dyDescent="0.25">
      <c r="B24" s="261" t="s">
        <v>470</v>
      </c>
      <c r="C24" s="256"/>
      <c r="D24" s="701"/>
      <c r="E24" s="623"/>
      <c r="F24" s="623"/>
      <c r="G24" s="623"/>
      <c r="H24" s="549"/>
      <c r="I24" s="549"/>
      <c r="J24" s="549"/>
      <c r="K24" s="549"/>
      <c r="L24" s="549"/>
      <c r="M24" s="549">
        <f>'ARP Quarterly'!C5</f>
        <v>0</v>
      </c>
      <c r="N24" s="549">
        <f>'ARP Quarterly'!D5</f>
        <v>33.921840000000024</v>
      </c>
      <c r="O24" s="549">
        <f>'ARP Quarterly'!E5</f>
        <v>44.966160000000031</v>
      </c>
      <c r="P24" s="549">
        <f>'ARP Quarterly'!F5</f>
        <v>52.756999999999998</v>
      </c>
      <c r="Q24" s="549">
        <f>'ARP Quarterly'!G5</f>
        <v>52.756999999999998</v>
      </c>
      <c r="R24" s="549">
        <f>'ARP Quarterly'!H5</f>
        <v>52.756999999999998</v>
      </c>
      <c r="S24" s="549">
        <f>'ARP Quarterly'!I5</f>
        <v>52.756999999999998</v>
      </c>
      <c r="T24" s="549">
        <v>30</v>
      </c>
      <c r="U24" s="549">
        <f>'ARP Quarterly'!K5</f>
        <v>12</v>
      </c>
      <c r="V24" s="549">
        <f>'ARP Quarterly'!L5</f>
        <v>12</v>
      </c>
      <c r="W24" s="549">
        <f>'ARP Quarterly'!M5</f>
        <v>12</v>
      </c>
      <c r="X24" s="552">
        <f>'ARP Quarterly'!N5</f>
        <v>4.2219999999999995</v>
      </c>
      <c r="Y24" s="552">
        <f>'ARP Quarterly'!O5</f>
        <v>4.2219999999999995</v>
      </c>
      <c r="Z24" s="552">
        <f>'ARP Quarterly'!P5</f>
        <v>4.2219999999999995</v>
      </c>
      <c r="AA24" s="552">
        <f>'ARP Quarterly'!Q5</f>
        <v>4.2219999999999995</v>
      </c>
      <c r="AB24" s="552">
        <f>'ARP Quarterly'!R5</f>
        <v>2.3719999999999999</v>
      </c>
      <c r="AC24" s="552">
        <f>'ARP Quarterly'!S5</f>
        <v>2.3719999999999999</v>
      </c>
      <c r="AD24" s="552">
        <f>'ARP Quarterly'!T5</f>
        <v>2.3719999999999999</v>
      </c>
      <c r="AE24" s="552">
        <f>'ARP Quarterly'!U5</f>
        <v>2.3719999999999999</v>
      </c>
      <c r="AF24" s="552">
        <f>'ARP Quarterly'!V5</f>
        <v>0.49</v>
      </c>
      <c r="AG24" s="501">
        <v>0</v>
      </c>
      <c r="AH24" s="501">
        <v>0</v>
      </c>
      <c r="AI24" s="501">
        <v>0</v>
      </c>
      <c r="AJ24" s="501">
        <v>0</v>
      </c>
      <c r="AK24" s="501">
        <v>0</v>
      </c>
      <c r="AL24" s="501">
        <v>0</v>
      </c>
      <c r="AM24" s="501">
        <v>0</v>
      </c>
      <c r="AN24" s="501">
        <v>0</v>
      </c>
    </row>
    <row r="25" spans="2:102" ht="22.35" customHeight="1" x14ac:dyDescent="0.25">
      <c r="B25" s="245" t="s">
        <v>218</v>
      </c>
      <c r="C25" s="669"/>
      <c r="D25" s="264"/>
      <c r="E25" s="234"/>
      <c r="F25" s="234"/>
      <c r="G25" s="234"/>
      <c r="H25" s="234"/>
      <c r="I25" s="234"/>
      <c r="J25" s="234"/>
      <c r="K25" s="234"/>
      <c r="L25" s="234"/>
      <c r="M25" s="491">
        <f>'ARP Quarterly'!C4</f>
        <v>0</v>
      </c>
      <c r="N25" s="491">
        <f>'ARP Quarterly'!D4</f>
        <v>0</v>
      </c>
      <c r="O25" s="491">
        <f>'ARP Quarterly'!E4</f>
        <v>3.1040000000000418</v>
      </c>
      <c r="P25" s="491">
        <f>'ARP Quarterly'!F4</f>
        <v>19.719000000000005</v>
      </c>
      <c r="Q25" s="491">
        <f>'ARP Quarterly'!G4</f>
        <v>19.719000000000005</v>
      </c>
      <c r="R25" s="491">
        <f>'ARP Quarterly'!H4</f>
        <v>19.719000000000005</v>
      </c>
      <c r="S25" s="491">
        <f>'ARP Quarterly'!I4</f>
        <v>19.719000000000005</v>
      </c>
      <c r="T25" s="491">
        <f>'ARP Quarterly'!J4</f>
        <v>1.4159999999999999</v>
      </c>
      <c r="U25" s="491">
        <f>'ARP Quarterly'!K4</f>
        <v>1.4159999999999999</v>
      </c>
      <c r="V25" s="491">
        <f>'ARP Quarterly'!L4</f>
        <v>1.4159999999999999</v>
      </c>
      <c r="W25" s="491">
        <f>'ARP Quarterly'!M4</f>
        <v>1.4159999999999999</v>
      </c>
      <c r="X25" s="653">
        <f>'ARP Quarterly'!N4</f>
        <v>1.4790000000000001</v>
      </c>
      <c r="Y25" s="653">
        <f>'ARP Quarterly'!O4</f>
        <v>1.4790000000000001</v>
      </c>
      <c r="Z25" s="653">
        <f>'ARP Quarterly'!P4</f>
        <v>1.4790000000000001</v>
      </c>
      <c r="AA25" s="653">
        <f>'ARP Quarterly'!Q4</f>
        <v>1.4790000000000001</v>
      </c>
      <c r="AB25" s="653">
        <f>'ARP Quarterly'!R4</f>
        <v>1.63</v>
      </c>
      <c r="AC25" s="653">
        <f>'ARP Quarterly'!S4</f>
        <v>1.63</v>
      </c>
      <c r="AD25" s="653">
        <f>'ARP Quarterly'!T4</f>
        <v>1.63</v>
      </c>
      <c r="AE25" s="653">
        <f>'ARP Quarterly'!U4</f>
        <v>1.63</v>
      </c>
      <c r="AF25" s="653">
        <f>'ARP Quarterly'!V4</f>
        <v>1.671</v>
      </c>
      <c r="AG25" s="667">
        <v>0</v>
      </c>
      <c r="AH25" s="667">
        <v>0</v>
      </c>
      <c r="AI25" s="667">
        <v>0</v>
      </c>
      <c r="AJ25" s="667">
        <v>0</v>
      </c>
      <c r="AK25" s="667">
        <v>0</v>
      </c>
      <c r="AL25" s="667">
        <v>0</v>
      </c>
      <c r="AM25" s="667">
        <v>0</v>
      </c>
      <c r="AN25" s="667">
        <v>0</v>
      </c>
      <c r="AO25" s="669"/>
      <c r="AP25" s="669"/>
      <c r="AQ25" s="669"/>
      <c r="AR25" s="669"/>
      <c r="AS25" s="669"/>
      <c r="AT25" s="669"/>
      <c r="AU25" s="669"/>
      <c r="AV25" s="669"/>
      <c r="AW25" s="669"/>
      <c r="AX25" s="669"/>
      <c r="AY25" s="669"/>
      <c r="AZ25" s="669"/>
      <c r="BA25" s="669"/>
      <c r="BB25" s="669"/>
      <c r="BC25" s="669"/>
      <c r="BD25" s="669"/>
      <c r="BE25" s="669"/>
      <c r="BF25" s="669"/>
      <c r="BG25" s="669"/>
      <c r="BH25" s="669"/>
      <c r="BI25" s="669"/>
      <c r="BJ25" s="669"/>
      <c r="BK25" s="669"/>
      <c r="BL25" s="669"/>
      <c r="BM25" s="669"/>
      <c r="BN25" s="669"/>
      <c r="BO25" s="669"/>
      <c r="BP25" s="669"/>
      <c r="BQ25" s="669"/>
      <c r="BR25" s="669"/>
      <c r="BS25" s="669"/>
      <c r="BT25" s="669"/>
      <c r="BU25" s="669"/>
      <c r="BV25" s="669"/>
      <c r="BW25" s="669"/>
      <c r="BX25" s="669"/>
      <c r="BY25" s="669"/>
      <c r="BZ25" s="669"/>
      <c r="CA25" s="669"/>
      <c r="CB25" s="669"/>
      <c r="CC25" s="669"/>
      <c r="CD25" s="669"/>
      <c r="CE25" s="669"/>
      <c r="CF25" s="669"/>
      <c r="CG25" s="669"/>
      <c r="CH25" s="669"/>
      <c r="CI25" s="669"/>
      <c r="CJ25" s="669"/>
      <c r="CK25" s="669"/>
      <c r="CL25" s="669"/>
      <c r="CM25" s="669"/>
      <c r="CN25" s="669"/>
      <c r="CO25" s="669"/>
      <c r="CP25" s="669"/>
      <c r="CQ25" s="669"/>
      <c r="CR25" s="669"/>
      <c r="CS25" s="669"/>
      <c r="CT25" s="669"/>
      <c r="CU25" s="669"/>
      <c r="CV25" s="669"/>
      <c r="CW25" s="669"/>
      <c r="CX25" s="669"/>
    </row>
    <row r="26" spans="2:102" ht="36.6" customHeight="1" x14ac:dyDescent="0.25">
      <c r="B26" s="245" t="s">
        <v>1427</v>
      </c>
      <c r="C26" s="238"/>
      <c r="D26" s="265">
        <f>D50</f>
        <v>0</v>
      </c>
      <c r="E26" s="222">
        <f t="shared" ref="E26:AF26" si="5">E50</f>
        <v>0</v>
      </c>
      <c r="F26" s="222">
        <f t="shared" si="5"/>
        <v>0</v>
      </c>
      <c r="G26" s="222">
        <f t="shared" si="5"/>
        <v>0</v>
      </c>
      <c r="H26" s="222">
        <f t="shared" si="5"/>
        <v>0</v>
      </c>
      <c r="I26" s="491">
        <f t="shared" si="5"/>
        <v>6.9120000000000061</v>
      </c>
      <c r="J26" s="491">
        <f t="shared" si="5"/>
        <v>50.955000000000005</v>
      </c>
      <c r="K26" s="491">
        <f t="shared" si="5"/>
        <v>51.173999999999999</v>
      </c>
      <c r="L26" s="491">
        <f t="shared" si="5"/>
        <v>51.893999999999998</v>
      </c>
      <c r="M26" s="491">
        <f t="shared" si="5"/>
        <v>91.075000000000017</v>
      </c>
      <c r="N26" s="491">
        <f t="shared" si="5"/>
        <v>100.63400000000001</v>
      </c>
      <c r="O26" s="491">
        <f t="shared" si="5"/>
        <v>93.89100000000002</v>
      </c>
      <c r="P26" s="491">
        <f t="shared" si="5"/>
        <v>100.22800000000001</v>
      </c>
      <c r="Q26" s="491">
        <f t="shared" si="5"/>
        <v>76.838999999999999</v>
      </c>
      <c r="R26" s="491">
        <f t="shared" si="5"/>
        <v>73.637</v>
      </c>
      <c r="S26" s="491">
        <f t="shared" si="5"/>
        <v>70.649000000000001</v>
      </c>
      <c r="T26" s="491">
        <f t="shared" si="5"/>
        <v>91.718000000000018</v>
      </c>
      <c r="U26" s="491">
        <f t="shared" si="5"/>
        <v>83.695999999999998</v>
      </c>
      <c r="V26" s="491">
        <f>V50</f>
        <v>51.979000000000006</v>
      </c>
      <c r="W26" s="491">
        <f>W50</f>
        <v>51.58400000000001</v>
      </c>
      <c r="X26" s="653">
        <f t="shared" si="5"/>
        <v>38.777999999999999</v>
      </c>
      <c r="Y26" s="653">
        <f t="shared" si="5"/>
        <v>37.295999999999999</v>
      </c>
      <c r="Z26" s="653">
        <f t="shared" si="5"/>
        <v>41.408000000000008</v>
      </c>
      <c r="AA26" s="653">
        <f t="shared" si="5"/>
        <v>48.07800000000001</v>
      </c>
      <c r="AB26" s="653">
        <f t="shared" si="5"/>
        <v>43.804000000000009</v>
      </c>
      <c r="AC26" s="653">
        <f t="shared" si="5"/>
        <v>40.729000000000006</v>
      </c>
      <c r="AD26" s="653">
        <f t="shared" si="5"/>
        <v>40.729000000000006</v>
      </c>
      <c r="AE26" s="653">
        <f t="shared" si="5"/>
        <v>40.729000000000006</v>
      </c>
      <c r="AF26" s="653">
        <f t="shared" si="5"/>
        <v>40.729000000000006</v>
      </c>
      <c r="AG26" s="653">
        <f>AG50</f>
        <v>40.729000000000006</v>
      </c>
      <c r="AH26" s="653">
        <f>AH50</f>
        <v>40.729000000000006</v>
      </c>
      <c r="AI26" s="653">
        <f>AI50</f>
        <v>40.729000000000006</v>
      </c>
      <c r="AJ26" s="653">
        <f>AJ50</f>
        <v>40.729000000000006</v>
      </c>
      <c r="AK26" s="653">
        <f t="shared" ref="AK26:AN26" si="6">AK50</f>
        <v>40.729000000000006</v>
      </c>
      <c r="AL26" s="653">
        <f t="shared" si="6"/>
        <v>40.729000000000006</v>
      </c>
      <c r="AM26" s="653">
        <f t="shared" si="6"/>
        <v>40.729000000000006</v>
      </c>
      <c r="AN26" s="653">
        <f t="shared" si="6"/>
        <v>40.729000000000006</v>
      </c>
      <c r="AO26" s="238"/>
      <c r="AP26" s="238"/>
      <c r="AQ26" s="238"/>
      <c r="AR26" s="238"/>
      <c r="AS26" s="238"/>
      <c r="AT26" s="238"/>
      <c r="AU26" s="238"/>
      <c r="AV26" s="238"/>
      <c r="AW26" s="238"/>
      <c r="AX26" s="238"/>
      <c r="AY26" s="238"/>
      <c r="AZ26" s="238"/>
      <c r="BA26" s="238"/>
      <c r="BB26" s="238"/>
      <c r="BC26" s="238"/>
      <c r="BD26" s="238"/>
      <c r="BE26" s="238"/>
      <c r="BF26" s="238"/>
      <c r="BG26" s="238"/>
      <c r="BH26" s="238"/>
      <c r="BI26" s="238"/>
      <c r="BJ26" s="238"/>
      <c r="BK26" s="238"/>
      <c r="BL26" s="238"/>
      <c r="BM26" s="238"/>
      <c r="BN26" s="238"/>
      <c r="BO26" s="238"/>
      <c r="BP26" s="238"/>
      <c r="BQ26" s="238"/>
      <c r="BR26" s="238"/>
      <c r="BS26" s="238"/>
      <c r="BT26" s="238"/>
      <c r="BU26" s="238"/>
      <c r="BV26" s="238"/>
      <c r="BW26" s="238"/>
      <c r="BX26" s="238"/>
      <c r="BY26" s="238"/>
      <c r="BZ26" s="238"/>
      <c r="CA26" s="238"/>
      <c r="CB26" s="238"/>
      <c r="CC26" s="238"/>
      <c r="CD26" s="238"/>
      <c r="CE26" s="238"/>
      <c r="CF26" s="238"/>
      <c r="CG26" s="238"/>
      <c r="CH26" s="238"/>
      <c r="CI26" s="238"/>
      <c r="CJ26" s="238"/>
      <c r="CK26" s="238"/>
      <c r="CL26" s="238"/>
      <c r="CM26" s="238"/>
      <c r="CN26" s="238"/>
      <c r="CO26" s="238"/>
      <c r="CP26" s="238"/>
      <c r="CQ26" s="238"/>
      <c r="CR26" s="238"/>
      <c r="CS26" s="238"/>
      <c r="CT26" s="238"/>
      <c r="CU26" s="238"/>
      <c r="CV26" s="238"/>
      <c r="CW26" s="238"/>
    </row>
    <row r="27" spans="2:102" ht="15.6" customHeight="1" x14ac:dyDescent="0.25">
      <c r="B27" s="245" t="s">
        <v>796</v>
      </c>
      <c r="C27" s="238" t="s">
        <v>823</v>
      </c>
      <c r="D27" s="264">
        <v>30</v>
      </c>
      <c r="E27" s="234">
        <v>30</v>
      </c>
      <c r="F27" s="234">
        <v>30</v>
      </c>
      <c r="G27" s="234">
        <v>30</v>
      </c>
      <c r="H27" s="234">
        <v>30</v>
      </c>
      <c r="I27" s="234">
        <v>30</v>
      </c>
      <c r="J27" s="234">
        <v>30</v>
      </c>
      <c r="K27" s="230">
        <v>30.2</v>
      </c>
      <c r="L27" s="230">
        <v>30.2</v>
      </c>
      <c r="M27" s="230">
        <f>'Haver Pivoted'!GX89</f>
        <v>34.4</v>
      </c>
      <c r="N27" s="230">
        <f>'Haver Pivoted'!GY89</f>
        <v>34.4</v>
      </c>
      <c r="O27" s="230">
        <f>'Haver Pivoted'!GZ89</f>
        <v>218.933333333333</v>
      </c>
      <c r="P27" s="230">
        <f>'Haver Pivoted'!HA89</f>
        <v>223.13333333333301</v>
      </c>
      <c r="Q27" s="230">
        <f>'Haver Pivoted'!HB89</f>
        <v>94.3</v>
      </c>
      <c r="R27" s="230">
        <f>'Haver Pivoted'!HC89</f>
        <v>94.3</v>
      </c>
      <c r="S27" s="449">
        <f>'Haver Pivoted'!HD89</f>
        <v>94.3</v>
      </c>
      <c r="T27" s="449">
        <f>'Haver Pivoted'!HE89</f>
        <v>94.3</v>
      </c>
      <c r="U27" s="653">
        <v>34</v>
      </c>
      <c r="V27" s="491">
        <v>34</v>
      </c>
      <c r="W27" s="491">
        <v>34</v>
      </c>
      <c r="X27" s="653">
        <v>34</v>
      </c>
      <c r="Y27" s="653">
        <v>34</v>
      </c>
      <c r="Z27" s="653">
        <v>34</v>
      </c>
      <c r="AA27" s="653">
        <v>34</v>
      </c>
      <c r="AB27" s="653">
        <v>34</v>
      </c>
      <c r="AC27" s="653">
        <v>34</v>
      </c>
      <c r="AD27" s="653">
        <v>34</v>
      </c>
      <c r="AE27" s="653">
        <v>34</v>
      </c>
      <c r="AF27" s="653">
        <v>34</v>
      </c>
      <c r="AG27" s="653">
        <v>34</v>
      </c>
      <c r="AH27" s="653">
        <v>34</v>
      </c>
      <c r="AI27" s="653">
        <v>35</v>
      </c>
      <c r="AJ27" s="653">
        <v>36</v>
      </c>
      <c r="AK27" s="653">
        <v>37</v>
      </c>
      <c r="AL27" s="653">
        <v>38</v>
      </c>
      <c r="AM27" s="653">
        <v>39</v>
      </c>
      <c r="AN27" s="653">
        <v>40</v>
      </c>
    </row>
    <row r="28" spans="2:102" ht="21.6" customHeight="1" x14ac:dyDescent="0.25">
      <c r="B28" s="245" t="s">
        <v>468</v>
      </c>
      <c r="C28" s="238"/>
      <c r="D28" s="265"/>
      <c r="E28" s="222"/>
      <c r="F28" s="222"/>
      <c r="G28" s="222"/>
      <c r="H28" s="491"/>
      <c r="I28" s="491"/>
      <c r="J28" s="491">
        <f>'PPP (expired)'!J53</f>
        <v>57.2</v>
      </c>
      <c r="K28" s="491">
        <f>'PPP (expired)'!K53</f>
        <v>81.2</v>
      </c>
      <c r="L28" s="491">
        <f>'PPP (expired)'!L53</f>
        <v>24.4</v>
      </c>
      <c r="M28" s="491">
        <f>'PPP (expired)'!M53</f>
        <v>11.7</v>
      </c>
      <c r="N28" s="491">
        <f>'PPP (expired)'!N53</f>
        <v>28.5</v>
      </c>
      <c r="O28" s="491">
        <f>'PPP (expired)'!O53</f>
        <v>18.8</v>
      </c>
      <c r="P28" s="491">
        <f>'PPP (expired)'!P53</f>
        <v>1.6</v>
      </c>
      <c r="Q28" s="491">
        <f>'PPP (expired)'!Q53</f>
        <v>0</v>
      </c>
      <c r="R28" s="491">
        <f>'PPP (expired)'!Q61</f>
        <v>0</v>
      </c>
      <c r="S28" s="491">
        <f>'PPP (expired)'!S53</f>
        <v>0</v>
      </c>
      <c r="T28" s="491">
        <f>'PPP (expired)'!T53</f>
        <v>0</v>
      </c>
      <c r="U28" s="491">
        <f>'PPP (expired)'!U53</f>
        <v>0</v>
      </c>
      <c r="V28" s="491">
        <f>'PPP (expired)'!V53</f>
        <v>0</v>
      </c>
      <c r="W28" s="491">
        <f>'PPP (expired)'!W53</f>
        <v>0</v>
      </c>
      <c r="X28" s="653">
        <f>'PPP (expired)'!X53</f>
        <v>0</v>
      </c>
      <c r="Y28" s="653">
        <f>'PPP (expired)'!Y53</f>
        <v>0</v>
      </c>
      <c r="Z28" s="653">
        <f>'PPP (expired)'!Z53</f>
        <v>0</v>
      </c>
      <c r="AA28" s="653">
        <f>'PPP (expired)'!AA53</f>
        <v>0</v>
      </c>
      <c r="AB28" s="653">
        <f>'PPP (expired)'!AB53</f>
        <v>0</v>
      </c>
      <c r="AC28" s="653">
        <f>'PPP (expired)'!AC53</f>
        <v>0</v>
      </c>
      <c r="AD28" s="653">
        <f>'PPP (expired)'!AD53</f>
        <v>0</v>
      </c>
      <c r="AE28" s="653">
        <f>'PPP (expired)'!AE53</f>
        <v>0</v>
      </c>
      <c r="AF28" s="653">
        <f>'PPP (expired)'!AF53</f>
        <v>0</v>
      </c>
      <c r="AG28" s="653">
        <f>'PPP (expired)'!AG53</f>
        <v>0</v>
      </c>
      <c r="AH28" s="653">
        <f>'PPP (expired)'!AH53</f>
        <v>0</v>
      </c>
      <c r="AI28" s="653">
        <f>'PPP (expired)'!AI53</f>
        <v>0</v>
      </c>
      <c r="AJ28" s="653">
        <f>'PPP (expired)'!AJ53</f>
        <v>0</v>
      </c>
      <c r="AK28" s="653">
        <f>'PPP (expired)'!AK53</f>
        <v>0</v>
      </c>
      <c r="AL28" s="653">
        <f>'PPP (expired)'!AL53</f>
        <v>0</v>
      </c>
      <c r="AM28" s="653">
        <f>'PPP (expired)'!AM53</f>
        <v>0</v>
      </c>
      <c r="AN28" s="653">
        <f>'PPP (expired)'!AN53</f>
        <v>0</v>
      </c>
    </row>
    <row r="29" spans="2:102" ht="21.6" customHeight="1" x14ac:dyDescent="0.25">
      <c r="B29" s="280" t="s">
        <v>797</v>
      </c>
      <c r="C29" s="238"/>
      <c r="D29" s="583">
        <f t="shared" ref="D29:AE29" si="7">D74</f>
        <v>0</v>
      </c>
      <c r="E29" s="491">
        <f t="shared" si="7"/>
        <v>0</v>
      </c>
      <c r="F29" s="491">
        <f t="shared" si="7"/>
        <v>0</v>
      </c>
      <c r="G29" s="491">
        <f t="shared" si="7"/>
        <v>0</v>
      </c>
      <c r="H29" s="491">
        <f t="shared" si="7"/>
        <v>0</v>
      </c>
      <c r="I29" s="491">
        <f t="shared" si="7"/>
        <v>-6.9120000000000346</v>
      </c>
      <c r="J29" s="491">
        <f t="shared" si="7"/>
        <v>-37.9549999999997</v>
      </c>
      <c r="K29" s="491">
        <f t="shared" si="7"/>
        <v>85.725999999999658</v>
      </c>
      <c r="L29" s="491">
        <f t="shared" si="7"/>
        <v>18.405999999999722</v>
      </c>
      <c r="M29" s="491">
        <f t="shared" si="7"/>
        <v>20.282000000000153</v>
      </c>
      <c r="N29" s="491">
        <f t="shared" si="7"/>
        <v>-8.5988400000003367</v>
      </c>
      <c r="O29" s="491">
        <f t="shared" si="7"/>
        <v>-12.537493333333487</v>
      </c>
      <c r="P29" s="491">
        <f t="shared" si="7"/>
        <v>-32.38033333333351</v>
      </c>
      <c r="Q29" s="491">
        <f t="shared" si="7"/>
        <v>72.734879999999521</v>
      </c>
      <c r="R29" s="491">
        <f t="shared" si="7"/>
        <v>75.236879999999019</v>
      </c>
      <c r="S29" s="491">
        <f t="shared" si="7"/>
        <v>66.046879999999419</v>
      </c>
      <c r="T29" s="491">
        <f t="shared" si="7"/>
        <v>90.12587999999937</v>
      </c>
      <c r="U29" s="491">
        <f t="shared" si="7"/>
        <v>55.219026999999414</v>
      </c>
      <c r="V29" s="491">
        <f>V74</f>
        <v>69.376026999999112</v>
      </c>
      <c r="W29" s="491">
        <f t="shared" si="7"/>
        <v>73.871026999999231</v>
      </c>
      <c r="X29" s="653">
        <f t="shared" si="7"/>
        <v>92.003026999999292</v>
      </c>
      <c r="Y29" s="653">
        <f t="shared" si="7"/>
        <v>133.13552299999901</v>
      </c>
      <c r="Z29" s="653">
        <f t="shared" si="7"/>
        <v>146.42352299999902</v>
      </c>
      <c r="AA29" s="653">
        <f t="shared" si="7"/>
        <v>149.85352299999886</v>
      </c>
      <c r="AB29" s="653">
        <f t="shared" si="7"/>
        <v>163.69852299999889</v>
      </c>
      <c r="AC29" s="653">
        <f t="shared" si="7"/>
        <v>197.87564799999905</v>
      </c>
      <c r="AD29" s="653">
        <f t="shared" si="7"/>
        <v>197.87564799999905</v>
      </c>
      <c r="AE29" s="653">
        <f t="shared" si="7"/>
        <v>197.87564799999905</v>
      </c>
      <c r="AF29" s="653">
        <f>AF74</f>
        <v>197.87564799999905</v>
      </c>
      <c r="AG29" s="653">
        <f>AG74</f>
        <v>197.87564799999905</v>
      </c>
      <c r="AH29" s="653">
        <f>AH74</f>
        <v>197.87564799999905</v>
      </c>
      <c r="AI29" s="653">
        <f t="shared" ref="AI29:AJ29" si="8">AI74</f>
        <v>197.87564799999905</v>
      </c>
      <c r="AJ29" s="653">
        <f t="shared" si="8"/>
        <v>197.87564799999905</v>
      </c>
      <c r="AK29" s="653">
        <f t="shared" ref="AK29:AN29" si="9">AK74</f>
        <v>197.87564799999905</v>
      </c>
      <c r="AL29" s="653">
        <f t="shared" si="9"/>
        <v>197.87564799999905</v>
      </c>
      <c r="AM29" s="653">
        <f t="shared" si="9"/>
        <v>197.87564799999905</v>
      </c>
      <c r="AN29" s="653">
        <f t="shared" si="9"/>
        <v>197.87564799999905</v>
      </c>
    </row>
    <row r="30" spans="2:102" ht="21" customHeight="1" x14ac:dyDescent="0.25">
      <c r="B30" s="261" t="s">
        <v>794</v>
      </c>
      <c r="C30" s="256"/>
      <c r="D30" s="701">
        <f t="shared" ref="D30:W30" si="10">D25+D21</f>
        <v>0</v>
      </c>
      <c r="E30" s="623">
        <f t="shared" si="10"/>
        <v>0</v>
      </c>
      <c r="F30" s="623">
        <f t="shared" si="10"/>
        <v>0</v>
      </c>
      <c r="G30" s="623">
        <f t="shared" si="10"/>
        <v>0</v>
      </c>
      <c r="H30" s="623">
        <f t="shared" si="10"/>
        <v>0</v>
      </c>
      <c r="I30" s="623">
        <f t="shared" si="10"/>
        <v>0</v>
      </c>
      <c r="J30" s="623">
        <f t="shared" si="10"/>
        <v>160.9</v>
      </c>
      <c r="K30" s="623">
        <f t="shared" si="10"/>
        <v>58.4</v>
      </c>
      <c r="L30" s="623">
        <f t="shared" si="10"/>
        <v>34.5</v>
      </c>
      <c r="M30" s="623">
        <f t="shared" si="10"/>
        <v>21.4</v>
      </c>
      <c r="N30" s="623">
        <f t="shared" si="10"/>
        <v>13.3</v>
      </c>
      <c r="O30" s="623">
        <f t="shared" si="10"/>
        <v>21.804000000000041</v>
      </c>
      <c r="P30" s="549">
        <f t="shared" si="10"/>
        <v>51.919000000000011</v>
      </c>
      <c r="Q30" s="623">
        <f t="shared" si="10"/>
        <v>46.619</v>
      </c>
      <c r="R30" s="623">
        <f t="shared" si="10"/>
        <v>39.719000000000008</v>
      </c>
      <c r="S30" s="623">
        <f t="shared" si="10"/>
        <v>27.819000000000003</v>
      </c>
      <c r="T30" s="549">
        <f t="shared" si="10"/>
        <v>6.3160000000000007</v>
      </c>
      <c r="U30" s="549">
        <f t="shared" si="10"/>
        <v>1.4159999999999999</v>
      </c>
      <c r="V30" s="549">
        <f t="shared" si="10"/>
        <v>1.4159999999999999</v>
      </c>
      <c r="W30" s="549">
        <f t="shared" si="10"/>
        <v>1.4159999999999999</v>
      </c>
      <c r="X30" s="552">
        <f t="shared" ref="X30:AB30" si="11">X25+X21</f>
        <v>1.4790000000000001</v>
      </c>
      <c r="Y30" s="552">
        <f t="shared" si="11"/>
        <v>1.4790000000000001</v>
      </c>
      <c r="Z30" s="552">
        <f t="shared" si="11"/>
        <v>1.4790000000000001</v>
      </c>
      <c r="AA30" s="552">
        <f t="shared" si="11"/>
        <v>1.4790000000000001</v>
      </c>
      <c r="AB30" s="552">
        <f t="shared" si="11"/>
        <v>1.63</v>
      </c>
      <c r="AC30" s="552">
        <f>AC25+AC21</f>
        <v>1.63</v>
      </c>
      <c r="AD30" s="552">
        <f t="shared" ref="AD30:AE30" si="12">AD25+AD21</f>
        <v>1.63</v>
      </c>
      <c r="AE30" s="552">
        <f t="shared" si="12"/>
        <v>1.63</v>
      </c>
      <c r="AF30" s="552">
        <f>AF25+AF21</f>
        <v>1.671</v>
      </c>
      <c r="AG30" s="552">
        <f>AG25+AG21</f>
        <v>0</v>
      </c>
      <c r="AH30" s="552">
        <f>AH25+AH21</f>
        <v>0</v>
      </c>
      <c r="AI30" s="552">
        <f t="shared" ref="AI30:AJ30" si="13">AI25+AI21</f>
        <v>0</v>
      </c>
      <c r="AJ30" s="552">
        <f t="shared" si="13"/>
        <v>0</v>
      </c>
      <c r="AK30" s="552">
        <f t="shared" ref="AK30:AN30" si="14">AK25+AK21</f>
        <v>0</v>
      </c>
      <c r="AL30" s="552">
        <f t="shared" si="14"/>
        <v>0</v>
      </c>
      <c r="AM30" s="552">
        <f t="shared" si="14"/>
        <v>0</v>
      </c>
      <c r="AN30" s="552">
        <f t="shared" si="14"/>
        <v>0</v>
      </c>
    </row>
    <row r="31" spans="2:102" ht="44.85" customHeight="1" x14ac:dyDescent="0.25">
      <c r="B31" s="245" t="s">
        <v>801</v>
      </c>
      <c r="C31" s="238"/>
      <c r="D31" s="583">
        <f t="shared" ref="D31:AE31" si="15">D66</f>
        <v>1410.9</v>
      </c>
      <c r="E31" s="491">
        <f t="shared" si="15"/>
        <v>1470.7000000000003</v>
      </c>
      <c r="F31" s="491">
        <f t="shared" si="15"/>
        <v>1475.8999999999996</v>
      </c>
      <c r="G31" s="491">
        <f t="shared" si="15"/>
        <v>1482.6999999999998</v>
      </c>
      <c r="H31" s="491">
        <f t="shared" si="15"/>
        <v>1490.8000000000002</v>
      </c>
      <c r="I31" s="491">
        <f t="shared" si="15"/>
        <v>1542.4</v>
      </c>
      <c r="J31" s="491">
        <f t="shared" si="15"/>
        <v>1549.1000000000001</v>
      </c>
      <c r="K31" s="491">
        <f t="shared" si="15"/>
        <v>1555.8000000000002</v>
      </c>
      <c r="L31" s="491">
        <f t="shared" si="15"/>
        <v>1562.5000000000002</v>
      </c>
      <c r="M31" s="491">
        <f t="shared" si="15"/>
        <v>1586.8430000000003</v>
      </c>
      <c r="N31" s="491">
        <f t="shared" si="15"/>
        <v>1593.5430000000003</v>
      </c>
      <c r="O31" s="491">
        <f t="shared" si="15"/>
        <v>1600.2430000000004</v>
      </c>
      <c r="P31" s="491">
        <f t="shared" si="15"/>
        <v>1606.9430000000004</v>
      </c>
      <c r="Q31" s="491">
        <f t="shared" si="15"/>
        <v>1685.5501200000006</v>
      </c>
      <c r="R31" s="491">
        <f t="shared" si="15"/>
        <v>1692.2501200000006</v>
      </c>
      <c r="S31" s="491">
        <f t="shared" si="15"/>
        <v>1698.9501200000007</v>
      </c>
      <c r="T31" s="491">
        <f t="shared" si="15"/>
        <v>1705.6501200000007</v>
      </c>
      <c r="U31" s="491">
        <f t="shared" si="15"/>
        <v>1818.9789730000007</v>
      </c>
      <c r="V31" s="491">
        <f t="shared" si="15"/>
        <v>1825.6789730000007</v>
      </c>
      <c r="W31" s="491">
        <f t="shared" si="15"/>
        <v>1832.3789730000008</v>
      </c>
      <c r="X31" s="653">
        <f t="shared" si="15"/>
        <v>1839.0789730000008</v>
      </c>
      <c r="Y31" s="653">
        <f t="shared" si="15"/>
        <v>1891.4284770000008</v>
      </c>
      <c r="Z31" s="653">
        <f t="shared" si="15"/>
        <v>1898.1284770000009</v>
      </c>
      <c r="AA31" s="653">
        <f t="shared" si="15"/>
        <v>1904.8284770000009</v>
      </c>
      <c r="AB31" s="653">
        <f>AB66</f>
        <v>1911.528477000001</v>
      </c>
      <c r="AC31" s="653">
        <f t="shared" si="15"/>
        <v>1956.026352000001</v>
      </c>
      <c r="AD31" s="653">
        <f t="shared" si="15"/>
        <v>1962.726352000001</v>
      </c>
      <c r="AE31" s="653">
        <f t="shared" si="15"/>
        <v>1969.4263520000011</v>
      </c>
      <c r="AF31" s="653">
        <f>AF66</f>
        <v>1976.1263520000011</v>
      </c>
      <c r="AG31" s="653">
        <f>AG66</f>
        <v>2019.8270050350011</v>
      </c>
      <c r="AH31" s="653">
        <f>AH66</f>
        <v>2026.5270050350011</v>
      </c>
      <c r="AI31" s="653">
        <f t="shared" ref="AI31:AJ31" si="16">AI66</f>
        <v>2033.2270050350012</v>
      </c>
      <c r="AJ31" s="653">
        <f t="shared" si="16"/>
        <v>2039.9270050350012</v>
      </c>
      <c r="AK31" s="653">
        <f t="shared" ref="AK31:AN31" si="17">AK66</f>
        <v>2085.9065360898062</v>
      </c>
      <c r="AL31" s="653">
        <f t="shared" si="17"/>
        <v>2092.606536089806</v>
      </c>
      <c r="AM31" s="653">
        <f t="shared" si="17"/>
        <v>2099.3065360898058</v>
      </c>
      <c r="AN31" s="653">
        <f t="shared" si="17"/>
        <v>2106.0065360898056</v>
      </c>
    </row>
    <row r="32" spans="2:102" ht="44.85" customHeight="1" x14ac:dyDescent="0.25">
      <c r="B32" s="422" t="s">
        <v>1179</v>
      </c>
      <c r="D32" s="583"/>
      <c r="E32" s="491"/>
      <c r="F32" s="491"/>
      <c r="G32" s="491"/>
      <c r="H32" s="491"/>
      <c r="I32" s="491"/>
      <c r="J32" s="491"/>
      <c r="K32" s="491"/>
      <c r="L32" s="491"/>
      <c r="M32" s="491"/>
      <c r="N32" s="491"/>
      <c r="O32" s="491"/>
      <c r="P32" s="491"/>
      <c r="Q32" s="491"/>
      <c r="R32" s="491"/>
      <c r="S32" s="657">
        <f>'IRA and CHIPS'!E191</f>
        <v>-0.622</v>
      </c>
      <c r="T32" s="657">
        <f>'IRA and CHIPS'!F191</f>
        <v>21.89</v>
      </c>
      <c r="U32" s="657">
        <f>'IRA and CHIPS'!G191</f>
        <v>21.89</v>
      </c>
      <c r="V32" s="657">
        <f>'IRA and CHIPS'!H191</f>
        <v>21.89</v>
      </c>
      <c r="W32" s="657">
        <f>'IRA and CHIPS'!I191</f>
        <v>21.89</v>
      </c>
      <c r="X32" s="668">
        <f>'IRA and CHIPS'!J191</f>
        <v>15.439</v>
      </c>
      <c r="Y32" s="668">
        <f>'IRA and CHIPS'!K191</f>
        <v>15.439</v>
      </c>
      <c r="Z32" s="668">
        <f>'IRA and CHIPS'!L191</f>
        <v>15.439</v>
      </c>
      <c r="AA32" s="668">
        <f>'IRA and CHIPS'!M191</f>
        <v>15.439</v>
      </c>
      <c r="AB32" s="668">
        <f>'IRA and CHIPS'!N191</f>
        <v>16.966999999999999</v>
      </c>
      <c r="AC32" s="668">
        <f>'IRA and CHIPS'!O191</f>
        <v>16.966999999999999</v>
      </c>
      <c r="AD32" s="668">
        <f>'IRA and CHIPS'!P191</f>
        <v>16.966999999999999</v>
      </c>
      <c r="AE32" s="668">
        <f>'IRA and CHIPS'!Q191</f>
        <v>16.966999999999999</v>
      </c>
      <c r="AF32" s="668">
        <f>'IRA and CHIPS'!R191</f>
        <v>0.72799999999999998</v>
      </c>
      <c r="AG32" s="668">
        <f>'IRA and CHIPS'!S191</f>
        <v>0.72799999999999998</v>
      </c>
      <c r="AH32" s="668">
        <f>0</f>
        <v>0</v>
      </c>
      <c r="AI32" s="668">
        <f>0</f>
        <v>0</v>
      </c>
      <c r="AJ32" s="668">
        <f>0</f>
        <v>0</v>
      </c>
      <c r="AK32" s="668">
        <f>0</f>
        <v>0</v>
      </c>
      <c r="AL32" s="668">
        <f>0</f>
        <v>0</v>
      </c>
      <c r="AM32" s="668">
        <f>0</f>
        <v>0</v>
      </c>
      <c r="AN32" s="668">
        <f>0</f>
        <v>0</v>
      </c>
    </row>
    <row r="33" spans="2:40" ht="31.35" customHeight="1" x14ac:dyDescent="0.25">
      <c r="B33" s="571" t="s">
        <v>798</v>
      </c>
      <c r="C33" s="256"/>
      <c r="D33" s="549">
        <f t="shared" ref="D33:R33" si="18">D31+SUM(D26:D29)+D32</f>
        <v>1440.9</v>
      </c>
      <c r="E33" s="549">
        <f t="shared" si="18"/>
        <v>1500.7000000000003</v>
      </c>
      <c r="F33" s="549">
        <f t="shared" si="18"/>
        <v>1505.8999999999996</v>
      </c>
      <c r="G33" s="549">
        <f t="shared" si="18"/>
        <v>1512.6999999999998</v>
      </c>
      <c r="H33" s="549">
        <f t="shared" si="18"/>
        <v>1520.8000000000002</v>
      </c>
      <c r="I33" s="549">
        <f t="shared" si="18"/>
        <v>1572.4</v>
      </c>
      <c r="J33" s="549">
        <f t="shared" si="18"/>
        <v>1649.3000000000004</v>
      </c>
      <c r="K33" s="549">
        <f t="shared" si="18"/>
        <v>1804.1</v>
      </c>
      <c r="L33" s="549">
        <f t="shared" si="18"/>
        <v>1687.3999999999999</v>
      </c>
      <c r="M33" s="549">
        <f t="shared" si="18"/>
        <v>1744.3000000000004</v>
      </c>
      <c r="N33" s="549">
        <f t="shared" si="18"/>
        <v>1748.4781600000001</v>
      </c>
      <c r="O33" s="549">
        <f t="shared" si="18"/>
        <v>1919.3298399999999</v>
      </c>
      <c r="P33" s="549">
        <f t="shared" si="18"/>
        <v>1899.5239999999999</v>
      </c>
      <c r="Q33" s="549">
        <f t="shared" si="18"/>
        <v>1929.424</v>
      </c>
      <c r="R33" s="549">
        <f t="shared" si="18"/>
        <v>1935.4239999999995</v>
      </c>
      <c r="S33" s="549">
        <f>S31+SUM(S26:S29)+S32</f>
        <v>1929.3240000000001</v>
      </c>
      <c r="T33" s="679">
        <f>T31+SUM(T26:T29)+T32</f>
        <v>2003.6840000000002</v>
      </c>
      <c r="U33" s="679">
        <f>U31+SUM(U26:U29)+U32</f>
        <v>2013.7840000000001</v>
      </c>
      <c r="V33" s="549">
        <f>V31+SUM(V26:V29)+V32</f>
        <v>2002.924</v>
      </c>
      <c r="W33" s="549">
        <f>W31+SUM(W26:W29)+W32</f>
        <v>2013.7240000000002</v>
      </c>
      <c r="X33" s="552">
        <f t="shared" ref="X33" si="19">X31+SUM(X26:X29)+X32</f>
        <v>2019.2990000000002</v>
      </c>
      <c r="Y33" s="552">
        <f>Y31+SUM(Y26:Y29)+Y32</f>
        <v>2111.2989999999995</v>
      </c>
      <c r="Z33" s="552">
        <f t="shared" ref="Z33" si="20">Z31+SUM(Z26:Z29)+Z32</f>
        <v>2135.3989999999999</v>
      </c>
      <c r="AA33" s="552">
        <f t="shared" ref="AA33" si="21">AA31+SUM(AA26:AA29)+AA32</f>
        <v>2152.1989999999996</v>
      </c>
      <c r="AB33" s="552">
        <f t="shared" ref="AB33" si="22">AB31+SUM(AB26:AB29)+AB32</f>
        <v>2169.998</v>
      </c>
      <c r="AC33" s="552">
        <f>AC31+SUM(AC26:AC29)+AC32</f>
        <v>2245.5980000000004</v>
      </c>
      <c r="AD33" s="552">
        <f t="shared" ref="AD33:AE33" si="23">AD31+SUM(AD26:AD29)+AD32</f>
        <v>2252.2980000000002</v>
      </c>
      <c r="AE33" s="552">
        <f t="shared" si="23"/>
        <v>2258.998</v>
      </c>
      <c r="AF33" s="552">
        <f>AF31+SUM(AF26:AF29)+AF32</f>
        <v>2249.4590000000003</v>
      </c>
      <c r="AG33" s="552">
        <f>AG31+SUM(AG26:AG29)+AG32</f>
        <v>2293.1596530350002</v>
      </c>
      <c r="AH33" s="552">
        <f>AH31+SUM(AH26:AH29)+AH32</f>
        <v>2299.1316530350005</v>
      </c>
      <c r="AI33" s="552">
        <f>AI31+SUM(AI26:AI29)+AI32</f>
        <v>2306.8316530350003</v>
      </c>
      <c r="AJ33" s="552">
        <f t="shared" ref="AJ33:AN33" si="24">AJ31+SUM(AJ26:AJ29)+AJ32</f>
        <v>2314.5316530350001</v>
      </c>
      <c r="AK33" s="552">
        <f t="shared" si="24"/>
        <v>2361.5111840898053</v>
      </c>
      <c r="AL33" s="552">
        <f t="shared" si="24"/>
        <v>2369.2111840898051</v>
      </c>
      <c r="AM33" s="552">
        <f t="shared" si="24"/>
        <v>2376.9111840898049</v>
      </c>
      <c r="AN33" s="552">
        <f t="shared" si="24"/>
        <v>2384.6111840898047</v>
      </c>
    </row>
    <row r="34" spans="2:40" ht="31.35" customHeight="1" x14ac:dyDescent="0.25">
      <c r="B34" s="571"/>
      <c r="C34" s="256"/>
      <c r="D34" s="549"/>
      <c r="E34" s="549"/>
      <c r="F34" s="549"/>
      <c r="G34" s="549"/>
      <c r="H34" s="549"/>
      <c r="I34" s="549"/>
      <c r="J34" s="549"/>
      <c r="K34" s="549"/>
      <c r="L34" s="549"/>
      <c r="M34" s="549"/>
      <c r="N34" s="549"/>
      <c r="O34" s="549"/>
      <c r="P34" s="549"/>
      <c r="Q34" s="549"/>
      <c r="R34" s="549"/>
      <c r="S34" s="549"/>
      <c r="T34" s="549"/>
      <c r="U34" s="549"/>
      <c r="V34" s="549"/>
      <c r="W34" s="549"/>
      <c r="X34" s="552"/>
      <c r="Y34" s="552"/>
      <c r="Z34" s="552"/>
      <c r="AA34" s="552"/>
      <c r="AB34" s="552"/>
      <c r="AC34" s="552"/>
      <c r="AD34" s="552"/>
      <c r="AE34" s="552"/>
      <c r="AF34" s="552"/>
      <c r="AG34" s="552"/>
      <c r="AH34" s="552"/>
      <c r="AI34" s="552"/>
      <c r="AJ34" s="552"/>
      <c r="AK34" s="552"/>
      <c r="AL34" s="552"/>
      <c r="AM34" s="552"/>
      <c r="AN34" s="552"/>
    </row>
    <row r="35" spans="2:40" ht="31.35" customHeight="1" x14ac:dyDescent="0.25">
      <c r="B35" s="1358" t="s">
        <v>471</v>
      </c>
      <c r="C35" s="1359"/>
      <c r="D35" s="567"/>
      <c r="E35" s="568"/>
      <c r="F35" s="568"/>
      <c r="G35" s="568"/>
      <c r="H35" s="568"/>
      <c r="I35" s="568"/>
      <c r="J35" s="568"/>
      <c r="K35" s="568"/>
      <c r="L35" s="568"/>
      <c r="M35" s="568"/>
      <c r="N35" s="568"/>
      <c r="O35" s="568"/>
      <c r="P35" s="568"/>
      <c r="Q35" s="568"/>
      <c r="R35" s="568"/>
      <c r="S35" s="568"/>
      <c r="T35" s="549"/>
      <c r="U35" s="568"/>
      <c r="V35" s="549"/>
      <c r="W35" s="549"/>
      <c r="X35" s="552"/>
      <c r="Y35" s="552"/>
      <c r="Z35" s="552"/>
      <c r="AA35" s="552"/>
      <c r="AB35" s="552"/>
      <c r="AC35" s="552"/>
      <c r="AD35" s="552"/>
      <c r="AE35" s="552"/>
      <c r="AF35" s="552"/>
      <c r="AG35" s="552"/>
      <c r="AH35" s="552"/>
      <c r="AI35" s="552"/>
      <c r="AJ35" s="552"/>
      <c r="AK35" s="552"/>
      <c r="AL35" s="552"/>
      <c r="AM35" s="552"/>
      <c r="AN35" s="552"/>
    </row>
    <row r="36" spans="2:40" x14ac:dyDescent="0.25">
      <c r="B36" s="280" t="s">
        <v>803</v>
      </c>
      <c r="C36" s="238" t="s">
        <v>472</v>
      </c>
      <c r="D36" s="265">
        <f>'Haver Pivoted'!GO37</f>
        <v>733.6</v>
      </c>
      <c r="E36" s="222">
        <f>'Haver Pivoted'!GP37</f>
        <v>744.3</v>
      </c>
      <c r="F36" s="222">
        <f>'Haver Pivoted'!GQ37</f>
        <v>762.3</v>
      </c>
      <c r="G36" s="222">
        <f>'Haver Pivoted'!GR37</f>
        <v>772.2</v>
      </c>
      <c r="H36" s="222">
        <f>'Haver Pivoted'!GS37</f>
        <v>772.1</v>
      </c>
      <c r="I36" s="222">
        <f>'Haver Pivoted'!GT37</f>
        <v>760.8</v>
      </c>
      <c r="J36" s="222">
        <f>'Haver Pivoted'!GU37</f>
        <v>811.3</v>
      </c>
      <c r="K36" s="222">
        <f>'Haver Pivoted'!GV37</f>
        <v>850.3</v>
      </c>
      <c r="L36" s="222">
        <f>'Haver Pivoted'!GW37</f>
        <v>840.3</v>
      </c>
      <c r="M36" s="222">
        <f>'Haver Pivoted'!GX37</f>
        <v>869.7</v>
      </c>
      <c r="N36" s="222">
        <f>'Haver Pivoted'!GY37</f>
        <v>913.8</v>
      </c>
      <c r="O36" s="222">
        <f>'Haver Pivoted'!GZ37</f>
        <v>923.8</v>
      </c>
      <c r="P36" s="222">
        <f>'Haver Pivoted'!HA37</f>
        <v>923.5</v>
      </c>
      <c r="Q36" s="222">
        <f>'Haver Pivoted'!HB37</f>
        <v>973.6</v>
      </c>
      <c r="R36" s="222">
        <f>'Haver Pivoted'!HC37</f>
        <v>1010.5</v>
      </c>
      <c r="S36" s="622">
        <f>'Haver Pivoted'!HD37</f>
        <v>1032.5999999999999</v>
      </c>
      <c r="T36" s="622">
        <f>'Haver Pivoted'!HE37</f>
        <v>1096.5999999999999</v>
      </c>
      <c r="U36" s="622">
        <f>'Haver Pivoted'!HF37</f>
        <v>1083.2</v>
      </c>
      <c r="V36" s="656">
        <f>'Haver Pivoted'!HG37</f>
        <v>1111.0999999999999</v>
      </c>
      <c r="W36" s="656">
        <f>'Haver Pivoted'!HH37</f>
        <v>1069.4000000000001</v>
      </c>
      <c r="X36" s="656">
        <f>'Haver Pivoted'!HI37</f>
        <v>1061</v>
      </c>
      <c r="Y36" s="656">
        <f>'Haver Pivoted'!HJ37</f>
        <v>1113.5</v>
      </c>
      <c r="Z36" s="656">
        <f>'Haver Pivoted'!HK37</f>
        <v>1136.9000000000001</v>
      </c>
      <c r="AA36" s="656">
        <f>'Haver Pivoted'!HL37</f>
        <v>1154</v>
      </c>
      <c r="AB36" s="656">
        <f>'Haver Pivoted'!HM37</f>
        <v>1162.5</v>
      </c>
      <c r="AC36" s="656">
        <f>'Haver Pivoted'!HN37</f>
        <v>1184.8</v>
      </c>
      <c r="AD36" s="283"/>
      <c r="AE36" s="283"/>
      <c r="AF36" s="283"/>
      <c r="AG36" s="283"/>
      <c r="AH36" s="283"/>
      <c r="AI36" s="283"/>
      <c r="AJ36" s="283"/>
      <c r="AK36" s="283"/>
      <c r="AL36" s="283"/>
      <c r="AM36" s="283"/>
      <c r="AN36" s="283"/>
    </row>
    <row r="37" spans="2:40" x14ac:dyDescent="0.25">
      <c r="B37" s="548" t="s">
        <v>209</v>
      </c>
      <c r="C37" s="238"/>
      <c r="D37" s="583">
        <f>Medicaid!D27</f>
        <v>589.5</v>
      </c>
      <c r="E37" s="491">
        <f>Medicaid!E27</f>
        <v>598.70000000000005</v>
      </c>
      <c r="F37" s="491">
        <f>Medicaid!F27</f>
        <v>614.4</v>
      </c>
      <c r="G37" s="491">
        <f>Medicaid!G27</f>
        <v>622.4</v>
      </c>
      <c r="H37" s="491">
        <f>Medicaid!H27</f>
        <v>620.6</v>
      </c>
      <c r="I37" s="491">
        <f>Medicaid!I27</f>
        <v>606.5</v>
      </c>
      <c r="J37" s="491">
        <f>Medicaid!J27</f>
        <v>654.6</v>
      </c>
      <c r="K37" s="491">
        <f>Medicaid!K27</f>
        <v>690.8</v>
      </c>
      <c r="L37" s="491">
        <f>Medicaid!L27</f>
        <v>678.6</v>
      </c>
      <c r="M37" s="491">
        <f>Medicaid!M27</f>
        <v>704.9</v>
      </c>
      <c r="N37" s="491">
        <f>Medicaid!N27</f>
        <v>745.6</v>
      </c>
      <c r="O37" s="491">
        <f>Medicaid!O27</f>
        <v>749.2</v>
      </c>
      <c r="P37" s="491">
        <f>Medicaid!P27</f>
        <v>746.3</v>
      </c>
      <c r="Q37" s="491">
        <f>Medicaid!Q27</f>
        <v>791.9</v>
      </c>
      <c r="R37" s="491">
        <f>Medicaid!R27</f>
        <v>819.2</v>
      </c>
      <c r="S37" s="622">
        <f>Medicaid!S27</f>
        <v>819</v>
      </c>
      <c r="T37" s="491">
        <f>Medicaid!T27</f>
        <v>827.5</v>
      </c>
      <c r="U37" s="491">
        <f>Medicaid!U27</f>
        <v>877.6</v>
      </c>
      <c r="V37" s="491">
        <f>Medicaid!V27</f>
        <v>911.6</v>
      </c>
      <c r="W37" s="491">
        <f>Medicaid!W27</f>
        <v>867.2</v>
      </c>
      <c r="X37" s="653">
        <f>Medicaid!X27</f>
        <v>856.2</v>
      </c>
      <c r="Y37" s="653">
        <f>Medicaid!Y27</f>
        <v>904.8</v>
      </c>
      <c r="Z37" s="653">
        <f>Medicaid!Z27</f>
        <v>924.7</v>
      </c>
      <c r="AA37" s="653">
        <f>Medicaid!AA27</f>
        <v>932.4</v>
      </c>
      <c r="AB37" s="653">
        <f>Medicaid!AB27</f>
        <v>944.8</v>
      </c>
      <c r="AC37" s="653">
        <f>Medicaid!AC27</f>
        <v>966.6</v>
      </c>
      <c r="AD37" s="653">
        <f>Medicaid!AD27</f>
        <v>971.46435495301887</v>
      </c>
      <c r="AE37" s="653">
        <f>Medicaid!AE27</f>
        <v>990.42364361020816</v>
      </c>
      <c r="AF37" s="653">
        <f>Medicaid!AF27</f>
        <v>1006.3990306414189</v>
      </c>
      <c r="AG37" s="653">
        <f>Medicaid!AG27</f>
        <v>1022.6320983049969</v>
      </c>
      <c r="AH37" s="653">
        <f>Medicaid!AH27</f>
        <v>1039.1270029514687</v>
      </c>
      <c r="AI37" s="653">
        <f>Medicaid!AI27</f>
        <v>1055.8879679726806</v>
      </c>
      <c r="AJ37" s="653">
        <f>Medicaid!AJ27</f>
        <v>1071.552919993354</v>
      </c>
      <c r="AK37" s="653">
        <f>Medicaid!AK27</f>
        <v>1087.4502742472691</v>
      </c>
      <c r="AL37" s="653">
        <f>Medicaid!AL27</f>
        <v>1103.5834786095261</v>
      </c>
      <c r="AM37" s="653">
        <f>Medicaid!AM27</f>
        <v>1119.9560321072408</v>
      </c>
      <c r="AN37" s="653" t="e">
        <f>Medicaid!AN27</f>
        <v>#DIV/0!</v>
      </c>
    </row>
    <row r="38" spans="2:40" ht="14.85" customHeight="1" x14ac:dyDescent="0.25">
      <c r="B38" s="571" t="s">
        <v>804</v>
      </c>
      <c r="C38" s="256"/>
      <c r="D38" s="582">
        <f>D36-D37</f>
        <v>144.10000000000002</v>
      </c>
      <c r="E38" s="549">
        <f t="shared" ref="E38:O38" si="25">E36-E37</f>
        <v>145.59999999999991</v>
      </c>
      <c r="F38" s="549">
        <f t="shared" si="25"/>
        <v>147.89999999999998</v>
      </c>
      <c r="G38" s="549">
        <f t="shared" si="25"/>
        <v>149.80000000000007</v>
      </c>
      <c r="H38" s="549">
        <f t="shared" si="25"/>
        <v>151.5</v>
      </c>
      <c r="I38" s="549">
        <f t="shared" si="25"/>
        <v>154.29999999999995</v>
      </c>
      <c r="J38" s="549">
        <f t="shared" si="25"/>
        <v>156.69999999999993</v>
      </c>
      <c r="K38" s="549">
        <f t="shared" si="25"/>
        <v>159.5</v>
      </c>
      <c r="L38" s="549">
        <f t="shared" si="25"/>
        <v>161.69999999999993</v>
      </c>
      <c r="M38" s="549">
        <f t="shared" si="25"/>
        <v>164.80000000000007</v>
      </c>
      <c r="N38" s="549">
        <f t="shared" si="25"/>
        <v>168.19999999999993</v>
      </c>
      <c r="O38" s="549">
        <f t="shared" si="25"/>
        <v>174.59999999999991</v>
      </c>
      <c r="P38" s="549">
        <f>P36-P37</f>
        <v>177.20000000000005</v>
      </c>
      <c r="Q38" s="549">
        <f>Q36-Q37</f>
        <v>181.70000000000005</v>
      </c>
      <c r="R38" s="549">
        <f>R36-R37</f>
        <v>191.29999999999995</v>
      </c>
      <c r="S38" s="622">
        <f>S36-S37</f>
        <v>213.59999999999991</v>
      </c>
      <c r="T38" s="622">
        <f>T36-T37</f>
        <v>269.09999999999991</v>
      </c>
      <c r="U38" s="549">
        <f>T38*(1+AVERAGE($F$40:$I$40))+U39</f>
        <v>203.03380700109631</v>
      </c>
      <c r="V38" s="549">
        <f>U38*(1+AVERAGE($F$40:$I$40))+V39</f>
        <v>206.0018330562437</v>
      </c>
      <c r="W38" s="549">
        <f t="shared" ref="W38:AA38" si="26">V38*(1+AVERAGE($F$40:$I$40))</f>
        <v>209.01324685451698</v>
      </c>
      <c r="X38" s="552">
        <f>W38*(1+AVERAGE($F$40:$I$40))</f>
        <v>212.06868265458453</v>
      </c>
      <c r="Y38" s="552">
        <f t="shared" si="26"/>
        <v>215.16878398695127</v>
      </c>
      <c r="Z38" s="552">
        <f t="shared" si="26"/>
        <v>218.31420378949775</v>
      </c>
      <c r="AA38" s="552">
        <f t="shared" si="26"/>
        <v>221.50560454500092</v>
      </c>
      <c r="AB38" s="552">
        <f>AA38*(1+AVERAGE($F$40:$I$40))</f>
        <v>224.74365842066501</v>
      </c>
      <c r="AC38" s="552">
        <f>AB38*(1+AVERAGE($F$40:$I$40))</f>
        <v>228.02904740969223</v>
      </c>
      <c r="AD38" s="552">
        <f>AC38*(1+AVERAGE($F$40:$I$40))</f>
        <v>231.36246347492295</v>
      </c>
      <c r="AE38" s="552">
        <f>AD38*(1+AVERAGE($F$40:$I$40))</f>
        <v>234.7446086945757</v>
      </c>
      <c r="AF38" s="552">
        <f t="shared" ref="AF38:AH38" si="27">AE38*(1+AVERAGE($F$40:$I$40))</f>
        <v>238.17619541011769</v>
      </c>
      <c r="AG38" s="552">
        <f t="shared" si="27"/>
        <v>241.65794637629688</v>
      </c>
      <c r="AH38" s="552">
        <f t="shared" si="27"/>
        <v>245.19059491336728</v>
      </c>
      <c r="AI38" s="552">
        <f t="shared" ref="AI38" si="28">AH38*(1+AVERAGE($F$40:$I$40))</f>
        <v>248.77488506153966</v>
      </c>
      <c r="AJ38" s="552">
        <f>AI38*(1+AVERAGE($F$40:$I$40))</f>
        <v>252.41157173768991</v>
      </c>
      <c r="AK38" s="552">
        <f t="shared" ref="AK38:AN38" si="29">AJ38*(1+AVERAGE($F$40:$I$40))</f>
        <v>256.10142089435828</v>
      </c>
      <c r="AL38" s="552">
        <f t="shared" si="29"/>
        <v>259.84520968107307</v>
      </c>
      <c r="AM38" s="552">
        <f t="shared" si="29"/>
        <v>263.64372660803241</v>
      </c>
      <c r="AN38" s="552">
        <f t="shared" si="29"/>
        <v>267.49777171217886</v>
      </c>
    </row>
    <row r="39" spans="2:40" ht="14.85" customHeight="1" x14ac:dyDescent="0.25">
      <c r="B39" s="571" t="s">
        <v>1688</v>
      </c>
      <c r="C39" s="256"/>
      <c r="D39" s="582"/>
      <c r="E39" s="549"/>
      <c r="F39" s="549"/>
      <c r="G39" s="549"/>
      <c r="H39" s="549"/>
      <c r="I39" s="549"/>
      <c r="J39" s="549"/>
      <c r="K39" s="549"/>
      <c r="L39" s="549"/>
      <c r="M39" s="549"/>
      <c r="N39" s="549"/>
      <c r="O39" s="549"/>
      <c r="P39" s="549"/>
      <c r="Q39" s="549"/>
      <c r="R39" s="549"/>
      <c r="S39" s="622"/>
      <c r="T39" s="549"/>
      <c r="U39" s="549">
        <v>-70</v>
      </c>
      <c r="V39" s="549"/>
      <c r="W39" s="549"/>
      <c r="X39" s="552"/>
      <c r="Y39" s="552"/>
      <c r="Z39" s="552"/>
      <c r="AA39" s="552"/>
      <c r="AB39" s="552"/>
      <c r="AC39" s="552"/>
      <c r="AD39" s="552"/>
      <c r="AE39" s="552"/>
      <c r="AF39" s="552"/>
      <c r="AG39" s="552"/>
      <c r="AH39" s="552"/>
      <c r="AI39" s="552"/>
      <c r="AJ39" s="552"/>
      <c r="AK39" s="552"/>
      <c r="AL39" s="552"/>
      <c r="AM39" s="552"/>
      <c r="AN39" s="552"/>
    </row>
    <row r="40" spans="2:40" x14ac:dyDescent="0.25">
      <c r="B40" s="698" t="s">
        <v>805</v>
      </c>
      <c r="C40" s="359"/>
      <c r="D40" s="584"/>
      <c r="E40" s="570">
        <f>E38/D38-1</f>
        <v>1.0409437890353201E-2</v>
      </c>
      <c r="F40" s="570">
        <f t="shared" ref="F40:N40" si="30">F38/E38-1</f>
        <v>1.5796703296703685E-2</v>
      </c>
      <c r="G40" s="570">
        <f t="shared" si="30"/>
        <v>1.2846517917512346E-2</v>
      </c>
      <c r="H40" s="570">
        <f t="shared" si="30"/>
        <v>1.1348464619492127E-2</v>
      </c>
      <c r="I40" s="570">
        <f t="shared" si="30"/>
        <v>1.8481848184818128E-2</v>
      </c>
      <c r="J40" s="570">
        <f t="shared" si="30"/>
        <v>1.5554115359688758E-2</v>
      </c>
      <c r="K40" s="570">
        <f t="shared" si="30"/>
        <v>1.7868538608807105E-2</v>
      </c>
      <c r="L40" s="570">
        <f t="shared" si="30"/>
        <v>1.3793103448275446E-2</v>
      </c>
      <c r="M40" s="570">
        <f t="shared" si="30"/>
        <v>1.9171304885591489E-2</v>
      </c>
      <c r="N40" s="570">
        <f t="shared" si="30"/>
        <v>2.0631067961164318E-2</v>
      </c>
      <c r="O40" s="570">
        <f>O38/N38-1</f>
        <v>3.8049940546967864E-2</v>
      </c>
      <c r="P40" s="570">
        <f t="shared" ref="P40:S40" si="31">P38/O38-1</f>
        <v>1.4891179839634283E-2</v>
      </c>
      <c r="Q40" s="570">
        <f t="shared" si="31"/>
        <v>2.5395033860045046E-2</v>
      </c>
      <c r="R40" s="570">
        <f t="shared" si="31"/>
        <v>5.2834342322509054E-2</v>
      </c>
      <c r="S40" s="642">
        <f t="shared" si="31"/>
        <v>0.11657083115525335</v>
      </c>
      <c r="T40" s="551"/>
      <c r="U40" s="551"/>
      <c r="V40" s="551"/>
      <c r="W40" s="551"/>
      <c r="X40" s="578"/>
      <c r="Y40" s="578"/>
      <c r="Z40" s="578"/>
      <c r="AA40" s="578"/>
      <c r="AB40" s="578"/>
      <c r="AC40" s="578"/>
      <c r="AD40" s="578"/>
      <c r="AE40" s="578"/>
      <c r="AF40" s="578"/>
      <c r="AG40" s="578"/>
      <c r="AH40" s="578"/>
      <c r="AI40" s="578"/>
      <c r="AJ40" s="578"/>
      <c r="AK40" s="578"/>
      <c r="AL40" s="578"/>
      <c r="AM40" s="578"/>
      <c r="AN40" s="578"/>
    </row>
    <row r="44" spans="2:40" x14ac:dyDescent="0.25">
      <c r="P44" s="481"/>
      <c r="Q44" s="481"/>
    </row>
    <row r="45" spans="2:40" x14ac:dyDescent="0.25">
      <c r="B45" s="511" t="s">
        <v>351</v>
      </c>
      <c r="D45" s="491"/>
      <c r="E45" s="491"/>
      <c r="F45" s="491"/>
      <c r="G45" s="491"/>
      <c r="H45" s="491"/>
      <c r="I45" s="491"/>
      <c r="J45" s="491"/>
      <c r="K45" s="491"/>
      <c r="L45" s="491"/>
      <c r="M45" s="491"/>
      <c r="N45" s="491"/>
      <c r="O45" s="491"/>
      <c r="P45" s="491"/>
      <c r="Q45" s="491"/>
      <c r="R45" s="491"/>
      <c r="S45" s="491"/>
      <c r="T45" s="491"/>
      <c r="U45" s="491"/>
      <c r="V45" s="491"/>
      <c r="W45" s="491"/>
      <c r="X45" s="491"/>
      <c r="Y45" s="491"/>
      <c r="Z45" s="491"/>
      <c r="AA45" s="491"/>
      <c r="AB45" s="491"/>
      <c r="AC45" s="491"/>
    </row>
    <row r="46" spans="2:40" ht="45.75" customHeight="1" x14ac:dyDescent="0.25">
      <c r="B46" s="1360" t="s">
        <v>475</v>
      </c>
      <c r="C46" s="1360"/>
      <c r="D46" s="1306"/>
      <c r="E46" s="1306"/>
      <c r="F46" s="1306"/>
      <c r="G46" s="1306"/>
      <c r="H46" s="1306"/>
      <c r="I46" s="1306"/>
      <c r="J46" s="1306"/>
      <c r="K46" s="1306"/>
      <c r="L46" s="1306"/>
      <c r="M46" s="1306"/>
      <c r="N46" s="1306"/>
      <c r="O46" s="1306"/>
      <c r="P46" s="1306"/>
      <c r="Q46" s="1306"/>
      <c r="R46" s="1306"/>
      <c r="S46" s="1306"/>
      <c r="T46" s="1306"/>
      <c r="U46" s="1306"/>
      <c r="V46" s="1306"/>
      <c r="W46" s="1306"/>
      <c r="X46" s="1306"/>
      <c r="Y46" s="1306"/>
      <c r="Z46" s="1306"/>
      <c r="AA46" s="1306"/>
      <c r="AB46" s="1306"/>
      <c r="AC46" s="1306"/>
    </row>
    <row r="47" spans="2:40" ht="14.85" customHeight="1" x14ac:dyDescent="0.25">
      <c r="B47" s="1271" t="s">
        <v>476</v>
      </c>
      <c r="C47" s="1272"/>
      <c r="D47" s="1279" t="s">
        <v>279</v>
      </c>
      <c r="E47" s="1279"/>
      <c r="F47" s="1279"/>
      <c r="G47" s="1279"/>
      <c r="H47" s="1279"/>
      <c r="I47" s="1279"/>
      <c r="J47" s="1279"/>
      <c r="K47" s="1279"/>
      <c r="L47" s="1279"/>
      <c r="M47" s="1279"/>
      <c r="N47" s="1279"/>
      <c r="O47" s="1279"/>
      <c r="P47" s="1279"/>
      <c r="Q47" s="1279"/>
      <c r="R47" s="1279"/>
      <c r="S47" s="1279"/>
      <c r="T47" s="1279"/>
      <c r="U47" s="1279"/>
      <c r="V47" s="1279"/>
      <c r="W47" s="1279"/>
      <c r="X47" s="1279"/>
      <c r="Y47" s="1279"/>
      <c r="Z47" s="1279"/>
      <c r="AA47" s="1279"/>
      <c r="AB47" s="1279"/>
      <c r="AC47" s="1296" t="s">
        <v>280</v>
      </c>
      <c r="AD47" s="1277"/>
      <c r="AE47" s="1277"/>
      <c r="AF47" s="1277"/>
      <c r="AG47" s="1277"/>
      <c r="AH47" s="1277"/>
      <c r="AI47" s="1277"/>
      <c r="AJ47" s="1277"/>
      <c r="AK47" s="1277"/>
      <c r="AL47" s="1277"/>
      <c r="AM47" s="1277"/>
      <c r="AN47" s="1278"/>
    </row>
    <row r="48" spans="2:40" x14ac:dyDescent="0.25">
      <c r="B48" s="1271"/>
      <c r="C48" s="1272"/>
      <c r="D48" s="285">
        <v>2018</v>
      </c>
      <c r="E48" s="1288">
        <v>2019</v>
      </c>
      <c r="F48" s="1289"/>
      <c r="G48" s="1289"/>
      <c r="H48" s="1290"/>
      <c r="I48" s="1288">
        <v>2020</v>
      </c>
      <c r="J48" s="1289"/>
      <c r="K48" s="1289"/>
      <c r="L48" s="1289"/>
      <c r="M48" s="1288">
        <v>2021</v>
      </c>
      <c r="N48" s="1289"/>
      <c r="O48" s="1289"/>
      <c r="P48" s="1289"/>
      <c r="Q48" s="1288">
        <v>2022</v>
      </c>
      <c r="R48" s="1300"/>
      <c r="S48" s="1300"/>
      <c r="T48" s="1290"/>
      <c r="U48" s="291"/>
      <c r="V48" s="431">
        <v>2023</v>
      </c>
      <c r="W48" s="431"/>
      <c r="X48" s="298"/>
      <c r="Y48" s="441"/>
      <c r="Z48" s="431">
        <v>2024</v>
      </c>
      <c r="AA48" s="431"/>
      <c r="AB48" s="298"/>
      <c r="AC48" s="1275">
        <v>2025</v>
      </c>
      <c r="AD48" s="1281"/>
      <c r="AE48" s="1281"/>
      <c r="AF48" s="1280"/>
      <c r="AG48" s="1275">
        <v>2026</v>
      </c>
      <c r="AH48" s="1281"/>
      <c r="AI48" s="1281"/>
      <c r="AJ48" s="1280"/>
      <c r="AK48" s="1275">
        <v>2027</v>
      </c>
      <c r="AL48" s="1281"/>
      <c r="AM48" s="1281"/>
      <c r="AN48" s="1280"/>
    </row>
    <row r="49" spans="2:40" x14ac:dyDescent="0.25">
      <c r="B49" s="1273"/>
      <c r="C49" s="1274"/>
      <c r="D49" s="214" t="s">
        <v>281</v>
      </c>
      <c r="E49" s="214" t="s">
        <v>282</v>
      </c>
      <c r="F49" s="215" t="s">
        <v>283</v>
      </c>
      <c r="G49" s="215" t="s">
        <v>238</v>
      </c>
      <c r="H49" s="221" t="s">
        <v>281</v>
      </c>
      <c r="I49" s="215" t="s">
        <v>282</v>
      </c>
      <c r="J49" s="215" t="s">
        <v>283</v>
      </c>
      <c r="K49" s="215" t="s">
        <v>238</v>
      </c>
      <c r="L49" s="215" t="s">
        <v>281</v>
      </c>
      <c r="M49" s="214" t="s">
        <v>282</v>
      </c>
      <c r="N49" s="215" t="s">
        <v>283</v>
      </c>
      <c r="O49" s="215" t="s">
        <v>238</v>
      </c>
      <c r="P49" s="215" t="s">
        <v>281</v>
      </c>
      <c r="Q49" s="214" t="s">
        <v>282</v>
      </c>
      <c r="R49" s="215" t="s">
        <v>283</v>
      </c>
      <c r="S49" s="215" t="s">
        <v>238</v>
      </c>
      <c r="T49" s="221" t="s">
        <v>281</v>
      </c>
      <c r="U49" s="215" t="s">
        <v>282</v>
      </c>
      <c r="V49" s="276" t="s">
        <v>283</v>
      </c>
      <c r="W49" s="276" t="s">
        <v>238</v>
      </c>
      <c r="X49" s="274" t="s">
        <v>281</v>
      </c>
      <c r="Y49" s="275" t="s">
        <v>282</v>
      </c>
      <c r="Z49" s="281" t="s">
        <v>283</v>
      </c>
      <c r="AA49" s="276" t="s">
        <v>238</v>
      </c>
      <c r="AB49" s="276" t="s">
        <v>281</v>
      </c>
      <c r="AC49" s="275" t="s">
        <v>282</v>
      </c>
      <c r="AD49" s="260" t="s">
        <v>283</v>
      </c>
      <c r="AE49" s="262" t="s">
        <v>238</v>
      </c>
      <c r="AF49" s="262" t="s">
        <v>281</v>
      </c>
      <c r="AG49" s="288" t="s">
        <v>282</v>
      </c>
      <c r="AH49" s="260" t="s">
        <v>283</v>
      </c>
      <c r="AI49" s="262" t="s">
        <v>238</v>
      </c>
      <c r="AJ49" s="290" t="s">
        <v>281</v>
      </c>
      <c r="AK49" s="288" t="s">
        <v>282</v>
      </c>
      <c r="AL49" s="260" t="s">
        <v>283</v>
      </c>
      <c r="AM49" s="262" t="s">
        <v>238</v>
      </c>
      <c r="AN49" s="290" t="s">
        <v>281</v>
      </c>
    </row>
    <row r="50" spans="2:40" x14ac:dyDescent="0.25">
      <c r="B50" s="548" t="s">
        <v>1428</v>
      </c>
      <c r="D50" s="249"/>
      <c r="E50" s="309"/>
      <c r="F50" s="309"/>
      <c r="G50" s="309"/>
      <c r="H50" s="309"/>
      <c r="I50" s="564">
        <f>(I51-AVERAGE($E51:$H51))</f>
        <v>6.9120000000000061</v>
      </c>
      <c r="J50" s="564">
        <f t="shared" ref="J50:N50" si="32">(J51-AVERAGE($E51:$H51))</f>
        <v>50.955000000000005</v>
      </c>
      <c r="K50" s="564">
        <f t="shared" si="32"/>
        <v>51.173999999999999</v>
      </c>
      <c r="L50" s="564">
        <f t="shared" si="32"/>
        <v>51.893999999999998</v>
      </c>
      <c r="M50" s="564">
        <f t="shared" si="32"/>
        <v>91.075000000000017</v>
      </c>
      <c r="N50" s="564">
        <f t="shared" si="32"/>
        <v>100.63400000000001</v>
      </c>
      <c r="O50" s="564">
        <f t="shared" ref="O50:U50" si="33">(O51-AVERAGE($E51:$H51))</f>
        <v>93.89100000000002</v>
      </c>
      <c r="P50" s="564">
        <f t="shared" si="33"/>
        <v>100.22800000000001</v>
      </c>
      <c r="Q50" s="564">
        <f t="shared" si="33"/>
        <v>76.838999999999999</v>
      </c>
      <c r="R50" s="564">
        <f t="shared" si="33"/>
        <v>73.637</v>
      </c>
      <c r="S50" s="565">
        <f t="shared" si="33"/>
        <v>70.649000000000001</v>
      </c>
      <c r="T50" s="555">
        <f t="shared" si="33"/>
        <v>91.718000000000018</v>
      </c>
      <c r="U50" s="565">
        <f t="shared" si="33"/>
        <v>83.695999999999998</v>
      </c>
      <c r="V50" s="565">
        <f t="shared" ref="V50:AC50" si="34">(V51-AVERAGE($E51:$H51))</f>
        <v>51.979000000000006</v>
      </c>
      <c r="W50" s="565">
        <f t="shared" si="34"/>
        <v>51.58400000000001</v>
      </c>
      <c r="X50" s="565">
        <f t="shared" si="34"/>
        <v>38.777999999999999</v>
      </c>
      <c r="Y50" s="565">
        <f t="shared" si="34"/>
        <v>37.295999999999999</v>
      </c>
      <c r="Z50" s="565">
        <f t="shared" si="34"/>
        <v>41.408000000000008</v>
      </c>
      <c r="AA50" s="565">
        <f t="shared" si="34"/>
        <v>48.07800000000001</v>
      </c>
      <c r="AB50" s="565">
        <f t="shared" si="34"/>
        <v>43.804000000000009</v>
      </c>
      <c r="AC50" s="565">
        <f t="shared" si="34"/>
        <v>40.729000000000006</v>
      </c>
      <c r="AD50" s="702">
        <f t="shared" ref="AD50" si="35">AC50</f>
        <v>40.729000000000006</v>
      </c>
      <c r="AE50" s="702">
        <f t="shared" ref="AE50" si="36">AD50</f>
        <v>40.729000000000006</v>
      </c>
      <c r="AF50" s="702">
        <f t="shared" ref="AF50" si="37">AE50</f>
        <v>40.729000000000006</v>
      </c>
      <c r="AG50" s="653">
        <f t="shared" ref="AG50" si="38">AF50</f>
        <v>40.729000000000006</v>
      </c>
      <c r="AH50" s="653">
        <f>AG50</f>
        <v>40.729000000000006</v>
      </c>
      <c r="AI50" s="653">
        <f t="shared" ref="AI50" si="39">AH50</f>
        <v>40.729000000000006</v>
      </c>
      <c r="AJ50" s="653">
        <f>AI50</f>
        <v>40.729000000000006</v>
      </c>
      <c r="AK50" s="653">
        <f t="shared" ref="AK50:AN50" si="40">AJ50</f>
        <v>40.729000000000006</v>
      </c>
      <c r="AL50" s="653">
        <f t="shared" si="40"/>
        <v>40.729000000000006</v>
      </c>
      <c r="AM50" s="653">
        <f t="shared" si="40"/>
        <v>40.729000000000006</v>
      </c>
      <c r="AN50" s="653">
        <f t="shared" si="40"/>
        <v>40.729000000000006</v>
      </c>
    </row>
    <row r="51" spans="2:40" x14ac:dyDescent="0.25">
      <c r="B51" s="548" t="s">
        <v>160</v>
      </c>
      <c r="C51" s="238" t="s">
        <v>477</v>
      </c>
      <c r="D51" s="265">
        <f>'Haver Pivoted'!GO66</f>
        <v>57.017000000000003</v>
      </c>
      <c r="E51" s="222">
        <f>'Haver Pivoted'!GP66</f>
        <v>55.875</v>
      </c>
      <c r="F51" s="222">
        <f>'Haver Pivoted'!GQ66</f>
        <v>54.335999999999999</v>
      </c>
      <c r="G51" s="222">
        <f>'Haver Pivoted'!GR66</f>
        <v>54.345999999999997</v>
      </c>
      <c r="H51" s="222">
        <f>'Haver Pivoted'!GS66</f>
        <v>54.290999999999997</v>
      </c>
      <c r="I51" s="222">
        <f>'Haver Pivoted'!GT66</f>
        <v>61.624000000000002</v>
      </c>
      <c r="J51" s="222">
        <f>'Haver Pivoted'!GU66</f>
        <v>105.667</v>
      </c>
      <c r="K51" s="222">
        <f>'Haver Pivoted'!GV66</f>
        <v>105.886</v>
      </c>
      <c r="L51" s="222">
        <f>'Haver Pivoted'!GW66</f>
        <v>106.60599999999999</v>
      </c>
      <c r="M51" s="222">
        <f>'Haver Pivoted'!GX66</f>
        <v>145.78700000000001</v>
      </c>
      <c r="N51" s="222">
        <f>'Haver Pivoted'!GY66</f>
        <v>155.346</v>
      </c>
      <c r="O51" s="222">
        <f>'Haver Pivoted'!GZ66</f>
        <v>148.60300000000001</v>
      </c>
      <c r="P51" s="222">
        <f>'Haver Pivoted'!HA66</f>
        <v>154.94</v>
      </c>
      <c r="Q51" s="222">
        <f>'Haver Pivoted'!HB66</f>
        <v>131.55099999999999</v>
      </c>
      <c r="R51" s="222">
        <f>'Haver Pivoted'!HC66</f>
        <v>128.34899999999999</v>
      </c>
      <c r="S51" s="215">
        <f>'Haver Pivoted'!HD66</f>
        <v>125.361</v>
      </c>
      <c r="T51" s="215">
        <f>'Haver Pivoted'!HE66</f>
        <v>146.43</v>
      </c>
      <c r="U51" s="215">
        <f>'Haver Pivoted'!HF66</f>
        <v>138.40799999999999</v>
      </c>
      <c r="V51" s="215">
        <f>'Haver Pivoted'!HG66</f>
        <v>106.691</v>
      </c>
      <c r="W51" s="215">
        <f>'Haver Pivoted'!HH66</f>
        <v>106.29600000000001</v>
      </c>
      <c r="X51" s="215">
        <f>'Haver Pivoted'!HI66</f>
        <v>93.49</v>
      </c>
      <c r="Y51" s="215">
        <f>'Haver Pivoted'!HJ66</f>
        <v>92.007999999999996</v>
      </c>
      <c r="Z51" s="215">
        <f>'Haver Pivoted'!HK66</f>
        <v>96.12</v>
      </c>
      <c r="AA51" s="215">
        <f>'Haver Pivoted'!HL66</f>
        <v>102.79</v>
      </c>
      <c r="AB51" s="215">
        <f>'Haver Pivoted'!HM66</f>
        <v>98.516000000000005</v>
      </c>
      <c r="AC51" s="215">
        <f>'Haver Pivoted'!HN66</f>
        <v>95.441000000000003</v>
      </c>
      <c r="AD51" s="218"/>
      <c r="AE51" s="218"/>
      <c r="AF51" s="218"/>
      <c r="AG51" s="218"/>
      <c r="AH51" s="218"/>
      <c r="AI51" s="218"/>
      <c r="AJ51" s="218"/>
      <c r="AK51" s="218"/>
      <c r="AL51" s="218"/>
      <c r="AM51" s="218"/>
      <c r="AN51" s="218"/>
    </row>
    <row r="52" spans="2:40" ht="29.1" customHeight="1" x14ac:dyDescent="0.25">
      <c r="B52" s="547" t="s">
        <v>478</v>
      </c>
      <c r="C52" s="359"/>
      <c r="D52" s="699"/>
      <c r="E52" s="542"/>
      <c r="F52" s="542"/>
      <c r="G52" s="542"/>
      <c r="H52" s="542"/>
      <c r="I52" s="542"/>
      <c r="J52" s="542">
        <f t="shared" ref="J52:W52" si="41">J51-$H51</f>
        <v>51.376000000000005</v>
      </c>
      <c r="K52" s="542">
        <f t="shared" si="41"/>
        <v>51.594999999999999</v>
      </c>
      <c r="L52" s="542">
        <f t="shared" si="41"/>
        <v>52.314999999999998</v>
      </c>
      <c r="M52" s="542">
        <f t="shared" si="41"/>
        <v>91.496000000000009</v>
      </c>
      <c r="N52" s="542">
        <f>N51-$H51</f>
        <v>101.05500000000001</v>
      </c>
      <c r="O52" s="542">
        <f>O51-$H51</f>
        <v>94.312000000000012</v>
      </c>
      <c r="P52" s="542">
        <f t="shared" si="41"/>
        <v>100.649</v>
      </c>
      <c r="Q52" s="542">
        <f t="shared" si="41"/>
        <v>77.259999999999991</v>
      </c>
      <c r="R52" s="542">
        <f t="shared" si="41"/>
        <v>74.057999999999993</v>
      </c>
      <c r="S52" s="276">
        <f t="shared" si="41"/>
        <v>71.070000000000007</v>
      </c>
      <c r="T52" s="276">
        <f t="shared" si="41"/>
        <v>92.13900000000001</v>
      </c>
      <c r="U52" s="276">
        <f t="shared" si="41"/>
        <v>84.11699999999999</v>
      </c>
      <c r="V52" s="276">
        <f t="shared" si="41"/>
        <v>52.400000000000006</v>
      </c>
      <c r="W52" s="276">
        <f t="shared" si="41"/>
        <v>52.00500000000001</v>
      </c>
      <c r="X52" s="276">
        <f t="shared" ref="X52:Y52" si="42">X51-$H51</f>
        <v>39.198999999999998</v>
      </c>
      <c r="Y52" s="276">
        <f t="shared" si="42"/>
        <v>37.716999999999999</v>
      </c>
      <c r="Z52" s="276">
        <f t="shared" ref="Z52" si="43">Z51-$H51</f>
        <v>41.829000000000008</v>
      </c>
      <c r="AA52" s="276">
        <f t="shared" ref="AA52" si="44">AA51-$H51</f>
        <v>48.499000000000009</v>
      </c>
      <c r="AB52" s="276">
        <f t="shared" ref="AB52:AC52" si="45">AB51-$H51</f>
        <v>44.225000000000009</v>
      </c>
      <c r="AC52" s="276">
        <f t="shared" si="45"/>
        <v>41.150000000000006</v>
      </c>
      <c r="AD52" s="652"/>
      <c r="AE52" s="652"/>
      <c r="AF52" s="652"/>
      <c r="AG52" s="652"/>
      <c r="AH52" s="652"/>
      <c r="AI52" s="652"/>
      <c r="AJ52" s="652"/>
      <c r="AK52" s="652"/>
      <c r="AL52" s="652"/>
      <c r="AM52" s="652"/>
      <c r="AN52" s="652"/>
    </row>
    <row r="53" spans="2:40" ht="29.1" customHeight="1" x14ac:dyDescent="0.25">
      <c r="B53" s="238"/>
      <c r="C53" s="238"/>
      <c r="D53" s="222"/>
      <c r="E53" s="222"/>
      <c r="F53" s="222"/>
      <c r="G53" s="222"/>
      <c r="H53" s="222"/>
      <c r="I53" s="222"/>
      <c r="J53" s="222"/>
      <c r="K53" s="222"/>
      <c r="L53" s="222"/>
      <c r="M53" s="222"/>
      <c r="N53" s="222"/>
      <c r="O53" s="222"/>
      <c r="P53" s="222"/>
      <c r="Q53" s="222"/>
      <c r="R53" s="222"/>
      <c r="S53" s="222"/>
      <c r="T53" s="222"/>
      <c r="U53" s="222"/>
      <c r="V53" s="222"/>
      <c r="W53" s="222"/>
      <c r="X53" s="222"/>
      <c r="Y53" s="222"/>
      <c r="Z53" s="222"/>
      <c r="AA53" s="222"/>
      <c r="AB53" s="222"/>
      <c r="AC53" s="222"/>
    </row>
    <row r="54" spans="2:40" ht="29.1" customHeight="1" x14ac:dyDescent="0.25">
      <c r="B54" s="238"/>
      <c r="C54" s="238"/>
      <c r="D54" s="222"/>
      <c r="E54" s="222"/>
      <c r="F54" s="222"/>
      <c r="G54" s="222"/>
      <c r="H54" s="222"/>
      <c r="I54" s="222"/>
      <c r="J54" s="222"/>
      <c r="K54" s="222"/>
      <c r="L54" s="222"/>
      <c r="M54" s="222"/>
      <c r="N54" s="222"/>
      <c r="O54" s="222"/>
      <c r="P54" s="222"/>
      <c r="Q54" s="222"/>
      <c r="R54" s="222"/>
      <c r="S54" s="222"/>
      <c r="T54" s="222"/>
      <c r="U54" s="222"/>
      <c r="V54" s="222"/>
      <c r="W54" s="222"/>
      <c r="X54" s="222"/>
      <c r="Y54" s="222"/>
      <c r="Z54" s="222"/>
      <c r="AA54" s="222"/>
      <c r="AB54" s="222"/>
      <c r="AC54" s="222"/>
    </row>
    <row r="55" spans="2:40" ht="29.1" customHeight="1" x14ac:dyDescent="0.25">
      <c r="B55" s="238"/>
      <c r="C55" s="238"/>
      <c r="D55" s="222"/>
      <c r="E55" s="222"/>
      <c r="F55" s="222"/>
      <c r="G55" s="222"/>
      <c r="H55" s="222"/>
      <c r="I55" s="222"/>
      <c r="J55" s="222"/>
      <c r="K55" s="222"/>
      <c r="L55" s="222"/>
      <c r="M55" s="222"/>
      <c r="N55" s="222"/>
      <c r="O55" s="222"/>
      <c r="P55" s="222"/>
      <c r="Q55" s="222"/>
      <c r="R55" s="222"/>
      <c r="S55" s="222"/>
      <c r="T55" s="222"/>
      <c r="U55" s="222"/>
      <c r="V55" s="222"/>
      <c r="W55" s="222"/>
      <c r="X55" s="222"/>
      <c r="Y55" s="222"/>
      <c r="Z55" s="222"/>
      <c r="AA55" s="222"/>
      <c r="AB55" s="222"/>
      <c r="AC55" s="222"/>
    </row>
    <row r="56" spans="2:40" ht="35.85" customHeight="1" x14ac:dyDescent="0.25"/>
    <row r="57" spans="2:40" x14ac:dyDescent="0.25">
      <c r="B57" s="511" t="s">
        <v>364</v>
      </c>
    </row>
    <row r="58" spans="2:40" x14ac:dyDescent="0.25">
      <c r="B58" s="1354" t="s">
        <v>802</v>
      </c>
      <c r="C58" s="1355"/>
      <c r="D58" s="1279" t="s">
        <v>279</v>
      </c>
      <c r="E58" s="1279"/>
      <c r="F58" s="1279"/>
      <c r="G58" s="1279"/>
      <c r="H58" s="1279"/>
      <c r="I58" s="1279"/>
      <c r="J58" s="1279"/>
      <c r="K58" s="1279"/>
      <c r="L58" s="1279"/>
      <c r="M58" s="1279"/>
      <c r="N58" s="1279"/>
      <c r="O58" s="1279"/>
      <c r="P58" s="1279"/>
      <c r="Q58" s="1279"/>
      <c r="R58" s="1279"/>
      <c r="S58" s="1279"/>
      <c r="T58" s="1279"/>
      <c r="U58" s="1279"/>
      <c r="V58" s="1279"/>
      <c r="W58" s="1279"/>
      <c r="X58" s="1279"/>
      <c r="Y58" s="1279"/>
      <c r="Z58" s="1279"/>
      <c r="AA58" s="1279"/>
      <c r="AB58" s="1279"/>
      <c r="AC58" s="1296" t="s">
        <v>280</v>
      </c>
      <c r="AD58" s="1277"/>
      <c r="AE58" s="1277"/>
      <c r="AF58" s="1277"/>
      <c r="AG58" s="1277"/>
      <c r="AH58" s="1277"/>
      <c r="AI58" s="1277"/>
      <c r="AJ58" s="1277"/>
      <c r="AK58" s="1277"/>
      <c r="AL58" s="1277"/>
      <c r="AM58" s="1277"/>
      <c r="AN58" s="1278"/>
    </row>
    <row r="59" spans="2:40" x14ac:dyDescent="0.25">
      <c r="B59" s="1356"/>
      <c r="C59" s="1357"/>
      <c r="D59" s="285">
        <v>2018</v>
      </c>
      <c r="E59" s="1288">
        <v>2019</v>
      </c>
      <c r="F59" s="1289"/>
      <c r="G59" s="1289"/>
      <c r="H59" s="1290"/>
      <c r="I59" s="1288">
        <v>2020</v>
      </c>
      <c r="J59" s="1289"/>
      <c r="K59" s="1289"/>
      <c r="L59" s="1289"/>
      <c r="M59" s="1288">
        <v>2021</v>
      </c>
      <c r="N59" s="1289"/>
      <c r="O59" s="1289"/>
      <c r="P59" s="1289"/>
      <c r="Q59" s="1288">
        <v>2022</v>
      </c>
      <c r="R59" s="1300"/>
      <c r="S59" s="1300"/>
      <c r="T59" s="1290"/>
      <c r="U59" s="291"/>
      <c r="V59" s="431">
        <v>2023</v>
      </c>
      <c r="W59" s="431"/>
      <c r="X59" s="298"/>
      <c r="Y59" s="441"/>
      <c r="Z59" s="431">
        <v>2024</v>
      </c>
      <c r="AA59" s="291"/>
      <c r="AB59" s="298"/>
      <c r="AC59" s="1275">
        <v>2025</v>
      </c>
      <c r="AD59" s="1281"/>
      <c r="AE59" s="1281"/>
      <c r="AF59" s="1280"/>
      <c r="AG59" s="1275">
        <v>2026</v>
      </c>
      <c r="AH59" s="1281"/>
      <c r="AI59" s="1281"/>
      <c r="AJ59" s="1280"/>
      <c r="AK59" s="1275">
        <v>2027</v>
      </c>
      <c r="AL59" s="1281"/>
      <c r="AM59" s="1281"/>
      <c r="AN59" s="1280"/>
    </row>
    <row r="60" spans="2:40" x14ac:dyDescent="0.25">
      <c r="B60" s="1356"/>
      <c r="C60" s="1357"/>
      <c r="D60" s="214" t="s">
        <v>281</v>
      </c>
      <c r="E60" s="214" t="s">
        <v>282</v>
      </c>
      <c r="F60" s="215" t="s">
        <v>283</v>
      </c>
      <c r="G60" s="215" t="s">
        <v>238</v>
      </c>
      <c r="H60" s="221" t="s">
        <v>281</v>
      </c>
      <c r="I60" s="215" t="s">
        <v>282</v>
      </c>
      <c r="J60" s="215" t="s">
        <v>283</v>
      </c>
      <c r="K60" s="215" t="s">
        <v>238</v>
      </c>
      <c r="L60" s="215" t="s">
        <v>281</v>
      </c>
      <c r="M60" s="214" t="s">
        <v>282</v>
      </c>
      <c r="N60" s="215" t="s">
        <v>283</v>
      </c>
      <c r="O60" s="215" t="s">
        <v>238</v>
      </c>
      <c r="P60" s="215" t="s">
        <v>281</v>
      </c>
      <c r="Q60" s="214" t="s">
        <v>282</v>
      </c>
      <c r="R60" s="215" t="s">
        <v>283</v>
      </c>
      <c r="S60" s="215" t="s">
        <v>238</v>
      </c>
      <c r="T60" s="221" t="s">
        <v>281</v>
      </c>
      <c r="U60" s="215" t="s">
        <v>282</v>
      </c>
      <c r="V60" s="276" t="s">
        <v>283</v>
      </c>
      <c r="W60" s="276" t="s">
        <v>238</v>
      </c>
      <c r="X60" s="274" t="s">
        <v>281</v>
      </c>
      <c r="Y60" s="275" t="s">
        <v>282</v>
      </c>
      <c r="Z60" s="281" t="s">
        <v>283</v>
      </c>
      <c r="AA60" s="276" t="s">
        <v>238</v>
      </c>
      <c r="AB60" s="276" t="s">
        <v>281</v>
      </c>
      <c r="AC60" s="275" t="s">
        <v>282</v>
      </c>
      <c r="AD60" s="260" t="s">
        <v>283</v>
      </c>
      <c r="AE60" s="262" t="s">
        <v>238</v>
      </c>
      <c r="AF60" s="262" t="s">
        <v>281</v>
      </c>
      <c r="AG60" s="288" t="s">
        <v>282</v>
      </c>
      <c r="AH60" s="260" t="s">
        <v>283</v>
      </c>
      <c r="AI60" s="262" t="s">
        <v>238</v>
      </c>
      <c r="AJ60" s="290" t="s">
        <v>281</v>
      </c>
      <c r="AK60" s="288" t="s">
        <v>282</v>
      </c>
      <c r="AL60" s="260" t="s">
        <v>283</v>
      </c>
      <c r="AM60" s="262" t="s">
        <v>238</v>
      </c>
      <c r="AN60" s="290" t="s">
        <v>281</v>
      </c>
    </row>
    <row r="61" spans="2:40" ht="25.7" customHeight="1" x14ac:dyDescent="0.25">
      <c r="B61" s="666" t="s">
        <v>465</v>
      </c>
      <c r="C61" s="543" t="s">
        <v>466</v>
      </c>
      <c r="D61" s="366">
        <f>'Haver Pivoted'!GO31</f>
        <v>2223</v>
      </c>
      <c r="E61" s="367">
        <f>'Haver Pivoted'!GP31</f>
        <v>2303.8000000000002</v>
      </c>
      <c r="F61" s="367">
        <f>'Haver Pivoted'!GQ31</f>
        <v>2321.6999999999998</v>
      </c>
      <c r="G61" s="367">
        <f>'Haver Pivoted'!GR31</f>
        <v>2337.1</v>
      </c>
      <c r="H61" s="367">
        <f>'Haver Pivoted'!GS31</f>
        <v>2349.5</v>
      </c>
      <c r="I61" s="367">
        <f>'Haver Pivoted'!GT31</f>
        <v>2414.4</v>
      </c>
      <c r="J61" s="367">
        <f>'Haver Pivoted'!GU31</f>
        <v>4654.1000000000004</v>
      </c>
      <c r="K61" s="367">
        <f>'Haver Pivoted'!GV31</f>
        <v>3504.7</v>
      </c>
      <c r="L61" s="367">
        <f>'Haver Pivoted'!GW31</f>
        <v>2888.4</v>
      </c>
      <c r="M61" s="367">
        <f>'Haver Pivoted'!GX31</f>
        <v>5138.1000000000004</v>
      </c>
      <c r="N61" s="367">
        <f>'Haver Pivoted'!GY31</f>
        <v>3397.8</v>
      </c>
      <c r="O61" s="367">
        <f>'Haver Pivoted'!GZ31</f>
        <v>3124.9</v>
      </c>
      <c r="P61" s="367">
        <f>'Haver Pivoted'!HA31</f>
        <v>2952.6</v>
      </c>
      <c r="Q61" s="367">
        <f>'Haver Pivoted'!HB31</f>
        <v>2970.9</v>
      </c>
      <c r="R61" s="367">
        <f>'Haver Pivoted'!HC31</f>
        <v>2976.2</v>
      </c>
      <c r="S61" s="368">
        <f>'Haver Pivoted'!HD31</f>
        <v>2970.4</v>
      </c>
      <c r="T61" s="674">
        <f>'Haver Pivoted'!HE31</f>
        <v>3024.4</v>
      </c>
      <c r="U61" s="368">
        <f>'Haver Pivoted'!HF31</f>
        <v>3038.4</v>
      </c>
      <c r="V61" s="368">
        <f>'Haver Pivoted'!HG31</f>
        <v>3049.1</v>
      </c>
      <c r="W61" s="368">
        <f>'Haver Pivoted'!HH31</f>
        <v>3078</v>
      </c>
      <c r="X61" s="368">
        <f>'Haver Pivoted'!HI31</f>
        <v>3095.6</v>
      </c>
      <c r="Y61" s="368">
        <f>'Haver Pivoted'!HJ31</f>
        <v>3201.1</v>
      </c>
      <c r="Z61" s="368">
        <f>'Haver Pivoted'!HK31</f>
        <v>3243.1</v>
      </c>
      <c r="AA61" s="368">
        <f>'Haver Pivoted'!HL31</f>
        <v>3283.8</v>
      </c>
      <c r="AB61" s="368">
        <f>'Haver Pivoted'!HM31</f>
        <v>3328.6</v>
      </c>
      <c r="AC61" s="368">
        <f>'Haver Pivoted'!HN31</f>
        <v>3435.7</v>
      </c>
      <c r="AD61" s="704"/>
      <c r="AE61" s="704"/>
      <c r="AF61" s="704"/>
      <c r="AG61" s="218"/>
      <c r="AH61" s="218"/>
      <c r="AI61" s="218"/>
      <c r="AJ61" s="218"/>
      <c r="AK61" s="218"/>
      <c r="AL61" s="218"/>
      <c r="AM61" s="218"/>
      <c r="AN61" s="218"/>
    </row>
    <row r="62" spans="2:40" ht="25.7" customHeight="1" x14ac:dyDescent="0.25">
      <c r="B62" s="476" t="s">
        <v>1841</v>
      </c>
      <c r="C62" s="238"/>
      <c r="D62" s="697">
        <f>D63+D64</f>
        <v>812.1</v>
      </c>
      <c r="E62" s="444">
        <f>E63+E64</f>
        <v>833.1</v>
      </c>
      <c r="F62" s="444">
        <f>F63+F64</f>
        <v>845.8</v>
      </c>
      <c r="G62" s="444">
        <f t="shared" ref="G62:N62" si="46">G63+G64</f>
        <v>854.4</v>
      </c>
      <c r="H62" s="444">
        <f t="shared" si="46"/>
        <v>858.7</v>
      </c>
      <c r="I62" s="444">
        <f t="shared" si="46"/>
        <v>878.91200000000003</v>
      </c>
      <c r="J62" s="444">
        <f t="shared" si="46"/>
        <v>3142.9549999999999</v>
      </c>
      <c r="K62" s="444">
        <f t="shared" si="46"/>
        <v>1863.174</v>
      </c>
      <c r="L62" s="444">
        <f t="shared" si="46"/>
        <v>1307.4940000000001</v>
      </c>
      <c r="M62" s="444">
        <f t="shared" si="46"/>
        <v>3530.9749999999999</v>
      </c>
      <c r="N62" s="444">
        <f t="shared" si="46"/>
        <v>1812.8558400000002</v>
      </c>
      <c r="O62" s="444">
        <f>O63+O64</f>
        <v>1537.1944933333332</v>
      </c>
      <c r="P62" s="444">
        <f t="shared" ref="P62" si="47">P63+P64</f>
        <v>1378.037333333333</v>
      </c>
      <c r="Q62" s="444">
        <f t="shared" ref="Q62" si="48">Q63+Q64</f>
        <v>1212.615</v>
      </c>
      <c r="R62" s="444">
        <f t="shared" ref="R62" si="49">R63+R64</f>
        <v>1208.7130000000002</v>
      </c>
      <c r="S62" s="670">
        <f>S63+S64</f>
        <v>1205.403</v>
      </c>
      <c r="T62" s="670">
        <f t="shared" ref="T62" si="50">T63+T64</f>
        <v>1228.624</v>
      </c>
      <c r="U62" s="670">
        <f t="shared" ref="U62" si="51">U63+U64</f>
        <v>1164.202</v>
      </c>
      <c r="V62" s="670">
        <f t="shared" ref="V62:AA62" si="52">V63+V64</f>
        <v>1154.0450000000001</v>
      </c>
      <c r="W62" s="670">
        <f t="shared" si="52"/>
        <v>1171.75</v>
      </c>
      <c r="X62" s="670">
        <f t="shared" si="52"/>
        <v>1164.5179999999998</v>
      </c>
      <c r="Y62" s="670">
        <f t="shared" si="52"/>
        <v>1176.5360000000001</v>
      </c>
      <c r="Z62" s="670">
        <f t="shared" si="52"/>
        <v>1198.548</v>
      </c>
      <c r="AA62" s="670">
        <f t="shared" si="52"/>
        <v>1229.1180000000002</v>
      </c>
      <c r="AB62" s="670">
        <f t="shared" ref="AB62:AC62" si="53">AB63+AB64</f>
        <v>1253.3729999999998</v>
      </c>
      <c r="AC62" s="670">
        <f t="shared" si="53"/>
        <v>1281.798</v>
      </c>
      <c r="AD62" s="654"/>
      <c r="AE62" s="654"/>
      <c r="AF62" s="654"/>
      <c r="AG62" s="218"/>
      <c r="AH62" s="218"/>
      <c r="AI62" s="218"/>
      <c r="AJ62" s="218"/>
      <c r="AK62" s="218"/>
      <c r="AL62" s="218"/>
      <c r="AM62" s="218"/>
      <c r="AN62" s="218"/>
    </row>
    <row r="63" spans="2:40" ht="25.7" customHeight="1" x14ac:dyDescent="0.25">
      <c r="B63" s="421" t="s">
        <v>1839</v>
      </c>
      <c r="C63" s="238"/>
      <c r="D63" s="697">
        <f t="shared" ref="D63:Y63" si="54">D14+D17+D27</f>
        <v>812.1</v>
      </c>
      <c r="E63" s="697">
        <f t="shared" si="54"/>
        <v>833.1</v>
      </c>
      <c r="F63" s="444">
        <f t="shared" si="54"/>
        <v>845.8</v>
      </c>
      <c r="G63" s="444">
        <f t="shared" si="54"/>
        <v>854.4</v>
      </c>
      <c r="H63" s="444">
        <f t="shared" si="54"/>
        <v>858.7</v>
      </c>
      <c r="I63" s="444">
        <f t="shared" si="54"/>
        <v>872</v>
      </c>
      <c r="J63" s="444">
        <f t="shared" si="54"/>
        <v>1795.8</v>
      </c>
      <c r="K63" s="444">
        <f t="shared" si="54"/>
        <v>1656.8</v>
      </c>
      <c r="L63" s="444">
        <f t="shared" si="54"/>
        <v>1191.7</v>
      </c>
      <c r="M63" s="444">
        <f t="shared" si="54"/>
        <v>1473.1</v>
      </c>
      <c r="N63" s="444">
        <f t="shared" si="54"/>
        <v>1346.4</v>
      </c>
      <c r="O63" s="444">
        <f t="shared" si="54"/>
        <v>1318.833333333333</v>
      </c>
      <c r="P63" s="444">
        <f t="shared" si="54"/>
        <v>1157.333333333333</v>
      </c>
      <c r="Q63" s="444">
        <f t="shared" si="54"/>
        <v>1036.4000000000001</v>
      </c>
      <c r="R63" s="444">
        <f t="shared" si="54"/>
        <v>1042.6000000000001</v>
      </c>
      <c r="S63" s="670">
        <f t="shared" si="54"/>
        <v>1054.8</v>
      </c>
      <c r="T63" s="670">
        <f t="shared" si="54"/>
        <v>1078.7</v>
      </c>
      <c r="U63" s="670">
        <f t="shared" si="54"/>
        <v>1045.2</v>
      </c>
      <c r="V63" s="670">
        <f t="shared" si="54"/>
        <v>1066.76</v>
      </c>
      <c r="W63" s="670">
        <f t="shared" si="54"/>
        <v>1084.8599999999999</v>
      </c>
      <c r="X63" s="670">
        <f t="shared" si="54"/>
        <v>1104.5999999999999</v>
      </c>
      <c r="Y63" s="670">
        <f t="shared" si="54"/>
        <v>1118.1000000000001</v>
      </c>
      <c r="Z63" s="670">
        <f t="shared" ref="Z63" si="55">Z14+Z17+Z27</f>
        <v>1136</v>
      </c>
      <c r="AA63" s="670">
        <f t="shared" ref="AA63:AB63" si="56">AA14+AA17+AA27</f>
        <v>1159.9000000000001</v>
      </c>
      <c r="AB63" s="670">
        <f t="shared" si="56"/>
        <v>1188.5999999999999</v>
      </c>
      <c r="AC63" s="670">
        <f t="shared" ref="AC63" si="57">AC14+AC17+AC27</f>
        <v>1220.0999999999999</v>
      </c>
      <c r="AD63" s="654"/>
      <c r="AE63" s="654"/>
      <c r="AF63" s="654"/>
      <c r="AG63" s="654"/>
      <c r="AH63" s="654"/>
      <c r="AI63" s="654"/>
      <c r="AJ63" s="654"/>
      <c r="AK63" s="654"/>
      <c r="AL63" s="654"/>
      <c r="AM63" s="654"/>
      <c r="AN63" s="654"/>
    </row>
    <row r="64" spans="2:40" ht="36" customHeight="1" x14ac:dyDescent="0.25">
      <c r="B64" s="421" t="s">
        <v>1840</v>
      </c>
      <c r="C64" s="238"/>
      <c r="D64" s="444">
        <f t="shared" ref="D64:AF64" si="58">D18+D21+D24+D25+D26+D28+D32</f>
        <v>0</v>
      </c>
      <c r="E64" s="444">
        <f t="shared" si="58"/>
        <v>0</v>
      </c>
      <c r="F64" s="444">
        <f t="shared" si="58"/>
        <v>0</v>
      </c>
      <c r="G64" s="444">
        <f t="shared" si="58"/>
        <v>0</v>
      </c>
      <c r="H64" s="444">
        <f t="shared" si="58"/>
        <v>0</v>
      </c>
      <c r="I64" s="444">
        <f t="shared" si="58"/>
        <v>6.9120000000000061</v>
      </c>
      <c r="J64" s="444">
        <f t="shared" si="58"/>
        <v>1347.155</v>
      </c>
      <c r="K64" s="444">
        <f t="shared" si="58"/>
        <v>206.37400000000002</v>
      </c>
      <c r="L64" s="444">
        <f t="shared" si="58"/>
        <v>115.79400000000001</v>
      </c>
      <c r="M64" s="444">
        <f t="shared" si="58"/>
        <v>2057.875</v>
      </c>
      <c r="N64" s="444">
        <f t="shared" si="58"/>
        <v>466.45584000000008</v>
      </c>
      <c r="O64" s="444">
        <f t="shared" si="58"/>
        <v>218.3611600000001</v>
      </c>
      <c r="P64" s="444">
        <f t="shared" si="58"/>
        <v>220.70400000000004</v>
      </c>
      <c r="Q64" s="444">
        <f t="shared" si="58"/>
        <v>176.215</v>
      </c>
      <c r="R64" s="444">
        <f t="shared" si="58"/>
        <v>166.113</v>
      </c>
      <c r="S64" s="444">
        <f t="shared" si="58"/>
        <v>150.60300000000001</v>
      </c>
      <c r="T64" s="444">
        <f t="shared" si="58"/>
        <v>149.92400000000004</v>
      </c>
      <c r="U64" s="444">
        <f t="shared" si="58"/>
        <v>119.002</v>
      </c>
      <c r="V64" s="444">
        <f t="shared" si="58"/>
        <v>87.285000000000011</v>
      </c>
      <c r="W64" s="444">
        <f t="shared" si="58"/>
        <v>86.890000000000015</v>
      </c>
      <c r="X64" s="654">
        <f t="shared" si="58"/>
        <v>59.917999999999999</v>
      </c>
      <c r="Y64" s="654">
        <f t="shared" si="58"/>
        <v>58.436</v>
      </c>
      <c r="Z64" s="654">
        <f t="shared" si="58"/>
        <v>62.548000000000009</v>
      </c>
      <c r="AA64" s="654">
        <f t="shared" si="58"/>
        <v>69.218000000000018</v>
      </c>
      <c r="AB64" s="654">
        <f>AB18+AB21+AB24+AB25+AB26+AB28+AB32</f>
        <v>64.77300000000001</v>
      </c>
      <c r="AC64" s="654">
        <f t="shared" si="58"/>
        <v>61.698000000000008</v>
      </c>
      <c r="AD64" s="654">
        <f t="shared" si="58"/>
        <v>61.698000000000008</v>
      </c>
      <c r="AE64" s="654">
        <f t="shared" si="58"/>
        <v>61.698000000000008</v>
      </c>
      <c r="AF64" s="654">
        <f t="shared" si="58"/>
        <v>43.618000000000009</v>
      </c>
      <c r="AG64" s="654">
        <f>AG18+AG21+AG24+AG25+AG26+AG28+AG32</f>
        <v>41.457000000000008</v>
      </c>
      <c r="AH64" s="654">
        <f t="shared" ref="AH64:AI64" si="59">AH18+AH21+AH24+AH25+AH26+AH28+AH32</f>
        <v>40.729000000000006</v>
      </c>
      <c r="AI64" s="654">
        <f t="shared" si="59"/>
        <v>40.729000000000006</v>
      </c>
      <c r="AJ64" s="654">
        <f>AJ18+AJ21+AJ24+AJ25+AJ26+AJ28+AJ32</f>
        <v>40.729000000000006</v>
      </c>
      <c r="AK64" s="654">
        <f t="shared" ref="AK64:AN64" si="60">AK18+AK21+AK24+AK25+AK26+AK28+AK32</f>
        <v>40.729000000000006</v>
      </c>
      <c r="AL64" s="654">
        <f t="shared" si="60"/>
        <v>40.729000000000006</v>
      </c>
      <c r="AM64" s="654">
        <f t="shared" si="60"/>
        <v>40.729000000000006</v>
      </c>
      <c r="AN64" s="654">
        <f t="shared" si="60"/>
        <v>40.729000000000006</v>
      </c>
    </row>
    <row r="65" spans="2:40" ht="25.7" customHeight="1" x14ac:dyDescent="0.25">
      <c r="B65" s="476" t="s">
        <v>799</v>
      </c>
      <c r="C65" s="238"/>
      <c r="D65" s="670">
        <f t="shared" ref="D65:U65" si="61">D61-D62</f>
        <v>1410.9</v>
      </c>
      <c r="E65" s="670">
        <f t="shared" si="61"/>
        <v>1470.7000000000003</v>
      </c>
      <c r="F65" s="670">
        <f t="shared" si="61"/>
        <v>1475.8999999999999</v>
      </c>
      <c r="G65" s="670">
        <f t="shared" si="61"/>
        <v>1482.6999999999998</v>
      </c>
      <c r="H65" s="670">
        <f t="shared" si="61"/>
        <v>1490.8</v>
      </c>
      <c r="I65" s="670">
        <f t="shared" si="61"/>
        <v>1535.4880000000001</v>
      </c>
      <c r="J65" s="670">
        <f t="shared" si="61"/>
        <v>1511.1450000000004</v>
      </c>
      <c r="K65" s="670">
        <f t="shared" si="61"/>
        <v>1641.5259999999998</v>
      </c>
      <c r="L65" s="670">
        <f t="shared" si="61"/>
        <v>1580.9059999999999</v>
      </c>
      <c r="M65" s="670">
        <f t="shared" si="61"/>
        <v>1607.1250000000005</v>
      </c>
      <c r="N65" s="670">
        <f t="shared" si="61"/>
        <v>1584.94416</v>
      </c>
      <c r="O65" s="670">
        <f t="shared" si="61"/>
        <v>1587.7055066666669</v>
      </c>
      <c r="P65" s="670">
        <f t="shared" si="61"/>
        <v>1574.5626666666669</v>
      </c>
      <c r="Q65" s="670">
        <f t="shared" si="61"/>
        <v>1758.2850000000001</v>
      </c>
      <c r="R65" s="670">
        <f t="shared" si="61"/>
        <v>1767.4869999999996</v>
      </c>
      <c r="S65" s="670">
        <f t="shared" si="61"/>
        <v>1764.9970000000001</v>
      </c>
      <c r="T65" s="670">
        <f t="shared" si="61"/>
        <v>1795.7760000000001</v>
      </c>
      <c r="U65" s="670">
        <f t="shared" si="61"/>
        <v>1874.1980000000001</v>
      </c>
      <c r="V65" s="670">
        <f t="shared" ref="V65:AC65" si="62">V61-V62</f>
        <v>1895.0549999999998</v>
      </c>
      <c r="W65" s="670">
        <f t="shared" si="62"/>
        <v>1906.25</v>
      </c>
      <c r="X65" s="670">
        <f t="shared" si="62"/>
        <v>1931.0820000000001</v>
      </c>
      <c r="Y65" s="670">
        <f t="shared" si="62"/>
        <v>2024.5639999999999</v>
      </c>
      <c r="Z65" s="670">
        <f t="shared" si="62"/>
        <v>2044.5519999999999</v>
      </c>
      <c r="AA65" s="670">
        <f t="shared" si="62"/>
        <v>2054.6819999999998</v>
      </c>
      <c r="AB65" s="670">
        <f t="shared" si="62"/>
        <v>2075.2269999999999</v>
      </c>
      <c r="AC65" s="670">
        <f t="shared" si="62"/>
        <v>2153.902</v>
      </c>
      <c r="AD65" s="654"/>
      <c r="AE65" s="654"/>
      <c r="AF65" s="654"/>
      <c r="AG65" s="218"/>
      <c r="AH65" s="218"/>
      <c r="AI65" s="218"/>
      <c r="AJ65" s="218"/>
      <c r="AK65" s="218"/>
      <c r="AL65" s="218"/>
      <c r="AM65" s="218"/>
      <c r="AN65" s="218"/>
    </row>
    <row r="66" spans="2:40" ht="20.45" customHeight="1" x14ac:dyDescent="0.25">
      <c r="B66" s="680" t="s">
        <v>800</v>
      </c>
      <c r="C66" s="681"/>
      <c r="D66" s="687">
        <f t="shared" ref="D66:I66" si="63">D12-D14-D17-D27</f>
        <v>1410.9</v>
      </c>
      <c r="E66" s="658">
        <f t="shared" si="63"/>
        <v>1470.7000000000003</v>
      </c>
      <c r="F66" s="658">
        <f t="shared" si="63"/>
        <v>1475.8999999999996</v>
      </c>
      <c r="G66" s="658">
        <f t="shared" si="63"/>
        <v>1482.6999999999998</v>
      </c>
      <c r="H66" s="658">
        <f t="shared" si="63"/>
        <v>1490.8000000000002</v>
      </c>
      <c r="I66" s="658">
        <f t="shared" si="63"/>
        <v>1542.4</v>
      </c>
      <c r="J66" s="688">
        <f>I66+($H$66-$E$66)/3</f>
        <v>1549.1000000000001</v>
      </c>
      <c r="K66" s="688">
        <f>J66+($H$66-$E$66)/3</f>
        <v>1555.8000000000002</v>
      </c>
      <c r="L66" s="688">
        <f>K66+($H$66-$E$66)/3</f>
        <v>1562.5000000000002</v>
      </c>
      <c r="M66" s="689">
        <f>L66+($H$66-$E$66)/3 +(M70-L70)</f>
        <v>1586.8430000000003</v>
      </c>
      <c r="N66" s="688">
        <f>M66+($H$66-$E$66)/3</f>
        <v>1593.5430000000003</v>
      </c>
      <c r="O66" s="688">
        <f>N66+($H$66-$E$66)/3</f>
        <v>1600.2430000000004</v>
      </c>
      <c r="P66" s="688">
        <f>O66+($H$66-$E$66)/3</f>
        <v>1606.9430000000004</v>
      </c>
      <c r="Q66" s="689">
        <f>P66+($H$66-$E$66)/3 + 0.06*Q70</f>
        <v>1685.5501200000006</v>
      </c>
      <c r="R66" s="688">
        <f>Q66+($H$66-$E$66)/3</f>
        <v>1692.2501200000006</v>
      </c>
      <c r="S66" s="688">
        <f>R66+($H$66-$E$66)/3</f>
        <v>1698.9501200000007</v>
      </c>
      <c r="T66" s="688">
        <f>S66+($H$66-$E$66)/3</f>
        <v>1705.6501200000007</v>
      </c>
      <c r="U66" s="688">
        <f t="shared" ref="U66:AN66" si="64">T66+U67</f>
        <v>1818.9789730000007</v>
      </c>
      <c r="V66" s="688">
        <f t="shared" si="64"/>
        <v>1825.6789730000007</v>
      </c>
      <c r="W66" s="658">
        <f t="shared" si="64"/>
        <v>1832.3789730000008</v>
      </c>
      <c r="X66" s="682">
        <f t="shared" si="64"/>
        <v>1839.0789730000008</v>
      </c>
      <c r="Y66" s="682">
        <f t="shared" si="64"/>
        <v>1891.4284770000008</v>
      </c>
      <c r="Z66" s="682">
        <f t="shared" si="64"/>
        <v>1898.1284770000009</v>
      </c>
      <c r="AA66" s="682">
        <f t="shared" si="64"/>
        <v>1904.8284770000009</v>
      </c>
      <c r="AB66" s="682">
        <f t="shared" si="64"/>
        <v>1911.528477000001</v>
      </c>
      <c r="AC66" s="682">
        <f t="shared" si="64"/>
        <v>1956.026352000001</v>
      </c>
      <c r="AD66" s="682">
        <f t="shared" si="64"/>
        <v>1962.726352000001</v>
      </c>
      <c r="AE66" s="682">
        <f t="shared" si="64"/>
        <v>1969.4263520000011</v>
      </c>
      <c r="AF66" s="682">
        <f t="shared" si="64"/>
        <v>1976.1263520000011</v>
      </c>
      <c r="AG66" s="682">
        <f t="shared" si="64"/>
        <v>2019.8270050350011</v>
      </c>
      <c r="AH66" s="682">
        <f t="shared" si="64"/>
        <v>2026.5270050350011</v>
      </c>
      <c r="AI66" s="682">
        <f t="shared" si="64"/>
        <v>2033.2270050350012</v>
      </c>
      <c r="AJ66" s="682">
        <f t="shared" si="64"/>
        <v>2039.9270050350012</v>
      </c>
      <c r="AK66" s="682">
        <f t="shared" si="64"/>
        <v>2085.9065360898062</v>
      </c>
      <c r="AL66" s="682">
        <f t="shared" si="64"/>
        <v>2092.606536089806</v>
      </c>
      <c r="AM66" s="682">
        <f t="shared" si="64"/>
        <v>2099.3065360898058</v>
      </c>
      <c r="AN66" s="682">
        <f t="shared" si="64"/>
        <v>2106.0065360898056</v>
      </c>
    </row>
    <row r="67" spans="2:40" ht="20.45" customHeight="1" x14ac:dyDescent="0.25">
      <c r="B67" s="683" t="s">
        <v>1800</v>
      </c>
      <c r="C67" s="238"/>
      <c r="D67" s="697"/>
      <c r="E67" s="444"/>
      <c r="F67" s="444"/>
      <c r="G67" s="444"/>
      <c r="H67" s="444"/>
      <c r="I67" s="444"/>
      <c r="J67" s="671"/>
      <c r="K67" s="671"/>
      <c r="L67" s="671"/>
      <c r="M67" s="690"/>
      <c r="N67" s="671"/>
      <c r="O67" s="671"/>
      <c r="P67" s="671"/>
      <c r="Q67" s="690"/>
      <c r="R67" s="671"/>
      <c r="S67" s="671"/>
      <c r="T67" s="671"/>
      <c r="U67" s="671">
        <f>U68+U69</f>
        <v>113.32885299999995</v>
      </c>
      <c r="V67" s="671">
        <f>V68+V69</f>
        <v>6.69999999999997</v>
      </c>
      <c r="W67" s="671">
        <f>W68+W69</f>
        <v>6.69999999999997</v>
      </c>
      <c r="X67" s="654">
        <f t="shared" ref="X67:AN67" si="65">X68+X73*X70</f>
        <v>6.69999999999997</v>
      </c>
      <c r="Y67" s="654">
        <f t="shared" si="65"/>
        <v>52.349503999999968</v>
      </c>
      <c r="Z67" s="654">
        <f t="shared" si="65"/>
        <v>6.69999999999997</v>
      </c>
      <c r="AA67" s="654">
        <f t="shared" si="65"/>
        <v>6.69999999999997</v>
      </c>
      <c r="AB67" s="654">
        <f t="shared" si="65"/>
        <v>6.69999999999997</v>
      </c>
      <c r="AC67" s="654">
        <f t="shared" si="65"/>
        <v>44.497874999999965</v>
      </c>
      <c r="AD67" s="654">
        <f t="shared" si="65"/>
        <v>6.69999999999997</v>
      </c>
      <c r="AE67" s="654">
        <f t="shared" si="65"/>
        <v>6.69999999999997</v>
      </c>
      <c r="AF67" s="654">
        <f t="shared" si="65"/>
        <v>6.69999999999997</v>
      </c>
      <c r="AG67" s="654">
        <f t="shared" si="65"/>
        <v>43.700653034999966</v>
      </c>
      <c r="AH67" s="654">
        <f t="shared" si="65"/>
        <v>6.69999999999997</v>
      </c>
      <c r="AI67" s="654">
        <f t="shared" si="65"/>
        <v>6.69999999999997</v>
      </c>
      <c r="AJ67" s="654">
        <f t="shared" si="65"/>
        <v>6.69999999999997</v>
      </c>
      <c r="AK67" s="654">
        <f t="shared" si="65"/>
        <v>45.979531054804966</v>
      </c>
      <c r="AL67" s="654">
        <f t="shared" si="65"/>
        <v>6.69999999999997</v>
      </c>
      <c r="AM67" s="654">
        <f t="shared" si="65"/>
        <v>6.69999999999997</v>
      </c>
      <c r="AN67" s="654">
        <f t="shared" si="65"/>
        <v>6.69999999999997</v>
      </c>
    </row>
    <row r="68" spans="2:40" ht="28.35" customHeight="1" x14ac:dyDescent="0.25">
      <c r="B68" s="684" t="s">
        <v>1797</v>
      </c>
      <c r="C68" s="238"/>
      <c r="D68" s="697"/>
      <c r="E68" s="444"/>
      <c r="F68" s="444"/>
      <c r="G68" s="444"/>
      <c r="H68" s="444"/>
      <c r="I68" s="444"/>
      <c r="J68" s="671"/>
      <c r="K68" s="671"/>
      <c r="L68" s="671"/>
      <c r="M68" s="690"/>
      <c r="N68" s="671"/>
      <c r="O68" s="671"/>
      <c r="P68" s="671"/>
      <c r="Q68" s="690"/>
      <c r="R68" s="671"/>
      <c r="S68" s="671"/>
      <c r="T68" s="671"/>
      <c r="U68" s="671">
        <f>($H$66-$E$66)/3</f>
        <v>6.69999999999997</v>
      </c>
      <c r="V68" s="671">
        <f>($H$66-$E$66)/3</f>
        <v>6.69999999999997</v>
      </c>
      <c r="W68" s="671">
        <f>($H$66-$E$66)/3</f>
        <v>6.69999999999997</v>
      </c>
      <c r="X68" s="654">
        <f t="shared" ref="X68:AC68" si="66">W68</f>
        <v>6.69999999999997</v>
      </c>
      <c r="Y68" s="654">
        <f t="shared" si="66"/>
        <v>6.69999999999997</v>
      </c>
      <c r="Z68" s="654">
        <f t="shared" si="66"/>
        <v>6.69999999999997</v>
      </c>
      <c r="AA68" s="654">
        <f t="shared" si="66"/>
        <v>6.69999999999997</v>
      </c>
      <c r="AB68" s="654">
        <f t="shared" si="66"/>
        <v>6.69999999999997</v>
      </c>
      <c r="AC68" s="654">
        <f t="shared" si="66"/>
        <v>6.69999999999997</v>
      </c>
      <c r="AD68" s="654">
        <f t="shared" ref="AD68" si="67">AC68</f>
        <v>6.69999999999997</v>
      </c>
      <c r="AE68" s="654">
        <f t="shared" ref="AE68" si="68">AD68</f>
        <v>6.69999999999997</v>
      </c>
      <c r="AF68" s="654">
        <f>AE68</f>
        <v>6.69999999999997</v>
      </c>
      <c r="AG68" s="654">
        <f>AF68</f>
        <v>6.69999999999997</v>
      </c>
      <c r="AH68" s="654">
        <f>AG68</f>
        <v>6.69999999999997</v>
      </c>
      <c r="AI68" s="654">
        <f t="shared" ref="AI68:AJ68" si="69">AH68</f>
        <v>6.69999999999997</v>
      </c>
      <c r="AJ68" s="654">
        <f t="shared" si="69"/>
        <v>6.69999999999997</v>
      </c>
      <c r="AK68" s="654">
        <f t="shared" ref="AK68" si="70">AJ68</f>
        <v>6.69999999999997</v>
      </c>
      <c r="AL68" s="654">
        <f t="shared" ref="AL68" si="71">AK68</f>
        <v>6.69999999999997</v>
      </c>
      <c r="AM68" s="654">
        <f t="shared" ref="AM68" si="72">AL68</f>
        <v>6.69999999999997</v>
      </c>
      <c r="AN68" s="654">
        <f t="shared" ref="AN68" si="73">AM68</f>
        <v>6.69999999999997</v>
      </c>
    </row>
    <row r="69" spans="2:40" ht="30.6" customHeight="1" x14ac:dyDescent="0.25">
      <c r="B69" s="685" t="s">
        <v>1798</v>
      </c>
      <c r="C69" s="686"/>
      <c r="D69" s="691"/>
      <c r="E69" s="659"/>
      <c r="F69" s="659"/>
      <c r="G69" s="659"/>
      <c r="H69" s="659"/>
      <c r="I69" s="659"/>
      <c r="J69" s="692"/>
      <c r="K69" s="692"/>
      <c r="L69" s="692"/>
      <c r="M69" s="693"/>
      <c r="N69" s="692"/>
      <c r="O69" s="692"/>
      <c r="P69" s="692"/>
      <c r="Q69" s="693"/>
      <c r="R69" s="692"/>
      <c r="S69" s="692"/>
      <c r="T69" s="692"/>
      <c r="U69" s="692">
        <f t="shared" ref="U69:AN69" si="74">U73*T70</f>
        <v>106.62885299999998</v>
      </c>
      <c r="V69" s="692">
        <f t="shared" si="74"/>
        <v>0</v>
      </c>
      <c r="W69" s="659">
        <f t="shared" si="74"/>
        <v>0</v>
      </c>
      <c r="X69" s="694">
        <f t="shared" si="74"/>
        <v>0</v>
      </c>
      <c r="Y69" s="694">
        <f t="shared" si="74"/>
        <v>43.967424000000001</v>
      </c>
      <c r="Z69" s="694">
        <f t="shared" si="74"/>
        <v>0</v>
      </c>
      <c r="AA69" s="694">
        <f t="shared" si="74"/>
        <v>0</v>
      </c>
      <c r="AB69" s="694">
        <f t="shared" si="74"/>
        <v>0</v>
      </c>
      <c r="AC69" s="694">
        <f t="shared" si="74"/>
        <v>36.697899999999997</v>
      </c>
      <c r="AD69" s="694">
        <f t="shared" si="74"/>
        <v>0</v>
      </c>
      <c r="AE69" s="694">
        <f t="shared" si="74"/>
        <v>0</v>
      </c>
      <c r="AF69" s="694">
        <f t="shared" si="74"/>
        <v>0</v>
      </c>
      <c r="AG69" s="694">
        <f t="shared" si="74"/>
        <v>35.809044999999998</v>
      </c>
      <c r="AH69" s="694">
        <f t="shared" si="74"/>
        <v>0</v>
      </c>
      <c r="AI69" s="694">
        <f t="shared" si="74"/>
        <v>0</v>
      </c>
      <c r="AJ69" s="694">
        <f t="shared" si="74"/>
        <v>0</v>
      </c>
      <c r="AK69" s="694">
        <f t="shared" si="74"/>
        <v>38.081653034999995</v>
      </c>
      <c r="AL69" s="694">
        <f t="shared" si="74"/>
        <v>0</v>
      </c>
      <c r="AM69" s="694">
        <f t="shared" si="74"/>
        <v>0</v>
      </c>
      <c r="AN69" s="694">
        <f t="shared" si="74"/>
        <v>0</v>
      </c>
    </row>
    <row r="70" spans="2:40" ht="17.45" customHeight="1" x14ac:dyDescent="0.25">
      <c r="B70" s="548" t="s">
        <v>473</v>
      </c>
      <c r="C70" s="238" t="s">
        <v>474</v>
      </c>
      <c r="D70" s="697">
        <f>'Haver Pivoted'!GO88/1000</f>
        <v>983.86099999999999</v>
      </c>
      <c r="E70" s="444">
        <f>'Haver Pivoted'!GP88/1000</f>
        <v>1019.19</v>
      </c>
      <c r="F70" s="444">
        <f>'Haver Pivoted'!GQ88/1000</f>
        <v>1026.704</v>
      </c>
      <c r="G70" s="444">
        <f>'Haver Pivoted'!GR88/1000</f>
        <v>1034.4169999999999</v>
      </c>
      <c r="H70" s="444">
        <f>'Haver Pivoted'!GS88/1000</f>
        <v>1042.6610000000001</v>
      </c>
      <c r="I70" s="444">
        <f>'Haver Pivoted'!GT88/1000</f>
        <v>1068.201</v>
      </c>
      <c r="J70" s="444">
        <f>'Haver Pivoted'!GU88/1000</f>
        <v>1075.075</v>
      </c>
      <c r="K70" s="444">
        <f>'Haver Pivoted'!GV88/1000</f>
        <v>1080.441</v>
      </c>
      <c r="L70" s="444">
        <f>'Haver Pivoted'!GW88/1000</f>
        <v>1087.9949999999999</v>
      </c>
      <c r="M70" s="444">
        <f>'Haver Pivoted'!GX88/1000</f>
        <v>1105.6379999999999</v>
      </c>
      <c r="N70" s="444">
        <f>'Haver Pivoted'!GY88/1000</f>
        <v>1109.6400000000001</v>
      </c>
      <c r="O70" s="444">
        <f>'Haver Pivoted'!GZ88/1000</f>
        <v>1116.9480000000001</v>
      </c>
      <c r="P70" s="444">
        <f>'Haver Pivoted'!HA88/1000</f>
        <v>1126.174</v>
      </c>
      <c r="Q70" s="444">
        <f>'Haver Pivoted'!HB88/1000</f>
        <v>1198.452</v>
      </c>
      <c r="R70" s="444">
        <f>'Haver Pivoted'!HC88/1000</f>
        <v>1207.163</v>
      </c>
      <c r="S70" s="670">
        <f>'Haver Pivoted'!HD88/1000</f>
        <v>1214.7809999999999</v>
      </c>
      <c r="T70" s="670">
        <f>'Haver Pivoted'!HE88/1000</f>
        <v>1225.6189999999999</v>
      </c>
      <c r="U70" s="670">
        <f>'Haver Pivoted'!HF88/1000</f>
        <v>1339.904</v>
      </c>
      <c r="V70" s="670">
        <f>'Haver Pivoted'!HG88/1000</f>
        <v>1353.2829999999999</v>
      </c>
      <c r="W70" s="670">
        <f>'Haver Pivoted'!HH88/1000</f>
        <v>1360.723</v>
      </c>
      <c r="X70" s="670">
        <f>'Haver Pivoted'!HI88/1000</f>
        <v>1373.982</v>
      </c>
      <c r="Y70" s="670">
        <f>'Haver Pivoted'!HJ88/1000</f>
        <v>1426.547</v>
      </c>
      <c r="Z70" s="670">
        <f>'Haver Pivoted'!HK88/1000</f>
        <v>1439.73</v>
      </c>
      <c r="AA70" s="670">
        <f>'Haver Pivoted'!HL88/1000</f>
        <v>1453.1369999999999</v>
      </c>
      <c r="AB70" s="670">
        <f>'Haver Pivoted'!HM88/1000</f>
        <v>1467.9159999999999</v>
      </c>
      <c r="AC70" s="670">
        <f>'Haver Pivoted'!HN88/1000</f>
        <v>1511.915</v>
      </c>
      <c r="AD70" s="654">
        <f t="shared" ref="AD70:AN70" si="75">AC70+AD71</f>
        <v>1525.915</v>
      </c>
      <c r="AE70" s="654">
        <f t="shared" si="75"/>
        <v>1540.915</v>
      </c>
      <c r="AF70" s="654">
        <f t="shared" si="75"/>
        <v>1556.915</v>
      </c>
      <c r="AG70" s="654">
        <f t="shared" si="75"/>
        <v>1608.7240449999999</v>
      </c>
      <c r="AH70" s="654">
        <f t="shared" si="75"/>
        <v>1624.7240449999999</v>
      </c>
      <c r="AI70" s="654">
        <f t="shared" si="75"/>
        <v>1640.7240449999999</v>
      </c>
      <c r="AJ70" s="654">
        <f t="shared" si="75"/>
        <v>1655.7240449999999</v>
      </c>
      <c r="AK70" s="654">
        <f t="shared" si="75"/>
        <v>1707.805698035</v>
      </c>
      <c r="AL70" s="654">
        <f t="shared" si="75"/>
        <v>1720.805698035</v>
      </c>
      <c r="AM70" s="654">
        <f t="shared" si="75"/>
        <v>1732.805698035</v>
      </c>
      <c r="AN70" s="654">
        <f t="shared" si="75"/>
        <v>1743.805698035</v>
      </c>
    </row>
    <row r="71" spans="2:40" ht="17.45" customHeight="1" x14ac:dyDescent="0.25">
      <c r="B71" s="421" t="s">
        <v>1799</v>
      </c>
      <c r="C71" s="238"/>
      <c r="D71" s="697"/>
      <c r="E71" s="444"/>
      <c r="F71" s="444"/>
      <c r="G71" s="444"/>
      <c r="H71" s="444"/>
      <c r="I71" s="444"/>
      <c r="J71" s="444"/>
      <c r="K71" s="444"/>
      <c r="L71" s="444"/>
      <c r="M71" s="444"/>
      <c r="N71" s="444"/>
      <c r="O71" s="444"/>
      <c r="P71" s="444"/>
      <c r="Q71" s="444"/>
      <c r="R71" s="444"/>
      <c r="S71" s="670"/>
      <c r="T71" s="670"/>
      <c r="U71" s="670">
        <f t="shared" ref="U71:AN71" si="76">U69+U72</f>
        <v>114.62885299999998</v>
      </c>
      <c r="V71" s="444">
        <f t="shared" si="76"/>
        <v>8</v>
      </c>
      <c r="W71" s="444">
        <f t="shared" si="76"/>
        <v>11</v>
      </c>
      <c r="X71" s="654">
        <f t="shared" si="76"/>
        <v>14</v>
      </c>
      <c r="Y71" s="654">
        <f t="shared" si="76"/>
        <v>52.967424000000001</v>
      </c>
      <c r="Z71" s="654">
        <f t="shared" si="76"/>
        <v>13</v>
      </c>
      <c r="AA71" s="654">
        <f t="shared" si="76"/>
        <v>11</v>
      </c>
      <c r="AB71" s="654">
        <f t="shared" si="76"/>
        <v>14</v>
      </c>
      <c r="AC71" s="654">
        <f>AC69+AC72</f>
        <v>43.697899999999997</v>
      </c>
      <c r="AD71" s="654">
        <f t="shared" si="76"/>
        <v>14</v>
      </c>
      <c r="AE71" s="654">
        <f t="shared" si="76"/>
        <v>15</v>
      </c>
      <c r="AF71" s="654">
        <f t="shared" si="76"/>
        <v>16</v>
      </c>
      <c r="AG71" s="654">
        <f t="shared" si="76"/>
        <v>51.809044999999998</v>
      </c>
      <c r="AH71" s="654">
        <f t="shared" si="76"/>
        <v>16</v>
      </c>
      <c r="AI71" s="654">
        <f t="shared" si="76"/>
        <v>16</v>
      </c>
      <c r="AJ71" s="654">
        <f t="shared" si="76"/>
        <v>15</v>
      </c>
      <c r="AK71" s="654">
        <f t="shared" si="76"/>
        <v>52.081653034999995</v>
      </c>
      <c r="AL71" s="654">
        <f t="shared" si="76"/>
        <v>13</v>
      </c>
      <c r="AM71" s="654">
        <f t="shared" si="76"/>
        <v>12</v>
      </c>
      <c r="AN71" s="654">
        <f t="shared" si="76"/>
        <v>11</v>
      </c>
    </row>
    <row r="72" spans="2:40" ht="17.45" customHeight="1" x14ac:dyDescent="0.25">
      <c r="B72" s="413" t="s">
        <v>1802</v>
      </c>
      <c r="C72" s="238"/>
      <c r="D72" s="697"/>
      <c r="E72" s="444"/>
      <c r="F72" s="670"/>
      <c r="G72" s="670"/>
      <c r="H72" s="670"/>
      <c r="I72" s="670"/>
      <c r="J72" s="670"/>
      <c r="K72" s="670"/>
      <c r="L72" s="670"/>
      <c r="M72" s="670"/>
      <c r="N72" s="670"/>
      <c r="O72" s="670"/>
      <c r="P72" s="670"/>
      <c r="Q72" s="670"/>
      <c r="R72" s="670"/>
      <c r="S72" s="670"/>
      <c r="T72" s="670"/>
      <c r="U72" s="670">
        <v>8</v>
      </c>
      <c r="V72" s="444">
        <v>8</v>
      </c>
      <c r="W72" s="444">
        <v>11</v>
      </c>
      <c r="X72" s="654">
        <v>14</v>
      </c>
      <c r="Y72" s="654">
        <v>9</v>
      </c>
      <c r="Z72" s="654">
        <v>13</v>
      </c>
      <c r="AA72" s="654">
        <v>11</v>
      </c>
      <c r="AB72" s="654">
        <v>14</v>
      </c>
      <c r="AC72" s="654">
        <v>7</v>
      </c>
      <c r="AD72" s="654">
        <v>14</v>
      </c>
      <c r="AE72" s="654">
        <v>15</v>
      </c>
      <c r="AF72" s="654">
        <v>16</v>
      </c>
      <c r="AG72" s="654">
        <v>16</v>
      </c>
      <c r="AH72" s="654">
        <v>16</v>
      </c>
      <c r="AI72" s="654">
        <v>16</v>
      </c>
      <c r="AJ72" s="654">
        <v>15</v>
      </c>
      <c r="AK72" s="654">
        <v>14</v>
      </c>
      <c r="AL72" s="654">
        <v>13</v>
      </c>
      <c r="AM72" s="654">
        <v>12</v>
      </c>
      <c r="AN72" s="654">
        <v>11</v>
      </c>
    </row>
    <row r="73" spans="2:40" ht="39" customHeight="1" x14ac:dyDescent="0.25">
      <c r="B73" s="413" t="s">
        <v>1803</v>
      </c>
      <c r="C73" s="238"/>
      <c r="D73" s="697"/>
      <c r="E73" s="444"/>
      <c r="F73" s="444"/>
      <c r="G73" s="444"/>
      <c r="H73" s="444"/>
      <c r="I73" s="659"/>
      <c r="J73" s="659"/>
      <c r="K73" s="659"/>
      <c r="L73" s="659"/>
      <c r="M73" s="659"/>
      <c r="N73" s="659"/>
      <c r="O73" s="659"/>
      <c r="P73" s="659"/>
      <c r="Q73" s="659"/>
      <c r="R73" s="659"/>
      <c r="S73" s="695"/>
      <c r="T73" s="695"/>
      <c r="U73" s="672">
        <v>8.6999999999999994E-2</v>
      </c>
      <c r="V73" s="660">
        <v>0</v>
      </c>
      <c r="W73" s="660">
        <v>0</v>
      </c>
      <c r="X73" s="696">
        <v>0</v>
      </c>
      <c r="Y73" s="696">
        <v>3.2000000000000001E-2</v>
      </c>
      <c r="Z73" s="696">
        <v>0</v>
      </c>
      <c r="AA73" s="696">
        <v>0</v>
      </c>
      <c r="AB73" s="696">
        <v>0</v>
      </c>
      <c r="AC73" s="696">
        <v>2.5000000000000001E-2</v>
      </c>
      <c r="AD73" s="696">
        <v>0</v>
      </c>
      <c r="AE73" s="696">
        <v>0</v>
      </c>
      <c r="AF73" s="696">
        <v>0</v>
      </c>
      <c r="AG73" s="696">
        <v>2.3E-2</v>
      </c>
      <c r="AH73" s="696">
        <v>0</v>
      </c>
      <c r="AI73" s="696">
        <v>0</v>
      </c>
      <c r="AJ73" s="696">
        <v>0</v>
      </c>
      <c r="AK73" s="696">
        <v>2.3E-2</v>
      </c>
      <c r="AL73" s="696">
        <v>0</v>
      </c>
      <c r="AM73" s="696">
        <v>0</v>
      </c>
      <c r="AN73" s="696">
        <v>0</v>
      </c>
    </row>
    <row r="74" spans="2:40" ht="49.7" customHeight="1" x14ac:dyDescent="0.25">
      <c r="B74" s="476" t="s">
        <v>1426</v>
      </c>
      <c r="C74" s="238"/>
      <c r="D74" s="697">
        <f t="shared" ref="D74:AB74" si="77">D65-D66</f>
        <v>0</v>
      </c>
      <c r="E74" s="444">
        <f t="shared" si="77"/>
        <v>0</v>
      </c>
      <c r="F74" s="444">
        <f t="shared" si="77"/>
        <v>0</v>
      </c>
      <c r="G74" s="444">
        <f t="shared" si="77"/>
        <v>0</v>
      </c>
      <c r="H74" s="444">
        <f t="shared" si="77"/>
        <v>0</v>
      </c>
      <c r="I74" s="444">
        <f t="shared" si="77"/>
        <v>-6.9120000000000346</v>
      </c>
      <c r="J74" s="444">
        <f t="shared" si="77"/>
        <v>-37.9549999999997</v>
      </c>
      <c r="K74" s="444">
        <f t="shared" si="77"/>
        <v>85.725999999999658</v>
      </c>
      <c r="L74" s="444">
        <f t="shared" si="77"/>
        <v>18.405999999999722</v>
      </c>
      <c r="M74" s="444">
        <f t="shared" si="77"/>
        <v>20.282000000000153</v>
      </c>
      <c r="N74" s="444">
        <f t="shared" si="77"/>
        <v>-8.5988400000003367</v>
      </c>
      <c r="O74" s="444">
        <f t="shared" si="77"/>
        <v>-12.537493333333487</v>
      </c>
      <c r="P74" s="444">
        <f t="shared" si="77"/>
        <v>-32.38033333333351</v>
      </c>
      <c r="Q74" s="444">
        <f t="shared" si="77"/>
        <v>72.734879999999521</v>
      </c>
      <c r="R74" s="444">
        <f t="shared" si="77"/>
        <v>75.236879999999019</v>
      </c>
      <c r="S74" s="670">
        <f t="shared" si="77"/>
        <v>66.046879999999419</v>
      </c>
      <c r="T74" s="670">
        <f t="shared" si="77"/>
        <v>90.12587999999937</v>
      </c>
      <c r="U74" s="670">
        <f t="shared" si="77"/>
        <v>55.219026999999414</v>
      </c>
      <c r="V74" s="670">
        <f t="shared" si="77"/>
        <v>69.376026999999112</v>
      </c>
      <c r="W74" s="670">
        <f t="shared" si="77"/>
        <v>73.871026999999231</v>
      </c>
      <c r="X74" s="670">
        <f t="shared" si="77"/>
        <v>92.003026999999292</v>
      </c>
      <c r="Y74" s="670">
        <f t="shared" si="77"/>
        <v>133.13552299999901</v>
      </c>
      <c r="Z74" s="670">
        <f t="shared" si="77"/>
        <v>146.42352299999902</v>
      </c>
      <c r="AA74" s="670">
        <f t="shared" si="77"/>
        <v>149.85352299999886</v>
      </c>
      <c r="AB74" s="670">
        <f t="shared" si="77"/>
        <v>163.69852299999889</v>
      </c>
      <c r="AC74" s="670">
        <f>AC65-AC66</f>
        <v>197.87564799999905</v>
      </c>
      <c r="AD74" s="654">
        <f t="shared" ref="AD74" si="78">AC74</f>
        <v>197.87564799999905</v>
      </c>
      <c r="AE74" s="654">
        <f t="shared" ref="AE74" si="79">AD74</f>
        <v>197.87564799999905</v>
      </c>
      <c r="AF74" s="654">
        <f t="shared" ref="AF74:AH74" si="80">AE74</f>
        <v>197.87564799999905</v>
      </c>
      <c r="AG74" s="654">
        <f t="shared" si="80"/>
        <v>197.87564799999905</v>
      </c>
      <c r="AH74" s="654">
        <f t="shared" si="80"/>
        <v>197.87564799999905</v>
      </c>
      <c r="AI74" s="654">
        <f t="shared" ref="AI74" si="81">AH74</f>
        <v>197.87564799999905</v>
      </c>
      <c r="AJ74" s="654">
        <f t="shared" ref="AJ74" si="82">AI74</f>
        <v>197.87564799999905</v>
      </c>
      <c r="AK74" s="654">
        <f t="shared" ref="AK74" si="83">AJ74</f>
        <v>197.87564799999905</v>
      </c>
      <c r="AL74" s="654">
        <f t="shared" ref="AL74" si="84">AK74</f>
        <v>197.87564799999905</v>
      </c>
      <c r="AM74" s="654">
        <f t="shared" ref="AM74" si="85">AL74</f>
        <v>197.87564799999905</v>
      </c>
      <c r="AN74" s="654">
        <f t="shared" ref="AN74" si="86">AM74</f>
        <v>197.87564799999905</v>
      </c>
    </row>
    <row r="75" spans="2:40" ht="29.45" customHeight="1" x14ac:dyDescent="0.25">
      <c r="B75" s="273"/>
      <c r="C75" s="238"/>
      <c r="D75" s="227"/>
      <c r="E75" s="227"/>
      <c r="F75" s="227"/>
      <c r="G75" s="227"/>
      <c r="H75" s="227"/>
      <c r="I75" s="227"/>
      <c r="J75" s="227"/>
      <c r="K75" s="227"/>
      <c r="L75" s="227"/>
      <c r="M75" s="227"/>
      <c r="N75" s="227"/>
      <c r="O75" s="227"/>
      <c r="P75" s="227"/>
      <c r="Q75" s="227"/>
      <c r="R75" s="227"/>
      <c r="S75" s="227"/>
      <c r="T75" s="227"/>
      <c r="U75" s="227"/>
      <c r="V75" s="227"/>
      <c r="W75" s="227"/>
      <c r="X75" s="227"/>
      <c r="Y75" s="227"/>
      <c r="Z75" s="227"/>
      <c r="AA75" s="227"/>
      <c r="AB75" s="227"/>
      <c r="AC75" s="227"/>
    </row>
    <row r="76" spans="2:40" ht="16.7" customHeight="1" x14ac:dyDescent="0.25">
      <c r="B76" s="548" t="s">
        <v>473</v>
      </c>
      <c r="C76" s="238" t="s">
        <v>474</v>
      </c>
      <c r="D76" s="697">
        <v>983.86099999999999</v>
      </c>
      <c r="E76" s="444">
        <v>1019.19</v>
      </c>
      <c r="F76" s="444">
        <v>1026.704</v>
      </c>
      <c r="G76" s="444">
        <v>1034.4169999999999</v>
      </c>
      <c r="H76" s="444">
        <v>1042.6610000000001</v>
      </c>
      <c r="I76" s="444">
        <v>1068.201</v>
      </c>
      <c r="J76" s="444">
        <v>1075.075</v>
      </c>
      <c r="K76" s="444">
        <v>1080.441</v>
      </c>
      <c r="L76" s="444">
        <v>1087.9949999999999</v>
      </c>
      <c r="M76" s="444">
        <v>1105.6379999999999</v>
      </c>
      <c r="N76" s="444">
        <v>1109.6400000000001</v>
      </c>
      <c r="O76" s="444">
        <v>1116.9480000000001</v>
      </c>
      <c r="P76" s="444">
        <v>1126.174</v>
      </c>
      <c r="Q76" s="444">
        <v>1198.452</v>
      </c>
      <c r="R76" s="444">
        <v>1207.163</v>
      </c>
      <c r="S76" s="670">
        <v>1214.7809999999999</v>
      </c>
      <c r="T76" s="670">
        <v>1225.6189999999999</v>
      </c>
      <c r="U76" s="670">
        <v>1339.904</v>
      </c>
      <c r="V76" s="670">
        <v>1353.2829999999999</v>
      </c>
      <c r="W76" s="670">
        <v>1360.723</v>
      </c>
      <c r="X76" s="670">
        <v>1373.982</v>
      </c>
      <c r="Y76" s="670">
        <v>1426.547</v>
      </c>
      <c r="Z76" s="670">
        <v>1439.73</v>
      </c>
      <c r="AA76" s="670">
        <v>1453.1369999999999</v>
      </c>
      <c r="AB76" s="670">
        <v>1467.9159999999999</v>
      </c>
      <c r="AC76" s="654">
        <v>1511.6139000000001</v>
      </c>
      <c r="AD76" s="654">
        <v>1525.6138999999998</v>
      </c>
      <c r="AE76" s="654">
        <v>1540.6138999999998</v>
      </c>
      <c r="AF76" s="654">
        <v>1556.6138999999998</v>
      </c>
      <c r="AG76" s="654">
        <v>1608.4160196999999</v>
      </c>
      <c r="AH76" s="654">
        <v>1624.4160196999999</v>
      </c>
      <c r="AI76" s="654">
        <v>1640.4160196999999</v>
      </c>
      <c r="AJ76" s="654">
        <v>1655.4160196999999</v>
      </c>
      <c r="AK76" s="654">
        <v>1707.4905881530999</v>
      </c>
      <c r="AL76" s="654">
        <v>1720.4905881530999</v>
      </c>
      <c r="AM76" s="654">
        <v>1732.4905881530999</v>
      </c>
      <c r="AN76" s="654">
        <v>1743.4905881530999</v>
      </c>
    </row>
    <row r="77" spans="2:40" ht="16.7" customHeight="1" x14ac:dyDescent="0.25">
      <c r="B77" s="421" t="s">
        <v>1799</v>
      </c>
      <c r="C77" s="238"/>
      <c r="D77" s="697"/>
      <c r="E77" s="444"/>
      <c r="F77" s="444"/>
      <c r="G77" s="444"/>
      <c r="H77" s="444"/>
      <c r="I77" s="444"/>
      <c r="J77" s="444"/>
      <c r="K77" s="444"/>
      <c r="L77" s="444"/>
      <c r="M77" s="444"/>
      <c r="N77" s="444"/>
      <c r="O77" s="444"/>
      <c r="P77" s="444"/>
      <c r="Q77" s="444"/>
      <c r="R77" s="444"/>
      <c r="S77" s="670"/>
      <c r="T77" s="670"/>
      <c r="U77" s="670">
        <v>114.62885299999998</v>
      </c>
      <c r="V77" s="444">
        <v>8</v>
      </c>
      <c r="W77" s="444">
        <v>11</v>
      </c>
      <c r="X77" s="654">
        <v>14</v>
      </c>
      <c r="Y77" s="654">
        <v>52.967424000000001</v>
      </c>
      <c r="Z77" s="654">
        <v>13</v>
      </c>
      <c r="AA77" s="654">
        <v>11</v>
      </c>
      <c r="AB77" s="654">
        <v>14</v>
      </c>
      <c r="AC77" s="654">
        <v>43.697899999999997</v>
      </c>
      <c r="AD77" s="654">
        <v>14</v>
      </c>
      <c r="AE77" s="654">
        <v>15</v>
      </c>
      <c r="AF77" s="654">
        <v>16</v>
      </c>
      <c r="AG77" s="654">
        <v>51.802119699999999</v>
      </c>
      <c r="AH77" s="654">
        <v>16</v>
      </c>
      <c r="AI77" s="654">
        <v>16</v>
      </c>
      <c r="AJ77" s="654">
        <v>15</v>
      </c>
      <c r="AK77" s="654">
        <v>52.074568453099999</v>
      </c>
      <c r="AL77" s="654">
        <v>13</v>
      </c>
      <c r="AM77" s="654">
        <v>12</v>
      </c>
      <c r="AN77" s="654">
        <v>11</v>
      </c>
    </row>
    <row r="78" spans="2:40" ht="16.7" customHeight="1" x14ac:dyDescent="0.25">
      <c r="B78" s="413" t="s">
        <v>2299</v>
      </c>
      <c r="C78" s="238"/>
      <c r="D78" s="697"/>
      <c r="E78" s="444"/>
      <c r="F78" s="670"/>
      <c r="G78" s="670"/>
      <c r="H78" s="670"/>
      <c r="I78" s="670"/>
      <c r="J78" s="670"/>
      <c r="K78" s="670"/>
      <c r="L78" s="670"/>
      <c r="M78" s="670"/>
      <c r="N78" s="670"/>
      <c r="O78" s="670"/>
      <c r="P78" s="670"/>
      <c r="Q78" s="670"/>
      <c r="R78" s="670"/>
      <c r="S78" s="670"/>
      <c r="T78" s="670"/>
      <c r="U78" s="670">
        <v>8</v>
      </c>
      <c r="V78" s="444">
        <v>8</v>
      </c>
      <c r="W78" s="444">
        <v>11</v>
      </c>
      <c r="X78" s="654">
        <v>14</v>
      </c>
      <c r="Y78" s="654">
        <v>9</v>
      </c>
      <c r="Z78" s="654">
        <v>13</v>
      </c>
      <c r="AA78" s="654">
        <v>11</v>
      </c>
      <c r="AB78" s="654">
        <v>14</v>
      </c>
      <c r="AC78" s="654">
        <v>7</v>
      </c>
      <c r="AD78" s="654">
        <v>14</v>
      </c>
      <c r="AE78" s="654">
        <v>15</v>
      </c>
      <c r="AF78" s="654">
        <v>16</v>
      </c>
      <c r="AG78" s="654">
        <v>16</v>
      </c>
      <c r="AH78" s="654">
        <v>16</v>
      </c>
      <c r="AI78" s="654">
        <v>16</v>
      </c>
      <c r="AJ78" s="654">
        <v>15</v>
      </c>
      <c r="AK78" s="654">
        <v>14</v>
      </c>
      <c r="AL78" s="654">
        <v>13</v>
      </c>
      <c r="AM78" s="654">
        <v>12</v>
      </c>
      <c r="AN78" s="654">
        <v>11</v>
      </c>
    </row>
    <row r="79" spans="2:40" ht="16.7" customHeight="1" x14ac:dyDescent="0.25">
      <c r="B79" s="413" t="s">
        <v>2300</v>
      </c>
      <c r="C79" s="238"/>
      <c r="D79" s="697"/>
      <c r="E79" s="444"/>
      <c r="F79" s="444"/>
      <c r="G79" s="444"/>
      <c r="H79" s="444"/>
      <c r="I79" s="659"/>
      <c r="J79" s="659"/>
      <c r="K79" s="659"/>
      <c r="L79" s="659"/>
      <c r="M79" s="659"/>
      <c r="N79" s="659"/>
      <c r="O79" s="659"/>
      <c r="P79" s="659"/>
      <c r="Q79" s="659"/>
      <c r="R79" s="659"/>
      <c r="S79" s="695"/>
      <c r="T79" s="695"/>
      <c r="U79" s="672">
        <v>8.6999999999999994E-2</v>
      </c>
      <c r="V79" s="660">
        <v>0</v>
      </c>
      <c r="W79" s="660">
        <v>0</v>
      </c>
      <c r="X79" s="696">
        <v>0</v>
      </c>
      <c r="Y79" s="696">
        <v>3.2000000000000001E-2</v>
      </c>
      <c r="Z79" s="696">
        <v>0</v>
      </c>
      <c r="AA79" s="696">
        <v>0</v>
      </c>
      <c r="AB79" s="696">
        <v>0</v>
      </c>
      <c r="AC79" s="696">
        <v>2.5000000000000001E-2</v>
      </c>
      <c r="AD79" s="696">
        <v>0</v>
      </c>
      <c r="AE79" s="696">
        <v>0</v>
      </c>
      <c r="AF79" s="696">
        <v>0</v>
      </c>
      <c r="AG79" s="696">
        <v>2.3E-2</v>
      </c>
      <c r="AH79" s="696">
        <v>0</v>
      </c>
      <c r="AI79" s="696">
        <v>0</v>
      </c>
      <c r="AJ79" s="696">
        <v>0</v>
      </c>
      <c r="AK79" s="696">
        <v>2.3E-2</v>
      </c>
      <c r="AL79" s="696">
        <v>0</v>
      </c>
      <c r="AM79" s="696">
        <v>0</v>
      </c>
      <c r="AN79" s="696">
        <v>0</v>
      </c>
    </row>
    <row r="80" spans="2:40" ht="16.7" customHeight="1" x14ac:dyDescent="0.25">
      <c r="B80" s="476" t="s">
        <v>1426</v>
      </c>
      <c r="C80" s="238"/>
      <c r="D80" s="697">
        <v>0</v>
      </c>
      <c r="E80" s="444">
        <v>0</v>
      </c>
      <c r="F80" s="444">
        <v>0</v>
      </c>
      <c r="G80" s="444">
        <v>0</v>
      </c>
      <c r="H80" s="444">
        <v>0</v>
      </c>
      <c r="I80" s="444">
        <v>-6.9120000000000346</v>
      </c>
      <c r="J80" s="444">
        <v>-37.9549999999997</v>
      </c>
      <c r="K80" s="444">
        <v>85.725999999999658</v>
      </c>
      <c r="L80" s="444">
        <v>18.405999999999722</v>
      </c>
      <c r="M80" s="444">
        <v>20.282000000000153</v>
      </c>
      <c r="N80" s="444">
        <v>-8.5988400000003367</v>
      </c>
      <c r="O80" s="444">
        <v>-12.537493333333487</v>
      </c>
      <c r="P80" s="444">
        <v>-32.38033333333351</v>
      </c>
      <c r="Q80" s="444">
        <v>72.734879999999521</v>
      </c>
      <c r="R80" s="444">
        <v>75.236879999999019</v>
      </c>
      <c r="S80" s="670">
        <v>66.046879999999419</v>
      </c>
      <c r="T80" s="670">
        <v>90.12587999999937</v>
      </c>
      <c r="U80" s="670">
        <v>55.219026999999414</v>
      </c>
      <c r="V80" s="670">
        <v>69.376026999999112</v>
      </c>
      <c r="W80" s="670">
        <v>73.871026999999231</v>
      </c>
      <c r="X80" s="670">
        <v>92.003026999999292</v>
      </c>
      <c r="Y80" s="670">
        <v>133.13552299999901</v>
      </c>
      <c r="Z80" s="670">
        <v>146.42352299999902</v>
      </c>
      <c r="AA80" s="670">
        <v>149.85352299999886</v>
      </c>
      <c r="AB80" s="670">
        <v>163.69852299999889</v>
      </c>
      <c r="AC80" s="654">
        <v>163.69852299999889</v>
      </c>
      <c r="AD80" s="654">
        <v>163.69852299999889</v>
      </c>
      <c r="AE80" s="654">
        <v>163.69852299999889</v>
      </c>
      <c r="AF80" s="654">
        <v>163.69852299999889</v>
      </c>
      <c r="AG80" s="654">
        <v>163.69852299999889</v>
      </c>
      <c r="AH80" s="654">
        <v>163.69852299999889</v>
      </c>
      <c r="AI80" s="654">
        <v>163.69852299999889</v>
      </c>
      <c r="AJ80" s="654">
        <v>163.69852299999889</v>
      </c>
      <c r="AK80" s="654">
        <v>163.69852299999889</v>
      </c>
      <c r="AL80" s="654">
        <v>163.69852299999889</v>
      </c>
      <c r="AM80" s="654">
        <v>163.69852299999889</v>
      </c>
      <c r="AN80" s="654">
        <v>163.69852299999889</v>
      </c>
    </row>
    <row r="81" spans="2:30" ht="16.7" customHeight="1" x14ac:dyDescent="0.25">
      <c r="B81" s="223"/>
      <c r="C81" s="238"/>
      <c r="S81" s="227"/>
      <c r="T81" s="227"/>
      <c r="U81" s="227"/>
      <c r="V81" s="227"/>
      <c r="W81" s="227"/>
      <c r="X81" s="227"/>
      <c r="Y81" s="227"/>
      <c r="Z81" s="227"/>
      <c r="AA81" s="227"/>
      <c r="AB81" s="227"/>
      <c r="AC81" s="227"/>
      <c r="AD81" s="514"/>
    </row>
    <row r="82" spans="2:30" ht="16.7" customHeight="1" x14ac:dyDescent="0.25">
      <c r="B82" s="223"/>
      <c r="C82" s="238"/>
      <c r="S82" s="227"/>
      <c r="T82" s="227"/>
      <c r="U82" s="227"/>
      <c r="V82" s="227"/>
      <c r="W82" s="227"/>
      <c r="X82" s="227"/>
      <c r="Y82" s="227"/>
      <c r="Z82" s="227"/>
      <c r="AA82" s="227"/>
      <c r="AB82" s="227"/>
      <c r="AC82" s="227"/>
      <c r="AD82" s="514"/>
    </row>
    <row r="83" spans="2:30" ht="16.7" customHeight="1" x14ac:dyDescent="0.25">
      <c r="B83" s="238"/>
      <c r="C83" s="238"/>
      <c r="S83" s="238"/>
      <c r="T83" s="238"/>
      <c r="U83" s="444"/>
      <c r="V83" s="444"/>
      <c r="W83" s="444"/>
      <c r="X83" s="444"/>
      <c r="Y83" s="444"/>
      <c r="Z83" s="444"/>
      <c r="AA83" s="444"/>
      <c r="AB83" s="444"/>
      <c r="AC83" s="444"/>
      <c r="AD83" s="514"/>
    </row>
    <row r="84" spans="2:30" ht="16.7" customHeight="1" x14ac:dyDescent="0.25">
      <c r="B84" s="223"/>
      <c r="C84" s="238"/>
      <c r="S84" s="238"/>
      <c r="T84" s="238"/>
      <c r="U84" s="444"/>
      <c r="V84" s="444"/>
      <c r="W84" s="444"/>
      <c r="X84" s="444"/>
      <c r="Y84" s="444"/>
      <c r="Z84" s="444"/>
      <c r="AA84" s="444"/>
      <c r="AB84" s="444"/>
      <c r="AC84" s="444"/>
      <c r="AD84" s="514"/>
    </row>
    <row r="85" spans="2:30" ht="16.7" customHeight="1" x14ac:dyDescent="0.25">
      <c r="B85" s="223"/>
      <c r="C85" s="238"/>
      <c r="S85" s="238"/>
      <c r="T85" s="238"/>
      <c r="U85" s="227"/>
      <c r="V85" s="227"/>
      <c r="W85" s="227"/>
      <c r="X85" s="227"/>
      <c r="Y85" s="227"/>
      <c r="Z85" s="227"/>
      <c r="AA85" s="227"/>
      <c r="AB85" s="227"/>
      <c r="AC85" s="227"/>
      <c r="AD85" s="514"/>
    </row>
    <row r="86" spans="2:30" ht="16.7" customHeight="1" x14ac:dyDescent="0.25">
      <c r="B86" s="223"/>
      <c r="C86" s="238"/>
      <c r="S86" s="238"/>
      <c r="T86" s="238"/>
      <c r="U86" s="673"/>
      <c r="V86" s="673"/>
      <c r="W86" s="673"/>
      <c r="X86" s="673"/>
      <c r="Y86" s="673"/>
      <c r="Z86" s="673"/>
      <c r="AA86" s="673"/>
      <c r="AB86" s="673"/>
      <c r="AC86" s="673"/>
      <c r="AD86" s="514"/>
    </row>
    <row r="87" spans="2:30" ht="16.7" customHeight="1" x14ac:dyDescent="0.25">
      <c r="B87" s="238"/>
      <c r="C87" s="238"/>
      <c r="S87" s="227"/>
      <c r="T87" s="227"/>
      <c r="U87" s="227"/>
      <c r="V87" s="227"/>
      <c r="W87" s="227"/>
      <c r="X87" s="227"/>
      <c r="Y87" s="227"/>
      <c r="Z87" s="227"/>
      <c r="AA87" s="227"/>
      <c r="AB87" s="227"/>
      <c r="AC87" s="227"/>
      <c r="AD87" s="514"/>
    </row>
    <row r="88" spans="2:30" ht="22.5" customHeight="1" x14ac:dyDescent="0.25">
      <c r="B88" s="273"/>
      <c r="C88" s="238"/>
      <c r="D88" s="227"/>
      <c r="E88" s="227"/>
      <c r="F88" s="227"/>
      <c r="G88" s="227"/>
      <c r="H88" s="227"/>
      <c r="I88" s="227"/>
      <c r="J88" s="227"/>
      <c r="K88" s="227"/>
      <c r="L88" s="227"/>
      <c r="M88" s="227"/>
      <c r="N88" s="227"/>
      <c r="O88" s="227"/>
      <c r="P88" s="227"/>
      <c r="Q88" s="227"/>
      <c r="R88" s="227"/>
      <c r="S88" s="227"/>
      <c r="T88" s="227"/>
      <c r="U88" s="227"/>
      <c r="V88" s="227"/>
      <c r="W88" s="227"/>
      <c r="X88" s="227"/>
      <c r="Y88" s="227"/>
      <c r="Z88" s="227"/>
      <c r="AA88" s="227"/>
      <c r="AB88" s="227"/>
      <c r="AC88" s="227"/>
    </row>
    <row r="89" spans="2:30" ht="22.5" customHeight="1" x14ac:dyDescent="0.25">
      <c r="B89" s="273"/>
      <c r="C89" s="238"/>
      <c r="D89" s="227"/>
      <c r="E89" s="227"/>
      <c r="F89" s="227"/>
      <c r="G89" s="227"/>
      <c r="H89" s="227"/>
      <c r="I89" s="227"/>
      <c r="J89" s="227"/>
      <c r="K89" s="227"/>
      <c r="L89" s="227"/>
      <c r="M89" s="227"/>
      <c r="N89" s="227"/>
      <c r="O89" s="227"/>
      <c r="P89" s="227"/>
      <c r="Q89" s="227"/>
      <c r="R89" s="227"/>
      <c r="S89" s="227"/>
      <c r="T89" s="227"/>
      <c r="U89" s="227"/>
      <c r="V89" s="227"/>
      <c r="W89" s="227"/>
      <c r="X89" s="227"/>
      <c r="Y89" s="227"/>
      <c r="Z89" s="227"/>
      <c r="AA89" s="227"/>
      <c r="AB89" s="227"/>
      <c r="AC89" s="227"/>
    </row>
    <row r="90" spans="2:30" ht="38.450000000000003" customHeight="1" x14ac:dyDescent="0.25">
      <c r="B90" s="649"/>
      <c r="C90" s="650">
        <v>2016</v>
      </c>
      <c r="D90" s="651">
        <f>C90+1</f>
        <v>2017</v>
      </c>
      <c r="E90" s="651">
        <f t="shared" ref="E90:R90" si="87">D90+1</f>
        <v>2018</v>
      </c>
      <c r="F90" s="651">
        <f t="shared" si="87"/>
        <v>2019</v>
      </c>
      <c r="G90" s="651">
        <f t="shared" si="87"/>
        <v>2020</v>
      </c>
      <c r="H90" s="651">
        <f t="shared" si="87"/>
        <v>2021</v>
      </c>
      <c r="I90" s="651">
        <f t="shared" si="87"/>
        <v>2022</v>
      </c>
      <c r="J90" s="651">
        <f t="shared" si="87"/>
        <v>2023</v>
      </c>
      <c r="K90" s="651">
        <f t="shared" si="87"/>
        <v>2024</v>
      </c>
      <c r="L90" s="651">
        <f t="shared" si="87"/>
        <v>2025</v>
      </c>
      <c r="M90" s="651">
        <f t="shared" si="87"/>
        <v>2026</v>
      </c>
      <c r="N90" s="651">
        <f t="shared" si="87"/>
        <v>2027</v>
      </c>
      <c r="O90" s="651">
        <f t="shared" si="87"/>
        <v>2028</v>
      </c>
      <c r="P90" s="651">
        <f t="shared" si="87"/>
        <v>2029</v>
      </c>
      <c r="Q90" s="651">
        <f t="shared" si="87"/>
        <v>2030</v>
      </c>
      <c r="R90" s="651">
        <f t="shared" si="87"/>
        <v>2031</v>
      </c>
      <c r="S90" s="227"/>
      <c r="T90" s="227"/>
      <c r="U90" s="227"/>
      <c r="V90" s="227"/>
      <c r="W90" s="227"/>
      <c r="X90" s="227"/>
      <c r="Y90" s="227"/>
      <c r="Z90" s="227"/>
      <c r="AA90" s="227"/>
      <c r="AB90" s="227"/>
      <c r="AC90" s="227"/>
    </row>
    <row r="91" spans="2:30" ht="38.450000000000003" customHeight="1" x14ac:dyDescent="0.25">
      <c r="B91" s="655" t="s">
        <v>1979</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259">
        <v>2288.683</v>
      </c>
      <c r="T91" s="259">
        <v>2399.4650000000001</v>
      </c>
      <c r="U91" s="259">
        <v>2510.5969999999998</v>
      </c>
      <c r="V91" s="227">
        <v>2623.808</v>
      </c>
      <c r="W91" s="227"/>
      <c r="X91" s="227"/>
      <c r="Y91" s="227"/>
      <c r="Z91" s="227"/>
      <c r="AA91" s="227"/>
      <c r="AB91" s="227"/>
      <c r="AC91" s="227"/>
    </row>
    <row r="92" spans="2:30" ht="38.450000000000003" customHeight="1" x14ac:dyDescent="0.25">
      <c r="B92" s="398" t="s">
        <v>1980</v>
      </c>
      <c r="C92">
        <v>890.39374999999995</v>
      </c>
      <c r="D92">
        <v>918.71375</v>
      </c>
      <c r="E92">
        <v>960.61400000000003</v>
      </c>
      <c r="F92">
        <v>1016.043</v>
      </c>
      <c r="G92">
        <v>1066.5944999999999</v>
      </c>
      <c r="H92">
        <v>1105.0552499999999</v>
      </c>
      <c r="I92">
        <v>1186.6424999999999</v>
      </c>
      <c r="J92">
        <v>1319.8822500000001</v>
      </c>
      <c r="K92">
        <v>1423.3489999999999</v>
      </c>
      <c r="L92" s="259">
        <f>AVERAGE(AB70:AE70)</f>
        <v>1511.66525</v>
      </c>
      <c r="M92" s="259">
        <f>AVERAGE(AF70:AI70)</f>
        <v>1607.7717837499999</v>
      </c>
      <c r="N92" s="259">
        <f>AVERAGE(AJ70:AM70)</f>
        <v>1704.2852847762501</v>
      </c>
      <c r="S92" s="227"/>
      <c r="T92" s="227"/>
      <c r="U92" s="227"/>
      <c r="V92" s="227"/>
      <c r="W92" s="227"/>
      <c r="X92" s="227"/>
      <c r="Y92" s="227"/>
      <c r="Z92" s="227"/>
      <c r="AA92" s="227"/>
      <c r="AB92" s="227"/>
      <c r="AC92" s="227"/>
    </row>
    <row r="93" spans="2:30" ht="69" customHeight="1" x14ac:dyDescent="0.25">
      <c r="B93" s="273" t="s">
        <v>1981</v>
      </c>
      <c r="C93" s="238">
        <f>C92/C91</f>
        <v>0.97813220916181476</v>
      </c>
      <c r="D93" s="238">
        <f t="shared" ref="D93:K93" si="88">D92/D91</f>
        <v>0.97818755323679718</v>
      </c>
      <c r="E93" s="238">
        <f t="shared" si="88"/>
        <v>0.97822199592668024</v>
      </c>
      <c r="F93" s="238">
        <f t="shared" si="88"/>
        <v>0.97837554164660567</v>
      </c>
      <c r="G93" s="238">
        <f t="shared" si="88"/>
        <v>0.97861684558216333</v>
      </c>
      <c r="H93" s="238">
        <f t="shared" si="88"/>
        <v>0.9789646084337349</v>
      </c>
      <c r="I93" s="238">
        <f t="shared" si="88"/>
        <v>0.97867422680412364</v>
      </c>
      <c r="J93" s="238">
        <f t="shared" si="88"/>
        <v>0.97914113501483691</v>
      </c>
      <c r="K93" s="238">
        <f t="shared" si="88"/>
        <v>0.97863415345181315</v>
      </c>
      <c r="L93" s="238">
        <f t="shared" ref="L93" si="89">L92/L91</f>
        <v>0.96155305487918141</v>
      </c>
      <c r="M93" s="238">
        <f t="shared" ref="M93" si="90">M92/M91</f>
        <v>0.96607953606577968</v>
      </c>
      <c r="N93" s="238">
        <f t="shared" ref="N93" si="91">N92/N91</f>
        <v>0.96786108110627211</v>
      </c>
      <c r="P93" s="227"/>
      <c r="Q93" s="227"/>
      <c r="R93" s="227"/>
      <c r="S93" s="227"/>
      <c r="T93" s="227"/>
      <c r="U93" s="227"/>
      <c r="V93" s="227"/>
      <c r="W93" s="227"/>
      <c r="X93" s="227"/>
      <c r="Y93" s="227"/>
      <c r="Z93" s="227"/>
      <c r="AA93" s="227"/>
      <c r="AB93" s="227"/>
      <c r="AC93" s="227"/>
    </row>
    <row r="94" spans="2:30" x14ac:dyDescent="0.25">
      <c r="I94" s="238"/>
      <c r="J94" s="238"/>
      <c r="K94" s="238"/>
      <c r="L94" s="238">
        <f>L91*$K$93</f>
        <v>1538.5185817148231</v>
      </c>
      <c r="M94" s="238">
        <f t="shared" ref="M94:N94" si="92">M91*$K$93</f>
        <v>1628.6654667600367</v>
      </c>
      <c r="N94" s="238">
        <f t="shared" si="92"/>
        <v>1723.2553508619217</v>
      </c>
      <c r="P94" s="238"/>
    </row>
    <row r="95" spans="2:30" x14ac:dyDescent="0.25">
      <c r="L95" s="74">
        <f>L94-L92</f>
        <v>26.853331714823071</v>
      </c>
      <c r="M95" s="74">
        <f t="shared" ref="M95:N95" si="93">M94-M92</f>
        <v>20.893683010036739</v>
      </c>
      <c r="N95" s="74">
        <f t="shared" si="93"/>
        <v>18.970066085671533</v>
      </c>
      <c r="R95" s="514"/>
    </row>
    <row r="97" spans="3:14" x14ac:dyDescent="0.25">
      <c r="C97" t="e">
        <f t="shared" ref="C97:M97" si="94">C91/B91-1</f>
        <v>#VALUE!</v>
      </c>
      <c r="D97">
        <f t="shared" si="94"/>
        <v>3.1747775458640159E-2</v>
      </c>
      <c r="E97">
        <f t="shared" si="94"/>
        <v>4.557069846678008E-2</v>
      </c>
      <c r="F97">
        <f t="shared" si="94"/>
        <v>5.7535641547861616E-2</v>
      </c>
      <c r="G97">
        <f t="shared" si="94"/>
        <v>4.9494463168030967E-2</v>
      </c>
      <c r="H97">
        <f t="shared" si="94"/>
        <v>3.5691347830075992E-2</v>
      </c>
      <c r="I97">
        <f t="shared" si="94"/>
        <v>7.4149539333805858E-2</v>
      </c>
      <c r="J97">
        <f t="shared" si="94"/>
        <v>0.11175257731958754</v>
      </c>
      <c r="K97">
        <f t="shared" si="94"/>
        <v>7.8949554896142526E-2</v>
      </c>
      <c r="L97">
        <f t="shared" si="94"/>
        <v>8.0914506361281058E-2</v>
      </c>
      <c r="M97">
        <f t="shared" si="94"/>
        <v>5.8593302750192811E-2</v>
      </c>
      <c r="N97">
        <f>N91/M91-1</f>
        <v>5.8078154189672881E-2</v>
      </c>
    </row>
    <row r="98" spans="3:14" ht="13.35" customHeight="1" x14ac:dyDescent="0.25"/>
    <row r="102" spans="3:14" ht="27.6" customHeight="1" x14ac:dyDescent="0.25"/>
  </sheetData>
  <mergeCells count="35">
    <mergeCell ref="AK59:AN59"/>
    <mergeCell ref="AK9:AN9"/>
    <mergeCell ref="AK48:AN48"/>
    <mergeCell ref="U9:X9"/>
    <mergeCell ref="Q59:T59"/>
    <mergeCell ref="AC59:AF59"/>
    <mergeCell ref="AG48:AJ48"/>
    <mergeCell ref="AG59:AJ59"/>
    <mergeCell ref="Q48:T48"/>
    <mergeCell ref="AG9:AJ9"/>
    <mergeCell ref="AC58:AN58"/>
    <mergeCell ref="B1:AC1"/>
    <mergeCell ref="B2:AC6"/>
    <mergeCell ref="E9:H9"/>
    <mergeCell ref="I9:L9"/>
    <mergeCell ref="M9:P9"/>
    <mergeCell ref="Q9:T9"/>
    <mergeCell ref="AC9:AF9"/>
    <mergeCell ref="AC8:AN8"/>
    <mergeCell ref="D8:AB8"/>
    <mergeCell ref="B11:C11"/>
    <mergeCell ref="B46:AC46"/>
    <mergeCell ref="B47:C49"/>
    <mergeCell ref="E48:H48"/>
    <mergeCell ref="I48:L48"/>
    <mergeCell ref="B35:C35"/>
    <mergeCell ref="AC48:AF48"/>
    <mergeCell ref="AC47:AN47"/>
    <mergeCell ref="D47:AB47"/>
    <mergeCell ref="B58:C60"/>
    <mergeCell ref="E59:H59"/>
    <mergeCell ref="I59:L59"/>
    <mergeCell ref="M48:P48"/>
    <mergeCell ref="M59:P59"/>
    <mergeCell ref="D58:AB58"/>
  </mergeCells>
  <pageMargins left="0.7" right="0.7" top="0.75" bottom="0.75" header="0.3" footer="0.3"/>
  <pageSetup paperSize="9" orientation="portrait" horizontalDpi="300" verticalDpi="300"/>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W139"/>
  <sheetViews>
    <sheetView zoomScale="85" zoomScaleNormal="85" workbookViewId="0">
      <pane xSplit="2" ySplit="11" topLeftCell="P12" activePane="bottomRight" state="frozen"/>
      <selection pane="topRight" activeCell="C1" sqref="C1"/>
      <selection pane="bottomLeft" activeCell="A12" sqref="A12"/>
      <selection pane="bottomRight" activeCell="Y15" sqref="Y15"/>
    </sheetView>
  </sheetViews>
  <sheetFormatPr defaultColWidth="10.85546875" defaultRowHeight="15" outlineLevelRow="1" x14ac:dyDescent="0.25"/>
  <cols>
    <col min="2" max="2" width="71.140625" customWidth="1"/>
    <col min="4" max="6" width="12.140625" customWidth="1"/>
    <col min="7" max="7" width="10.42578125" customWidth="1"/>
    <col min="8" max="8" width="12.140625" customWidth="1"/>
    <col min="9" max="9" width="12" customWidth="1"/>
    <col min="10" max="29" width="13.28515625" customWidth="1"/>
  </cols>
  <sheetData>
    <row r="1" spans="1:29" ht="18" customHeight="1" x14ac:dyDescent="0.25">
      <c r="B1" s="1361" t="s">
        <v>463</v>
      </c>
      <c r="C1" s="1361"/>
      <c r="D1" s="1361"/>
      <c r="E1" s="1361"/>
      <c r="F1" s="1361"/>
      <c r="G1" s="1361"/>
      <c r="H1" s="1361"/>
      <c r="I1" s="1361"/>
      <c r="J1" s="1361"/>
      <c r="K1" s="1361"/>
      <c r="L1" s="1361"/>
      <c r="M1" s="1361"/>
      <c r="N1" s="1361"/>
      <c r="O1" s="1361"/>
      <c r="P1" s="1361"/>
      <c r="Q1" s="1361"/>
      <c r="R1" s="1361"/>
      <c r="S1" s="1361"/>
      <c r="T1" s="1361"/>
      <c r="U1" s="1361"/>
      <c r="V1" s="1361"/>
      <c r="W1" s="1361"/>
      <c r="X1" s="1361"/>
      <c r="Y1" s="1361"/>
      <c r="Z1" s="1361"/>
      <c r="AA1" s="1361"/>
      <c r="AB1" s="1361"/>
      <c r="AC1" s="1361"/>
    </row>
    <row r="2" spans="1:29" ht="34.5" hidden="1" customHeight="1" outlineLevel="1" x14ac:dyDescent="0.25">
      <c r="B2" s="1265" t="s">
        <v>858</v>
      </c>
      <c r="C2" s="1306"/>
      <c r="D2" s="1306"/>
      <c r="E2" s="1306"/>
      <c r="F2" s="1306"/>
      <c r="G2" s="1306"/>
      <c r="H2" s="1306"/>
      <c r="I2" s="1306"/>
      <c r="J2" s="1306"/>
      <c r="K2" s="1306"/>
      <c r="L2" s="1306"/>
      <c r="M2" s="1306"/>
      <c r="N2" s="1306"/>
      <c r="O2" s="1306"/>
      <c r="P2" s="1306"/>
      <c r="Q2" s="1306"/>
      <c r="R2" s="1306"/>
      <c r="S2" s="1306"/>
      <c r="T2" s="1306"/>
      <c r="U2" s="1306"/>
      <c r="V2" s="1306"/>
      <c r="W2" s="1306"/>
      <c r="X2" s="1306"/>
      <c r="Y2" s="1306"/>
      <c r="Z2" s="1306"/>
      <c r="AA2" s="1306"/>
      <c r="AB2" s="1306"/>
      <c r="AC2" s="1306"/>
    </row>
    <row r="3" spans="1:29" ht="3" hidden="1" customHeight="1" outlineLevel="1" x14ac:dyDescent="0.25">
      <c r="B3" s="1306"/>
      <c r="C3" s="1306"/>
      <c r="D3" s="1306"/>
      <c r="E3" s="1306"/>
      <c r="F3" s="1306"/>
      <c r="G3" s="1306"/>
      <c r="H3" s="1306"/>
      <c r="I3" s="1306"/>
      <c r="J3" s="1306"/>
      <c r="K3" s="1306"/>
      <c r="L3" s="1306"/>
      <c r="M3" s="1306"/>
      <c r="N3" s="1306"/>
      <c r="O3" s="1306"/>
      <c r="P3" s="1306"/>
      <c r="Q3" s="1306"/>
      <c r="R3" s="1306"/>
      <c r="S3" s="1306"/>
      <c r="T3" s="1306"/>
      <c r="U3" s="1306"/>
      <c r="V3" s="1306"/>
      <c r="W3" s="1306"/>
      <c r="X3" s="1306"/>
      <c r="Y3" s="1306"/>
      <c r="Z3" s="1306"/>
      <c r="AA3" s="1306"/>
      <c r="AB3" s="1306"/>
      <c r="AC3" s="1306"/>
    </row>
    <row r="4" spans="1:29" ht="10.35" hidden="1" customHeight="1" outlineLevel="1" x14ac:dyDescent="0.25">
      <c r="B4" s="1306"/>
      <c r="C4" s="1306"/>
      <c r="D4" s="1306"/>
      <c r="E4" s="1306"/>
      <c r="F4" s="1306"/>
      <c r="G4" s="1306"/>
      <c r="H4" s="1306"/>
      <c r="I4" s="1306"/>
      <c r="J4" s="1306"/>
      <c r="K4" s="1306"/>
      <c r="L4" s="1306"/>
      <c r="M4" s="1306"/>
      <c r="N4" s="1306"/>
      <c r="O4" s="1306"/>
      <c r="P4" s="1306"/>
      <c r="Q4" s="1306"/>
      <c r="R4" s="1306"/>
      <c r="S4" s="1306"/>
      <c r="T4" s="1306"/>
      <c r="U4" s="1306"/>
      <c r="V4" s="1306"/>
      <c r="W4" s="1306"/>
      <c r="X4" s="1306"/>
      <c r="Y4" s="1306"/>
      <c r="Z4" s="1306"/>
      <c r="AA4" s="1306"/>
      <c r="AB4" s="1306"/>
      <c r="AC4" s="1306"/>
    </row>
    <row r="5" spans="1:29" ht="14.25" hidden="1" customHeight="1" outlineLevel="1" x14ac:dyDescent="0.25">
      <c r="B5" s="1306"/>
      <c r="C5" s="1306"/>
      <c r="D5" s="1306"/>
      <c r="E5" s="1306"/>
      <c r="F5" s="1306"/>
      <c r="G5" s="1306"/>
      <c r="H5" s="1306"/>
      <c r="I5" s="1306"/>
      <c r="J5" s="1306"/>
      <c r="K5" s="1306"/>
      <c r="L5" s="1306"/>
      <c r="M5" s="1306"/>
      <c r="N5" s="1306"/>
      <c r="O5" s="1306"/>
      <c r="P5" s="1306"/>
      <c r="Q5" s="1306"/>
      <c r="R5" s="1306"/>
      <c r="S5" s="1306"/>
      <c r="T5" s="1306"/>
      <c r="U5" s="1306"/>
      <c r="V5" s="1306"/>
      <c r="W5" s="1306"/>
      <c r="X5" s="1306"/>
      <c r="Y5" s="1306"/>
      <c r="Z5" s="1306"/>
      <c r="AA5" s="1306"/>
      <c r="AB5" s="1306"/>
      <c r="AC5" s="1306"/>
    </row>
    <row r="6" spans="1:29" ht="14.25" hidden="1" customHeight="1" outlineLevel="1" x14ac:dyDescent="0.25">
      <c r="B6" s="1306"/>
      <c r="C6" s="1306"/>
      <c r="D6" s="1306"/>
      <c r="E6" s="1306"/>
      <c r="F6" s="1306"/>
      <c r="G6" s="1306"/>
      <c r="H6" s="1306"/>
      <c r="I6" s="1306"/>
      <c r="J6" s="1306"/>
      <c r="K6" s="1306"/>
      <c r="L6" s="1306"/>
      <c r="M6" s="1306"/>
      <c r="N6" s="1306"/>
      <c r="O6" s="1306"/>
      <c r="P6" s="1306"/>
      <c r="Q6" s="1306"/>
      <c r="R6" s="1306"/>
      <c r="S6" s="1306"/>
      <c r="T6" s="1306"/>
      <c r="U6" s="1306"/>
      <c r="V6" s="1306"/>
      <c r="W6" s="1306"/>
      <c r="X6" s="1306"/>
      <c r="Y6" s="1306"/>
      <c r="Z6" s="1306"/>
      <c r="AA6" s="1306"/>
      <c r="AB6" s="1306"/>
      <c r="AC6" s="1306"/>
    </row>
    <row r="7" spans="1:29" collapsed="1" x14ac:dyDescent="0.25">
      <c r="B7" s="703" t="s">
        <v>332</v>
      </c>
      <c r="C7" s="258"/>
      <c r="D7" s="258"/>
      <c r="E7" s="258"/>
      <c r="F7" s="258"/>
      <c r="G7" s="258"/>
      <c r="H7" s="259"/>
      <c r="I7" s="259"/>
      <c r="J7" s="259"/>
      <c r="K7" s="259"/>
      <c r="L7" s="259"/>
      <c r="M7" s="259"/>
      <c r="N7" s="259"/>
      <c r="O7" s="259"/>
      <c r="P7" s="259"/>
      <c r="Q7" s="259"/>
      <c r="R7" s="259"/>
      <c r="S7" s="259"/>
      <c r="T7" s="259"/>
      <c r="U7" s="259"/>
    </row>
    <row r="8" spans="1:29" ht="14.85" customHeight="1" x14ac:dyDescent="0.25">
      <c r="B8" s="675" t="s">
        <v>303</v>
      </c>
      <c r="C8" s="676"/>
      <c r="D8" s="726" t="s">
        <v>279</v>
      </c>
      <c r="E8" s="727"/>
      <c r="F8" s="727"/>
      <c r="G8" s="727"/>
      <c r="H8" s="727"/>
      <c r="I8" s="727"/>
      <c r="J8" s="727"/>
      <c r="K8" s="727"/>
      <c r="L8" s="727"/>
      <c r="M8" s="727"/>
      <c r="N8" s="727"/>
      <c r="O8" s="727"/>
      <c r="P8" s="1315"/>
      <c r="Q8" s="1315"/>
      <c r="R8" s="1315"/>
      <c r="S8" s="1315"/>
      <c r="T8" s="1315"/>
      <c r="U8" s="1315"/>
      <c r="V8" s="1274"/>
      <c r="W8" s="1296" t="s">
        <v>280</v>
      </c>
      <c r="X8" s="1277"/>
      <c r="Y8" s="1277"/>
      <c r="Z8" s="1277"/>
      <c r="AA8" s="1277"/>
      <c r="AB8" s="1277"/>
      <c r="AC8" s="1278"/>
    </row>
    <row r="9" spans="1:29" ht="14.85" customHeight="1" x14ac:dyDescent="0.25">
      <c r="B9" s="677"/>
      <c r="C9" s="678"/>
      <c r="D9" s="285">
        <v>2018</v>
      </c>
      <c r="E9" s="1288">
        <v>2019</v>
      </c>
      <c r="F9" s="1289"/>
      <c r="G9" s="1289"/>
      <c r="H9" s="1290"/>
      <c r="I9" s="1288">
        <v>2020</v>
      </c>
      <c r="J9" s="1289"/>
      <c r="K9" s="1289"/>
      <c r="L9" s="1289"/>
      <c r="M9" s="1288">
        <v>2021</v>
      </c>
      <c r="N9" s="1289"/>
      <c r="O9" s="1289"/>
      <c r="P9" s="1289"/>
      <c r="Q9" s="1288">
        <v>2022</v>
      </c>
      <c r="R9" s="1300"/>
      <c r="S9" s="1300"/>
      <c r="T9" s="1290"/>
      <c r="U9" s="291"/>
      <c r="V9" s="291">
        <v>2023</v>
      </c>
      <c r="W9" s="621"/>
      <c r="X9" s="324"/>
      <c r="Y9" s="1275">
        <v>2024</v>
      </c>
      <c r="Z9" s="1281"/>
      <c r="AA9" s="1281"/>
      <c r="AB9" s="1280"/>
      <c r="AC9" s="293">
        <v>2025</v>
      </c>
    </row>
    <row r="10" spans="1:29" x14ac:dyDescent="0.25">
      <c r="B10" s="677"/>
      <c r="C10" s="678"/>
      <c r="D10" s="214" t="s">
        <v>281</v>
      </c>
      <c r="E10" s="214" t="s">
        <v>282</v>
      </c>
      <c r="F10" s="215" t="s">
        <v>283</v>
      </c>
      <c r="G10" s="215" t="s">
        <v>238</v>
      </c>
      <c r="H10" s="221" t="s">
        <v>281</v>
      </c>
      <c r="I10" s="215" t="s">
        <v>282</v>
      </c>
      <c r="J10" s="215" t="s">
        <v>283</v>
      </c>
      <c r="K10" s="215" t="s">
        <v>238</v>
      </c>
      <c r="L10" s="215" t="s">
        <v>281</v>
      </c>
      <c r="M10" s="214" t="s">
        <v>282</v>
      </c>
      <c r="N10" s="215" t="s">
        <v>283</v>
      </c>
      <c r="O10" s="215" t="s">
        <v>238</v>
      </c>
      <c r="P10" s="215" t="s">
        <v>281</v>
      </c>
      <c r="Q10" s="214" t="s">
        <v>282</v>
      </c>
      <c r="R10" s="215" t="s">
        <v>283</v>
      </c>
      <c r="S10" s="215" t="s">
        <v>238</v>
      </c>
      <c r="T10" s="221" t="s">
        <v>281</v>
      </c>
      <c r="U10" s="215" t="s">
        <v>282</v>
      </c>
      <c r="V10" s="276" t="s">
        <v>283</v>
      </c>
      <c r="W10" s="262" t="s">
        <v>238</v>
      </c>
      <c r="X10" s="290" t="s">
        <v>281</v>
      </c>
      <c r="Y10" s="288" t="s">
        <v>282</v>
      </c>
      <c r="Z10" s="260" t="s">
        <v>283</v>
      </c>
      <c r="AA10" s="262" t="s">
        <v>238</v>
      </c>
      <c r="AB10" s="262" t="s">
        <v>281</v>
      </c>
      <c r="AC10" s="294" t="s">
        <v>282</v>
      </c>
    </row>
    <row r="11" spans="1:29" ht="15" customHeight="1" x14ac:dyDescent="0.25">
      <c r="B11" s="1358" t="s">
        <v>464</v>
      </c>
      <c r="C11" s="1359"/>
      <c r="D11" s="648"/>
      <c r="E11" s="700"/>
      <c r="F11" s="700"/>
      <c r="G11" s="700"/>
      <c r="H11" s="309"/>
      <c r="I11" s="309"/>
      <c r="J11" s="309"/>
      <c r="K11" s="309"/>
      <c r="L11" s="309"/>
      <c r="M11" s="564"/>
      <c r="N11" s="564"/>
      <c r="O11" s="564"/>
      <c r="P11" s="309"/>
      <c r="Q11" s="309"/>
      <c r="R11" s="309"/>
      <c r="S11" s="309"/>
      <c r="T11" s="277"/>
      <c r="U11" s="309"/>
      <c r="V11" s="309"/>
      <c r="W11" s="216"/>
      <c r="X11" s="216"/>
      <c r="Y11" s="216"/>
      <c r="Z11" s="216"/>
      <c r="AA11" s="216"/>
      <c r="AB11" s="216"/>
      <c r="AC11" s="217"/>
    </row>
    <row r="12" spans="1:29" ht="17.100000000000001" customHeight="1" x14ac:dyDescent="0.25">
      <c r="A12" t="s">
        <v>1845</v>
      </c>
      <c r="B12" s="736" t="s">
        <v>465</v>
      </c>
      <c r="C12" s="238" t="s">
        <v>466</v>
      </c>
      <c r="D12" s="583">
        <f>'Haver Pivoted'!GO31</f>
        <v>2223</v>
      </c>
      <c r="E12" s="491">
        <f>'Haver Pivoted'!GP31</f>
        <v>2303.8000000000002</v>
      </c>
      <c r="F12" s="491">
        <f>'Haver Pivoted'!GQ31</f>
        <v>2321.6999999999998</v>
      </c>
      <c r="G12" s="491">
        <f>'Haver Pivoted'!GR31</f>
        <v>2337.1</v>
      </c>
      <c r="H12" s="491">
        <f>'Haver Pivoted'!GS31</f>
        <v>2349.5</v>
      </c>
      <c r="I12" s="491">
        <f>'Haver Pivoted'!GT31</f>
        <v>2414.4</v>
      </c>
      <c r="J12" s="491">
        <f>'Haver Pivoted'!GU31</f>
        <v>4654.1000000000004</v>
      </c>
      <c r="K12" s="491">
        <f>'Haver Pivoted'!GV31</f>
        <v>3504.7</v>
      </c>
      <c r="L12" s="491">
        <f>'Haver Pivoted'!GW31</f>
        <v>2888.4</v>
      </c>
      <c r="M12" s="491">
        <f>'Haver Pivoted'!GX31</f>
        <v>5138.1000000000004</v>
      </c>
      <c r="N12" s="491">
        <f>'Haver Pivoted'!GY31</f>
        <v>3397.8</v>
      </c>
      <c r="O12" s="491">
        <f>'Haver Pivoted'!GZ31</f>
        <v>3124.9</v>
      </c>
      <c r="P12" s="491">
        <f>'Haver Pivoted'!HA31</f>
        <v>2952.6</v>
      </c>
      <c r="Q12" s="491">
        <f>'Haver Pivoted'!HB31</f>
        <v>2970.9</v>
      </c>
      <c r="R12" s="491">
        <f>'Haver Pivoted'!HC31</f>
        <v>2976.2</v>
      </c>
      <c r="S12" s="553">
        <f>'Haver Pivoted'!HD31</f>
        <v>2970.4</v>
      </c>
      <c r="T12" s="553">
        <f>'Haver Pivoted'!HE31</f>
        <v>3024.4</v>
      </c>
      <c r="U12" s="553">
        <f>'Haver Pivoted'!HF31</f>
        <v>3038.4</v>
      </c>
      <c r="V12" s="553">
        <f>'Haver Pivoted'!HG31</f>
        <v>3049.1</v>
      </c>
      <c r="W12" s="653">
        <f t="shared" ref="W12:AC12" si="0">SUM(W14:W39)-W38</f>
        <v>3234.0849999999996</v>
      </c>
      <c r="X12" s="653">
        <f t="shared" si="0"/>
        <v>3252.9990000000003</v>
      </c>
      <c r="Y12" s="653">
        <f t="shared" si="0"/>
        <v>3315.8425447000004</v>
      </c>
      <c r="Z12" s="653">
        <f t="shared" si="0"/>
        <v>3340.4425447000008</v>
      </c>
      <c r="AA12" s="653">
        <f t="shared" si="0"/>
        <v>3371.0425447000007</v>
      </c>
      <c r="AB12" s="653">
        <f t="shared" si="0"/>
        <v>3405.1965447000002</v>
      </c>
      <c r="AC12" s="728">
        <f t="shared" si="0"/>
        <v>3473.0437550960005</v>
      </c>
    </row>
    <row r="13" spans="1:29" ht="15.6" customHeight="1" x14ac:dyDescent="0.25">
      <c r="A13" t="s">
        <v>1845</v>
      </c>
      <c r="B13" s="735" t="s">
        <v>796</v>
      </c>
      <c r="C13" s="238" t="s">
        <v>823</v>
      </c>
      <c r="D13" s="264">
        <v>30</v>
      </c>
      <c r="E13" s="234">
        <v>30</v>
      </c>
      <c r="F13" s="234">
        <v>30</v>
      </c>
      <c r="G13" s="234">
        <v>30</v>
      </c>
      <c r="H13" s="234">
        <v>30</v>
      </c>
      <c r="I13" s="234">
        <v>30</v>
      </c>
      <c r="J13" s="234">
        <v>30</v>
      </c>
      <c r="K13" s="230">
        <v>30.2</v>
      </c>
      <c r="L13" s="230">
        <v>30.2</v>
      </c>
      <c r="M13" s="230">
        <f>'Haver Pivoted'!GX89</f>
        <v>34.4</v>
      </c>
      <c r="N13" s="230">
        <f>'Haver Pivoted'!GY89</f>
        <v>34.4</v>
      </c>
      <c r="O13" s="230">
        <f>'Haver Pivoted'!GZ89</f>
        <v>218.933333333333</v>
      </c>
      <c r="P13" s="230">
        <f>'Haver Pivoted'!HA89</f>
        <v>223.13333333333301</v>
      </c>
      <c r="Q13" s="230">
        <f>'Haver Pivoted'!HB89</f>
        <v>94.3</v>
      </c>
      <c r="R13" s="230">
        <f>'Haver Pivoted'!HC89</f>
        <v>94.3</v>
      </c>
      <c r="S13" s="230">
        <f>'Haver Pivoted'!HD89</f>
        <v>94.3</v>
      </c>
      <c r="T13" s="230">
        <f>'Haver Pivoted'!HE89</f>
        <v>94.3</v>
      </c>
      <c r="U13" s="653">
        <v>34</v>
      </c>
      <c r="V13" s="491">
        <v>34</v>
      </c>
      <c r="W13" s="653">
        <v>34</v>
      </c>
      <c r="X13" s="653">
        <v>34</v>
      </c>
      <c r="Y13" s="653">
        <v>34</v>
      </c>
      <c r="Z13" s="653">
        <v>34</v>
      </c>
      <c r="AA13" s="653">
        <v>34</v>
      </c>
      <c r="AB13" s="653">
        <v>34</v>
      </c>
      <c r="AC13" s="728">
        <v>34</v>
      </c>
    </row>
    <row r="14" spans="1:29" ht="15" customHeight="1" x14ac:dyDescent="0.25">
      <c r="A14" t="s">
        <v>1842</v>
      </c>
      <c r="B14" s="661" t="s">
        <v>1834</v>
      </c>
      <c r="C14" s="238"/>
      <c r="D14" s="583">
        <f>'Unemployment Insurance'!D21+'Unemployment Insurance'!D20</f>
        <v>27.1</v>
      </c>
      <c r="E14" s="491">
        <f>'Unemployment Insurance'!E21+'Unemployment Insurance'!E20</f>
        <v>29.6</v>
      </c>
      <c r="F14" s="491">
        <f>'Unemployment Insurance'!F21+'Unemployment Insurance'!F20</f>
        <v>27.3</v>
      </c>
      <c r="G14" s="491">
        <f>'Unemployment Insurance'!G21+'Unemployment Insurance'!G20</f>
        <v>26.4</v>
      </c>
      <c r="H14" s="491">
        <f>'Unemployment Insurance'!H21+'Unemployment Insurance'!H20</f>
        <v>26.7</v>
      </c>
      <c r="I14" s="491">
        <f>'Unemployment Insurance'!I21+'Unemployment Insurance'!I20</f>
        <v>40.1</v>
      </c>
      <c r="J14" s="491">
        <f>'Unemployment Insurance'!J21+'Unemployment Insurance'!J20</f>
        <v>951.5</v>
      </c>
      <c r="K14" s="491">
        <f>'Unemployment Insurance'!K21+'Unemployment Insurance'!K20</f>
        <v>800</v>
      </c>
      <c r="L14" s="491">
        <f>'Unemployment Insurance'!L21+'Unemployment Insurance'!L20</f>
        <v>322.7</v>
      </c>
      <c r="M14" s="491">
        <f>'Unemployment Insurance'!M21+'Unemployment Insurance'!M20</f>
        <v>583.79999999999995</v>
      </c>
      <c r="N14" s="491">
        <f>'Unemployment Insurance'!N21+'Unemployment Insurance'!N20</f>
        <v>440.8</v>
      </c>
      <c r="O14" s="491">
        <f>'Unemployment Insurance'!O21+'Unemployment Insurance'!O20</f>
        <v>212.8</v>
      </c>
      <c r="P14" s="491">
        <f>'Unemployment Insurance'!P21+'Unemployment Insurance'!P20</f>
        <v>31.8</v>
      </c>
      <c r="Q14" s="491">
        <f>'Unemployment Insurance'!Q21+'Unemployment Insurance'!Q20</f>
        <v>24.5</v>
      </c>
      <c r="R14" s="491">
        <f>'Unemployment Insurance'!R21+'Unemployment Insurance'!R20</f>
        <v>21.7</v>
      </c>
      <c r="S14" s="491">
        <f>'Unemployment Insurance'!S21+'Unemployment Insurance'!S20</f>
        <v>23.1</v>
      </c>
      <c r="T14" s="491">
        <f>'Unemployment Insurance'!T21+'Unemployment Insurance'!T20</f>
        <v>25.9</v>
      </c>
      <c r="U14" s="491">
        <f>'Unemployment Insurance'!U21+'Unemployment Insurance'!U20</f>
        <v>30.1</v>
      </c>
      <c r="V14" s="732">
        <f>V15+V16</f>
        <v>30.960000000000004</v>
      </c>
      <c r="W14" s="653">
        <f>'Unemployment Insurance'!W21+'Unemployment Insurance'!W20</f>
        <v>30.960000000000004</v>
      </c>
      <c r="X14" s="653">
        <f>'Unemployment Insurance'!X21+'Unemployment Insurance'!X20</f>
        <v>35.299999999999997</v>
      </c>
      <c r="Y14" s="653">
        <f>'Unemployment Insurance'!Y21+'Unemployment Insurance'!Y20</f>
        <v>34.9</v>
      </c>
      <c r="Z14" s="653">
        <f>'Unemployment Insurance'!Z21+'Unemployment Insurance'!Z20</f>
        <v>34.9</v>
      </c>
      <c r="AA14" s="653">
        <f>'Unemployment Insurance'!AA21+'Unemployment Insurance'!AA20</f>
        <v>35.700000000000003</v>
      </c>
      <c r="AB14" s="653">
        <f>'Unemployment Insurance'!AB21+'Unemployment Insurance'!AB20</f>
        <v>36.1</v>
      </c>
      <c r="AC14" s="728">
        <f>'Unemployment Insurance'!AC21+'Unemployment Insurance'!AC20</f>
        <v>35.799999999999997</v>
      </c>
    </row>
    <row r="15" spans="1:29" x14ac:dyDescent="0.25">
      <c r="B15" s="413" t="s">
        <v>203</v>
      </c>
      <c r="C15" s="238"/>
      <c r="D15" s="583"/>
      <c r="E15" s="491"/>
      <c r="F15" s="491"/>
      <c r="G15" s="491"/>
      <c r="H15" s="491"/>
      <c r="I15" s="491"/>
      <c r="J15" s="491"/>
      <c r="K15" s="491"/>
      <c r="L15" s="491"/>
      <c r="M15" s="491"/>
      <c r="N15" s="491"/>
      <c r="O15" s="491"/>
      <c r="P15" s="491"/>
      <c r="Q15" s="491"/>
      <c r="R15" s="491"/>
      <c r="S15" s="491"/>
      <c r="T15" s="491"/>
      <c r="U15" s="491"/>
      <c r="V15" s="491">
        <f>'Unemployment Insurance'!V20</f>
        <v>0</v>
      </c>
      <c r="W15" s="653"/>
      <c r="X15" s="653"/>
      <c r="Y15" s="653"/>
      <c r="Z15" s="653"/>
      <c r="AA15" s="653"/>
      <c r="AB15" s="653"/>
      <c r="AC15" s="728"/>
    </row>
    <row r="16" spans="1:29" x14ac:dyDescent="0.25">
      <c r="B16" s="413" t="s">
        <v>205</v>
      </c>
      <c r="C16" s="238"/>
      <c r="D16" s="583"/>
      <c r="E16" s="491"/>
      <c r="F16" s="491"/>
      <c r="G16" s="491"/>
      <c r="H16" s="491"/>
      <c r="I16" s="491"/>
      <c r="J16" s="491"/>
      <c r="K16" s="491"/>
      <c r="L16" s="491"/>
      <c r="M16" s="491"/>
      <c r="N16" s="491"/>
      <c r="O16" s="491"/>
      <c r="P16" s="491"/>
      <c r="Q16" s="491"/>
      <c r="R16" s="491"/>
      <c r="S16" s="491"/>
      <c r="T16" s="491"/>
      <c r="U16" s="491"/>
      <c r="V16" s="491">
        <f>'Unemployment Insurance'!V21</f>
        <v>30.960000000000004</v>
      </c>
      <c r="W16" s="653"/>
      <c r="X16" s="653"/>
      <c r="Y16" s="653"/>
      <c r="Z16" s="653"/>
      <c r="AA16" s="653"/>
      <c r="AB16" s="653"/>
      <c r="AC16" s="728"/>
    </row>
    <row r="17" spans="1:101" ht="17.850000000000001" customHeight="1" x14ac:dyDescent="0.25">
      <c r="A17" t="s">
        <v>1842</v>
      </c>
      <c r="B17" s="661" t="s">
        <v>55</v>
      </c>
      <c r="C17" s="238"/>
      <c r="D17" s="583">
        <f>Medicare!D10</f>
        <v>755</v>
      </c>
      <c r="E17" s="491">
        <f>Medicare!E10</f>
        <v>773.5</v>
      </c>
      <c r="F17" s="491">
        <f>Medicare!F10</f>
        <v>788.5</v>
      </c>
      <c r="G17" s="491">
        <f>Medicare!G10</f>
        <v>798</v>
      </c>
      <c r="H17" s="491">
        <f>Medicare!H10</f>
        <v>802</v>
      </c>
      <c r="I17" s="491">
        <f>Medicare!I10</f>
        <v>801.9</v>
      </c>
      <c r="J17" s="491">
        <f>Medicare!J10</f>
        <v>814.3</v>
      </c>
      <c r="K17" s="491">
        <f>Medicare!K10</f>
        <v>826.6</v>
      </c>
      <c r="L17" s="491">
        <f>Medicare!L10</f>
        <v>838.8</v>
      </c>
      <c r="M17" s="491">
        <f>Medicare!M10</f>
        <v>854.9</v>
      </c>
      <c r="N17" s="491">
        <f>Medicare!N10</f>
        <v>871.2</v>
      </c>
      <c r="O17" s="491">
        <f>Medicare!O10</f>
        <v>887.1</v>
      </c>
      <c r="P17" s="491">
        <f>Medicare!P10</f>
        <v>902.4</v>
      </c>
      <c r="Q17" s="491">
        <f>Medicare!Q10</f>
        <v>917.6</v>
      </c>
      <c r="R17" s="491">
        <f>Medicare!R10</f>
        <v>926.6</v>
      </c>
      <c r="S17" s="491">
        <f>Medicare!S10</f>
        <v>937.4</v>
      </c>
      <c r="T17" s="491">
        <f>Medicare!T10</f>
        <v>958.5</v>
      </c>
      <c r="U17" s="491">
        <f>Medicare!U10</f>
        <v>981.1</v>
      </c>
      <c r="V17" s="732">
        <f>Medicare!V10</f>
        <v>1001.8</v>
      </c>
      <c r="W17" s="653">
        <f>Medicare!W10</f>
        <v>1019.9</v>
      </c>
      <c r="X17" s="653">
        <f>Medicare!X10</f>
        <v>1035.3</v>
      </c>
      <c r="Y17" s="653">
        <f>Medicare!Y10</f>
        <v>1049.2</v>
      </c>
      <c r="Z17" s="653">
        <f>Medicare!Z10</f>
        <v>1067.0999999999999</v>
      </c>
      <c r="AA17" s="653">
        <f>Medicare!AA10</f>
        <v>1090.2</v>
      </c>
      <c r="AB17" s="653">
        <f>Medicare!AB10</f>
        <v>1118.5</v>
      </c>
      <c r="AC17" s="728">
        <f>Medicare!AC10</f>
        <v>1150.3</v>
      </c>
    </row>
    <row r="18" spans="1:101" ht="18" customHeight="1" x14ac:dyDescent="0.25">
      <c r="A18" t="s">
        <v>1842</v>
      </c>
      <c r="B18" s="662" t="s">
        <v>467</v>
      </c>
      <c r="C18" s="238"/>
      <c r="D18" s="583"/>
      <c r="E18" s="491"/>
      <c r="F18" s="491"/>
      <c r="G18" s="491"/>
      <c r="H18" s="491">
        <f>'Rebate Checks (expired)'!H10 +'Rebate Checks (expired)'!H11</f>
        <v>0</v>
      </c>
      <c r="I18" s="491">
        <f>'Rebate Checks (expired)'!I10 +'Rebate Checks (expired)'!I11</f>
        <v>0</v>
      </c>
      <c r="J18" s="491">
        <f>'Rebate Checks (expired)'!J10 +'Rebate Checks (expired)'!J11</f>
        <v>1078.0999999999999</v>
      </c>
      <c r="K18" s="491">
        <f>'Rebate Checks (expired)'!K10 +'Rebate Checks (expired)'!K11</f>
        <v>15.6</v>
      </c>
      <c r="L18" s="491">
        <f>'Rebate Checks (expired)'!L10 +'Rebate Checks (expired)'!L11</f>
        <v>5</v>
      </c>
      <c r="M18" s="491">
        <f>'Rebate Checks (expired)'!M10 +'Rebate Checks (expired)'!M11</f>
        <v>1933.6999999999998</v>
      </c>
      <c r="N18" s="491">
        <f>'Rebate Checks (expired)'!N10 +'Rebate Checks (expired)'!N11</f>
        <v>290.10000000000002</v>
      </c>
      <c r="O18" s="491">
        <f>'Rebate Checks (expired)'!O10 +'Rebate Checks (expired)'!O11</f>
        <v>38.9</v>
      </c>
      <c r="P18" s="491">
        <f>'Rebate Checks (expired)'!P10 +'Rebate Checks (expired)'!P11</f>
        <v>14.2</v>
      </c>
      <c r="Q18" s="491">
        <f>'Rebate Checks (expired)'!Q10 +'Rebate Checks (expired)'!Q11</f>
        <v>0</v>
      </c>
      <c r="R18" s="491">
        <f>'Rebate Checks (expired)'!Q10 +'Rebate Checks (expired)'!R11</f>
        <v>0</v>
      </c>
      <c r="S18" s="491">
        <f>'Rebate Checks (expired)'!S10 +'Rebate Checks (expired)'!S11</f>
        <v>0</v>
      </c>
      <c r="T18" s="491">
        <f>'Rebate Checks (expired)'!T10 +'Rebate Checks (expired)'!T11</f>
        <v>0</v>
      </c>
      <c r="U18" s="491">
        <f>'Rebate Checks (expired)'!U10 +'Rebate Checks (expired)'!U11</f>
        <v>0</v>
      </c>
      <c r="V18" s="732">
        <f>V19+V20</f>
        <v>0</v>
      </c>
      <c r="W18" s="653">
        <f>'Rebate Checks (expired)'!W10 +'Rebate Checks (expired)'!W11</f>
        <v>0</v>
      </c>
      <c r="X18" s="653">
        <f>'Rebate Checks (expired)'!X10 +'Rebate Checks (expired)'!X11</f>
        <v>0</v>
      </c>
      <c r="Y18" s="653">
        <f>'Rebate Checks (expired)'!Y10 +'Rebate Checks (expired)'!Y11</f>
        <v>0</v>
      </c>
      <c r="Z18" s="653">
        <f>'Rebate Checks (expired)'!Z10 +'Rebate Checks (expired)'!Z11</f>
        <v>0</v>
      </c>
      <c r="AA18" s="653">
        <f>'Rebate Checks (expired)'!AA10 +'Rebate Checks (expired)'!AA11</f>
        <v>0</v>
      </c>
      <c r="AB18" s="653">
        <f>'Rebate Checks (expired)'!AB10 +'Rebate Checks (expired)'!AB11</f>
        <v>0</v>
      </c>
      <c r="AC18" s="728">
        <f>'Rebate Checks (expired)'!AC10 +'Rebate Checks (expired)'!AC11</f>
        <v>0</v>
      </c>
    </row>
    <row r="19" spans="1:101" ht="18" customHeight="1" x14ac:dyDescent="0.25">
      <c r="B19" s="663" t="s">
        <v>1835</v>
      </c>
      <c r="C19" s="238"/>
      <c r="D19" s="583"/>
      <c r="E19" s="491"/>
      <c r="F19" s="491"/>
      <c r="G19" s="491"/>
      <c r="H19" s="491"/>
      <c r="I19" s="491"/>
      <c r="J19" s="491"/>
      <c r="K19" s="491"/>
      <c r="L19" s="491"/>
      <c r="M19" s="491"/>
      <c r="N19" s="491"/>
      <c r="O19" s="491"/>
      <c r="P19" s="491"/>
      <c r="Q19" s="491"/>
      <c r="R19" s="491"/>
      <c r="S19" s="491"/>
      <c r="T19" s="491"/>
      <c r="U19" s="491"/>
      <c r="V19" s="491">
        <v>0</v>
      </c>
      <c r="W19" s="653"/>
      <c r="X19" s="653"/>
      <c r="Y19" s="653"/>
      <c r="Z19" s="653"/>
      <c r="AA19" s="653"/>
      <c r="AB19" s="653"/>
      <c r="AC19" s="728"/>
    </row>
    <row r="20" spans="1:101" ht="18" customHeight="1" x14ac:dyDescent="0.25">
      <c r="B20" s="663" t="s">
        <v>1836</v>
      </c>
      <c r="C20" s="238"/>
      <c r="D20" s="583"/>
      <c r="E20" s="491"/>
      <c r="F20" s="491"/>
      <c r="G20" s="491"/>
      <c r="H20" s="491"/>
      <c r="I20" s="491"/>
      <c r="J20" s="491"/>
      <c r="K20" s="491"/>
      <c r="L20" s="491"/>
      <c r="M20" s="491"/>
      <c r="N20" s="491"/>
      <c r="O20" s="491"/>
      <c r="P20" s="491"/>
      <c r="Q20" s="491"/>
      <c r="R20" s="491"/>
      <c r="S20" s="491"/>
      <c r="T20" s="491"/>
      <c r="U20" s="491"/>
      <c r="V20" s="491">
        <v>0</v>
      </c>
      <c r="W20" s="653"/>
      <c r="X20" s="653"/>
      <c r="Y20" s="653"/>
      <c r="Z20" s="653"/>
      <c r="AA20" s="653"/>
      <c r="AB20" s="653"/>
      <c r="AC20" s="728"/>
    </row>
    <row r="21" spans="1:101" ht="18" customHeight="1" x14ac:dyDescent="0.25">
      <c r="A21" t="s">
        <v>1842</v>
      </c>
      <c r="B21" s="664" t="s">
        <v>49</v>
      </c>
      <c r="C21" s="238"/>
      <c r="D21" s="394">
        <f>'Provider Relief (expired)'!D11</f>
        <v>0</v>
      </c>
      <c r="E21" s="400">
        <f>'Provider Relief (expired)'!E11</f>
        <v>0</v>
      </c>
      <c r="F21" s="400">
        <f>'Provider Relief (expired)'!F11</f>
        <v>0</v>
      </c>
      <c r="G21" s="400">
        <f>'Provider Relief (expired)'!G11</f>
        <v>0</v>
      </c>
      <c r="H21" s="400">
        <f>'Provider Relief (expired)'!H11</f>
        <v>0</v>
      </c>
      <c r="I21" s="400">
        <f>'Provider Relief (expired)'!I11</f>
        <v>0</v>
      </c>
      <c r="J21" s="400">
        <f>'Provider Relief (expired)'!J11</f>
        <v>160.9</v>
      </c>
      <c r="K21" s="400">
        <f>'Provider Relief (expired)'!K11</f>
        <v>58.4</v>
      </c>
      <c r="L21" s="400">
        <f>'Provider Relief (expired)'!L11</f>
        <v>34.5</v>
      </c>
      <c r="M21" s="400">
        <f>'Provider Relief (expired)'!M11</f>
        <v>21.4</v>
      </c>
      <c r="N21" s="400">
        <f>'Provider Relief (expired)'!N11</f>
        <v>13.3</v>
      </c>
      <c r="O21" s="400">
        <f>'Provider Relief (expired)'!O11</f>
        <v>18.7</v>
      </c>
      <c r="P21" s="400">
        <f>'Provider Relief (expired)'!P11</f>
        <v>32.200000000000003</v>
      </c>
      <c r="Q21" s="400">
        <f>'Provider Relief (expired)'!Q11</f>
        <v>26.9</v>
      </c>
      <c r="R21" s="400">
        <f>'Provider Relief (expired)'!R11</f>
        <v>20</v>
      </c>
      <c r="S21" s="400">
        <f>'Provider Relief (expired)'!S11</f>
        <v>8.1</v>
      </c>
      <c r="T21" s="400">
        <f>'Provider Relief (expired)'!T11</f>
        <v>4.9000000000000004</v>
      </c>
      <c r="U21" s="400">
        <v>0</v>
      </c>
      <c r="V21" s="732">
        <v>0</v>
      </c>
      <c r="W21" s="653">
        <v>0</v>
      </c>
      <c r="X21" s="653">
        <v>0</v>
      </c>
      <c r="Y21" s="653">
        <v>0</v>
      </c>
      <c r="Z21" s="653">
        <v>0</v>
      </c>
      <c r="AA21" s="653">
        <v>0</v>
      </c>
      <c r="AB21" s="653">
        <v>0</v>
      </c>
      <c r="AC21" s="728">
        <v>0</v>
      </c>
    </row>
    <row r="22" spans="1:101" ht="21.6" customHeight="1" x14ac:dyDescent="0.25">
      <c r="B22" s="421" t="s">
        <v>468</v>
      </c>
      <c r="C22" s="238"/>
      <c r="D22" s="583"/>
      <c r="E22" s="491"/>
      <c r="F22" s="491"/>
      <c r="G22" s="491"/>
      <c r="H22" s="491"/>
      <c r="I22" s="491"/>
      <c r="J22" s="491">
        <f>'PPP (expired)'!J53</f>
        <v>57.2</v>
      </c>
      <c r="K22" s="491">
        <f>'PPP (expired)'!K53</f>
        <v>81.2</v>
      </c>
      <c r="L22" s="491">
        <f>'PPP (expired)'!L53</f>
        <v>24.4</v>
      </c>
      <c r="M22" s="491">
        <f>'PPP (expired)'!M53</f>
        <v>11.7</v>
      </c>
      <c r="N22" s="491">
        <f>'PPP (expired)'!N53</f>
        <v>28.5</v>
      </c>
      <c r="O22" s="491">
        <f>'PPP (expired)'!O53</f>
        <v>18.8</v>
      </c>
      <c r="P22" s="491">
        <f>'PPP (expired)'!P53</f>
        <v>1.6</v>
      </c>
      <c r="Q22" s="491">
        <f>'PPP (expired)'!Q53</f>
        <v>0</v>
      </c>
      <c r="R22" s="491">
        <f>'PPP (expired)'!R53</f>
        <v>0</v>
      </c>
      <c r="S22" s="491">
        <f>'PPP (expired)'!S53</f>
        <v>0</v>
      </c>
      <c r="T22" s="491">
        <f>'PPP (expired)'!T53</f>
        <v>0</v>
      </c>
      <c r="U22" s="491">
        <f>'PPP (expired)'!U53</f>
        <v>0</v>
      </c>
      <c r="V22" s="491">
        <f>'PPP (expired)'!V53</f>
        <v>0</v>
      </c>
      <c r="W22" s="653">
        <f>'PPP (expired)'!W53</f>
        <v>0</v>
      </c>
      <c r="X22" s="653">
        <f>'PPP (expired)'!X53</f>
        <v>0</v>
      </c>
      <c r="Y22" s="653">
        <f>'PPP (expired)'!Y53</f>
        <v>0</v>
      </c>
      <c r="Z22" s="653">
        <f>'PPP (expired)'!Z53</f>
        <v>0</v>
      </c>
      <c r="AA22" s="653">
        <f>'PPP (expired)'!AA53</f>
        <v>0</v>
      </c>
      <c r="AB22" s="653">
        <f>'PPP (expired)'!AB53</f>
        <v>0</v>
      </c>
      <c r="AC22" s="653">
        <f>'PPP (expired)'!AC53</f>
        <v>0</v>
      </c>
    </row>
    <row r="23" spans="1:101" ht="22.35" customHeight="1" x14ac:dyDescent="0.25">
      <c r="B23" s="421" t="s">
        <v>218</v>
      </c>
      <c r="C23" s="669"/>
      <c r="D23" s="394"/>
      <c r="E23" s="400"/>
      <c r="F23" s="400"/>
      <c r="G23" s="400"/>
      <c r="H23" s="400"/>
      <c r="I23" s="400"/>
      <c r="J23" s="400"/>
      <c r="K23" s="400"/>
      <c r="L23" s="400"/>
      <c r="M23" s="491">
        <f>'ARP Quarterly'!C4</f>
        <v>0</v>
      </c>
      <c r="N23" s="491">
        <f>'ARP Quarterly'!D4</f>
        <v>0</v>
      </c>
      <c r="O23" s="491">
        <f>'ARP Quarterly'!E4</f>
        <v>3.1040000000000418</v>
      </c>
      <c r="P23" s="491">
        <f>'ARP Quarterly'!F4</f>
        <v>19.719000000000005</v>
      </c>
      <c r="Q23" s="491">
        <f>'ARP Quarterly'!G4</f>
        <v>19.719000000000005</v>
      </c>
      <c r="R23" s="491">
        <f>'ARP Quarterly'!H4</f>
        <v>19.719000000000005</v>
      </c>
      <c r="S23" s="491">
        <f>'ARP Quarterly'!I4</f>
        <v>19.719000000000005</v>
      </c>
      <c r="T23" s="491">
        <f>'ARP Quarterly'!J4</f>
        <v>1.4159999999999999</v>
      </c>
      <c r="U23" s="491">
        <f>'ARP Quarterly'!K4</f>
        <v>1.4159999999999999</v>
      </c>
      <c r="V23" s="491">
        <f>'ARP Quarterly'!L4</f>
        <v>1.4159999999999999</v>
      </c>
      <c r="W23" s="653">
        <f>'ARP Quarterly'!M4</f>
        <v>1.4159999999999999</v>
      </c>
      <c r="X23" s="653">
        <f>'ARP Quarterly'!N4</f>
        <v>1.4790000000000001</v>
      </c>
      <c r="Y23" s="653">
        <f>'ARP Quarterly'!O4</f>
        <v>1.4790000000000001</v>
      </c>
      <c r="Z23" s="653">
        <f>'ARP Quarterly'!P4</f>
        <v>1.4790000000000001</v>
      </c>
      <c r="AA23" s="653">
        <f>'ARP Quarterly'!Q4</f>
        <v>1.4790000000000001</v>
      </c>
      <c r="AB23" s="653">
        <f>'ARP Quarterly'!R4</f>
        <v>1.63</v>
      </c>
      <c r="AC23" s="653">
        <f>'ARP Quarterly'!S4</f>
        <v>1.63</v>
      </c>
      <c r="AE23" s="669"/>
      <c r="AF23" s="669"/>
      <c r="AG23" s="669"/>
      <c r="AH23" s="669"/>
      <c r="AI23" s="669"/>
      <c r="AJ23" s="669"/>
      <c r="AK23" s="669"/>
      <c r="AL23" s="669"/>
      <c r="AM23" s="669"/>
      <c r="AN23" s="669"/>
      <c r="AO23" s="669"/>
      <c r="AP23" s="669"/>
      <c r="AQ23" s="669"/>
      <c r="AR23" s="669"/>
      <c r="AS23" s="669"/>
      <c r="AT23" s="669"/>
      <c r="AU23" s="669"/>
      <c r="AV23" s="669"/>
      <c r="AW23" s="669"/>
      <c r="AX23" s="669"/>
      <c r="AY23" s="669"/>
      <c r="AZ23" s="669"/>
      <c r="BA23" s="669"/>
      <c r="BB23" s="669"/>
      <c r="BC23" s="669"/>
      <c r="BD23" s="669"/>
      <c r="BE23" s="669"/>
      <c r="BF23" s="669"/>
      <c r="BG23" s="669"/>
      <c r="BH23" s="669"/>
      <c r="BI23" s="669"/>
      <c r="BJ23" s="669"/>
      <c r="BK23" s="669"/>
      <c r="BL23" s="669"/>
      <c r="BM23" s="669"/>
      <c r="BN23" s="669"/>
      <c r="BO23" s="669"/>
      <c r="BP23" s="669"/>
      <c r="BQ23" s="669"/>
      <c r="BR23" s="669"/>
      <c r="BS23" s="669"/>
      <c r="BT23" s="669"/>
      <c r="BU23" s="669"/>
      <c r="BV23" s="669"/>
      <c r="BW23" s="669"/>
      <c r="BX23" s="669"/>
      <c r="BY23" s="669"/>
      <c r="BZ23" s="669"/>
      <c r="CA23" s="669"/>
      <c r="CB23" s="669"/>
      <c r="CC23" s="669"/>
      <c r="CD23" s="669"/>
      <c r="CE23" s="669"/>
      <c r="CF23" s="669"/>
      <c r="CG23" s="669"/>
      <c r="CH23" s="669"/>
      <c r="CI23" s="669"/>
      <c r="CJ23" s="669"/>
      <c r="CK23" s="669"/>
      <c r="CL23" s="669"/>
      <c r="CM23" s="669"/>
      <c r="CN23" s="669"/>
      <c r="CO23" s="669"/>
      <c r="CP23" s="669"/>
      <c r="CQ23" s="669"/>
      <c r="CR23" s="669"/>
      <c r="CS23" s="669"/>
      <c r="CT23" s="669"/>
      <c r="CU23" s="669"/>
      <c r="CV23" s="669"/>
      <c r="CW23" s="669"/>
    </row>
    <row r="24" spans="1:101" ht="36.6" customHeight="1" x14ac:dyDescent="0.25">
      <c r="B24" s="245" t="s">
        <v>1427</v>
      </c>
      <c r="C24" s="238"/>
      <c r="D24" s="583">
        <f>D85</f>
        <v>0</v>
      </c>
      <c r="E24" s="491">
        <f t="shared" ref="E24:AC24" si="1">E85</f>
        <v>0</v>
      </c>
      <c r="F24" s="491">
        <f t="shared" si="1"/>
        <v>0</v>
      </c>
      <c r="G24" s="491">
        <f t="shared" si="1"/>
        <v>0</v>
      </c>
      <c r="H24" s="491">
        <f t="shared" si="1"/>
        <v>0</v>
      </c>
      <c r="I24" s="491">
        <f t="shared" si="1"/>
        <v>6.9120000000000061</v>
      </c>
      <c r="J24" s="491">
        <f t="shared" si="1"/>
        <v>50.955000000000005</v>
      </c>
      <c r="K24" s="491">
        <f t="shared" si="1"/>
        <v>51.173999999999999</v>
      </c>
      <c r="L24" s="491">
        <f t="shared" si="1"/>
        <v>51.893999999999998</v>
      </c>
      <c r="M24" s="491">
        <f t="shared" si="1"/>
        <v>91.075000000000017</v>
      </c>
      <c r="N24" s="491">
        <f t="shared" si="1"/>
        <v>100.63400000000001</v>
      </c>
      <c r="O24" s="491">
        <f t="shared" si="1"/>
        <v>93.89100000000002</v>
      </c>
      <c r="P24" s="491">
        <f t="shared" si="1"/>
        <v>100.22800000000001</v>
      </c>
      <c r="Q24" s="491">
        <f t="shared" si="1"/>
        <v>76.838999999999999</v>
      </c>
      <c r="R24" s="491">
        <f t="shared" si="1"/>
        <v>73.637</v>
      </c>
      <c r="S24" s="491">
        <f t="shared" si="1"/>
        <v>70.649000000000001</v>
      </c>
      <c r="T24" s="491">
        <f t="shared" si="1"/>
        <v>91.718000000000018</v>
      </c>
      <c r="U24" s="491">
        <f t="shared" si="1"/>
        <v>83.695999999999998</v>
      </c>
      <c r="V24" s="491">
        <f t="shared" si="1"/>
        <v>51.979000000000006</v>
      </c>
      <c r="W24" s="653">
        <f t="shared" si="1"/>
        <v>51.979000000000006</v>
      </c>
      <c r="X24" s="653">
        <f t="shared" si="1"/>
        <v>51.979000000000006</v>
      </c>
      <c r="Y24" s="653">
        <f t="shared" si="1"/>
        <v>51.979000000000006</v>
      </c>
      <c r="Z24" s="653">
        <f t="shared" si="1"/>
        <v>51.979000000000006</v>
      </c>
      <c r="AA24" s="653">
        <f t="shared" si="1"/>
        <v>51.979000000000006</v>
      </c>
      <c r="AB24" s="653">
        <f t="shared" si="1"/>
        <v>51.979000000000006</v>
      </c>
      <c r="AC24" s="653">
        <f t="shared" si="1"/>
        <v>51.979000000000006</v>
      </c>
      <c r="AE24" s="238"/>
      <c r="AF24" s="238"/>
      <c r="AG24" s="238"/>
      <c r="AH24" s="238"/>
      <c r="AI24" s="238"/>
      <c r="AJ24" s="238"/>
      <c r="AK24" s="238"/>
      <c r="AL24" s="238"/>
      <c r="AM24" s="238"/>
      <c r="AN24" s="238"/>
      <c r="AO24" s="238"/>
      <c r="AP24" s="238"/>
      <c r="AQ24" s="238"/>
      <c r="AR24" s="238"/>
      <c r="AS24" s="238"/>
      <c r="AT24" s="238"/>
      <c r="AU24" s="238"/>
      <c r="AV24" s="238"/>
      <c r="AW24" s="238"/>
      <c r="AX24" s="238"/>
      <c r="AY24" s="238"/>
      <c r="AZ24" s="238"/>
      <c r="BA24" s="238"/>
      <c r="BB24" s="238"/>
      <c r="BC24" s="238"/>
      <c r="BD24" s="238"/>
      <c r="BE24" s="238"/>
      <c r="BF24" s="238"/>
      <c r="BG24" s="238"/>
      <c r="BH24" s="238"/>
      <c r="BI24" s="238"/>
      <c r="BJ24" s="238"/>
      <c r="BK24" s="238"/>
      <c r="BL24" s="238"/>
      <c r="BM24" s="238"/>
      <c r="BN24" s="238"/>
      <c r="BO24" s="238"/>
      <c r="BP24" s="238"/>
      <c r="BQ24" s="238"/>
      <c r="BR24" s="238"/>
      <c r="BS24" s="238"/>
      <c r="BT24" s="238"/>
      <c r="BU24" s="238"/>
      <c r="BV24" s="238"/>
      <c r="BW24" s="238"/>
      <c r="BX24" s="238"/>
      <c r="BY24" s="238"/>
      <c r="BZ24" s="238"/>
      <c r="CA24" s="238"/>
      <c r="CB24" s="238"/>
      <c r="CC24" s="238"/>
      <c r="CD24" s="238"/>
      <c r="CE24" s="238"/>
      <c r="CF24" s="238"/>
      <c r="CG24" s="238"/>
      <c r="CH24" s="238"/>
      <c r="CI24" s="238"/>
      <c r="CJ24" s="238"/>
      <c r="CK24" s="238"/>
      <c r="CL24" s="238"/>
      <c r="CM24" s="238"/>
      <c r="CN24" s="238"/>
      <c r="CO24" s="238"/>
      <c r="CP24" s="238"/>
      <c r="CQ24" s="238"/>
      <c r="CR24" s="238"/>
      <c r="CS24" s="238"/>
      <c r="CT24" s="238"/>
      <c r="CU24" s="238"/>
      <c r="CV24" s="238"/>
    </row>
    <row r="25" spans="1:101" ht="17.100000000000001" customHeight="1" x14ac:dyDescent="0.25">
      <c r="A25" t="s">
        <v>1845</v>
      </c>
      <c r="B25" s="736" t="s">
        <v>465</v>
      </c>
      <c r="C25" s="238" t="s">
        <v>466</v>
      </c>
      <c r="D25" s="491">
        <f>'Haver Pivoted'!GO31</f>
        <v>2223</v>
      </c>
      <c r="E25" s="491">
        <f>'Haver Pivoted'!GP31</f>
        <v>2303.8000000000002</v>
      </c>
      <c r="F25" s="491">
        <f>'Haver Pivoted'!GQ31</f>
        <v>2321.6999999999998</v>
      </c>
      <c r="G25" s="491">
        <f>'Haver Pivoted'!GR31</f>
        <v>2337.1</v>
      </c>
      <c r="H25" s="491">
        <f>'Haver Pivoted'!GS31</f>
        <v>2349.5</v>
      </c>
      <c r="I25" s="491">
        <f>'Haver Pivoted'!GT31</f>
        <v>2414.4</v>
      </c>
      <c r="J25" s="491">
        <f>'Haver Pivoted'!GU31</f>
        <v>4654.1000000000004</v>
      </c>
      <c r="K25" s="491">
        <f>'Haver Pivoted'!GV31</f>
        <v>3504.7</v>
      </c>
      <c r="L25" s="491">
        <f>'Haver Pivoted'!GW31</f>
        <v>2888.4</v>
      </c>
      <c r="M25" s="491">
        <f>'Haver Pivoted'!GX31</f>
        <v>5138.1000000000004</v>
      </c>
      <c r="N25" s="491">
        <f>'Haver Pivoted'!GY31</f>
        <v>3397.8</v>
      </c>
      <c r="O25" s="491">
        <f>'Haver Pivoted'!GZ31</f>
        <v>3124.9</v>
      </c>
      <c r="P25" s="491">
        <f>'Haver Pivoted'!HA31</f>
        <v>2952.6</v>
      </c>
      <c r="Q25" s="491">
        <f>'Haver Pivoted'!HB31</f>
        <v>2970.9</v>
      </c>
      <c r="R25" s="491">
        <f>'Haver Pivoted'!HC31</f>
        <v>2976.2</v>
      </c>
      <c r="S25" s="491">
        <f>'Haver Pivoted'!HD31</f>
        <v>2970.4</v>
      </c>
      <c r="T25" s="491">
        <f>'Haver Pivoted'!HE31</f>
        <v>3024.4</v>
      </c>
      <c r="U25" s="491">
        <f>'Haver Pivoted'!HF31</f>
        <v>3038.4</v>
      </c>
      <c r="V25" s="491">
        <f>'Haver Pivoted'!HG31</f>
        <v>3049.1</v>
      </c>
      <c r="W25" s="653"/>
      <c r="X25" s="653"/>
      <c r="Y25" s="653"/>
      <c r="Z25" s="653"/>
      <c r="AA25" s="653"/>
      <c r="AB25" s="653"/>
      <c r="AC25" s="653"/>
    </row>
    <row r="26" spans="1:101" ht="17.100000000000001" customHeight="1" x14ac:dyDescent="0.25">
      <c r="B26" s="258" t="s">
        <v>1844</v>
      </c>
      <c r="C26" s="238"/>
      <c r="D26" s="491">
        <f>D27+D28</f>
        <v>812.1</v>
      </c>
      <c r="E26" s="491">
        <f t="shared" ref="E26:V26" si="2">E27+E28</f>
        <v>833.1</v>
      </c>
      <c r="F26" s="491">
        <f t="shared" si="2"/>
        <v>845.8</v>
      </c>
      <c r="G26" s="491">
        <f t="shared" si="2"/>
        <v>854.4</v>
      </c>
      <c r="H26" s="491">
        <f t="shared" si="2"/>
        <v>858.7</v>
      </c>
      <c r="I26" s="491">
        <f t="shared" si="2"/>
        <v>878.91200000000003</v>
      </c>
      <c r="J26" s="491">
        <f t="shared" si="2"/>
        <v>2982.0549999999998</v>
      </c>
      <c r="K26" s="491">
        <f t="shared" si="2"/>
        <v>1804.7740000000001</v>
      </c>
      <c r="L26" s="491">
        <f t="shared" si="2"/>
        <v>1272.9939999999999</v>
      </c>
      <c r="M26" s="491">
        <f>M27+M28</f>
        <v>3509.5749999999998</v>
      </c>
      <c r="N26" s="491">
        <f t="shared" si="2"/>
        <v>1765.634</v>
      </c>
      <c r="O26" s="491">
        <f t="shared" si="2"/>
        <v>1473.5283333333332</v>
      </c>
      <c r="P26" s="491">
        <f t="shared" si="2"/>
        <v>1293.0803333333331</v>
      </c>
      <c r="Q26" s="491">
        <f t="shared" si="2"/>
        <v>1132.9580000000001</v>
      </c>
      <c r="R26" s="491">
        <f t="shared" si="2"/>
        <v>1135.9559999999999</v>
      </c>
      <c r="S26" s="491">
        <f t="shared" si="2"/>
        <v>1145.1679999999999</v>
      </c>
      <c r="T26" s="491">
        <f t="shared" si="2"/>
        <v>1171.8340000000001</v>
      </c>
      <c r="U26" s="491">
        <f t="shared" si="2"/>
        <v>1130.3120000000001</v>
      </c>
      <c r="V26" s="491">
        <f t="shared" si="2"/>
        <v>1120.155</v>
      </c>
      <c r="W26" s="653">
        <f>W27+W28</f>
        <v>53.395000000000003</v>
      </c>
      <c r="X26" s="653">
        <f t="shared" ref="X26" si="3">X27+X28</f>
        <v>53.458000000000006</v>
      </c>
      <c r="Y26" s="653">
        <f t="shared" ref="Y26" si="4">Y27+Y28</f>
        <v>53.458000000000006</v>
      </c>
      <c r="Z26" s="653">
        <f t="shared" ref="Z26" si="5">Z27+Z28</f>
        <v>53.458000000000006</v>
      </c>
      <c r="AA26" s="653">
        <f t="shared" ref="AA26" si="6">AA27+AA28</f>
        <v>53.458000000000006</v>
      </c>
      <c r="AB26" s="653">
        <f t="shared" ref="AB26" si="7">AB27+AB28</f>
        <v>53.609000000000009</v>
      </c>
      <c r="AC26" s="653">
        <f t="shared" ref="AC26" si="8">AC27+AC28</f>
        <v>53.609000000000009</v>
      </c>
    </row>
    <row r="27" spans="1:101" ht="17.100000000000001" customHeight="1" x14ac:dyDescent="0.25">
      <c r="B27" s="413" t="s">
        <v>1843</v>
      </c>
      <c r="C27" s="238"/>
      <c r="D27" s="583">
        <f t="shared" ref="D27:V27" si="9">D13+D14+D17</f>
        <v>812.1</v>
      </c>
      <c r="E27" s="491">
        <f t="shared" si="9"/>
        <v>833.1</v>
      </c>
      <c r="F27" s="491">
        <f t="shared" si="9"/>
        <v>845.8</v>
      </c>
      <c r="G27" s="491">
        <f t="shared" si="9"/>
        <v>854.4</v>
      </c>
      <c r="H27" s="491">
        <f t="shared" si="9"/>
        <v>858.7</v>
      </c>
      <c r="I27" s="491">
        <f t="shared" si="9"/>
        <v>872</v>
      </c>
      <c r="J27" s="491">
        <f t="shared" si="9"/>
        <v>1795.8</v>
      </c>
      <c r="K27" s="491">
        <f t="shared" si="9"/>
        <v>1656.8000000000002</v>
      </c>
      <c r="L27" s="491">
        <f t="shared" si="9"/>
        <v>1191.6999999999998</v>
      </c>
      <c r="M27" s="491">
        <f t="shared" si="9"/>
        <v>1473.1</v>
      </c>
      <c r="N27" s="491">
        <f t="shared" si="9"/>
        <v>1346.4</v>
      </c>
      <c r="O27" s="491">
        <f t="shared" si="9"/>
        <v>1318.833333333333</v>
      </c>
      <c r="P27" s="491">
        <f t="shared" si="9"/>
        <v>1157.333333333333</v>
      </c>
      <c r="Q27" s="491">
        <f t="shared" si="9"/>
        <v>1036.4000000000001</v>
      </c>
      <c r="R27" s="491">
        <f t="shared" si="9"/>
        <v>1042.5999999999999</v>
      </c>
      <c r="S27" s="491">
        <f t="shared" si="9"/>
        <v>1054.8</v>
      </c>
      <c r="T27" s="491">
        <f t="shared" si="9"/>
        <v>1078.7</v>
      </c>
      <c r="U27" s="491">
        <f t="shared" si="9"/>
        <v>1045.2</v>
      </c>
      <c r="V27" s="491">
        <f t="shared" si="9"/>
        <v>1066.76</v>
      </c>
      <c r="W27" s="653"/>
      <c r="X27" s="653"/>
      <c r="Y27" s="653"/>
      <c r="Z27" s="653"/>
      <c r="AA27" s="653"/>
      <c r="AB27" s="653"/>
      <c r="AC27" s="728"/>
    </row>
    <row r="28" spans="1:101" ht="28.5" customHeight="1" x14ac:dyDescent="0.25">
      <c r="B28" s="413" t="s">
        <v>1840</v>
      </c>
      <c r="C28" s="238"/>
      <c r="D28" s="394">
        <f t="shared" ref="D28:AC28" si="10">D18+D23+D24+D22</f>
        <v>0</v>
      </c>
      <c r="E28" s="400">
        <f t="shared" si="10"/>
        <v>0</v>
      </c>
      <c r="F28" s="400">
        <f t="shared" si="10"/>
        <v>0</v>
      </c>
      <c r="G28" s="400">
        <f t="shared" si="10"/>
        <v>0</v>
      </c>
      <c r="H28" s="400">
        <f t="shared" si="10"/>
        <v>0</v>
      </c>
      <c r="I28" s="400">
        <f t="shared" si="10"/>
        <v>6.9120000000000061</v>
      </c>
      <c r="J28" s="400">
        <f t="shared" si="10"/>
        <v>1186.2549999999999</v>
      </c>
      <c r="K28" s="400">
        <f t="shared" si="10"/>
        <v>147.97399999999999</v>
      </c>
      <c r="L28" s="400">
        <f t="shared" si="10"/>
        <v>81.293999999999997</v>
      </c>
      <c r="M28" s="400">
        <f t="shared" si="10"/>
        <v>2036.4749999999999</v>
      </c>
      <c r="N28" s="400">
        <f t="shared" si="10"/>
        <v>419.23400000000004</v>
      </c>
      <c r="O28" s="400">
        <f t="shared" si="10"/>
        <v>154.69500000000008</v>
      </c>
      <c r="P28" s="400">
        <f t="shared" si="10"/>
        <v>135.74700000000001</v>
      </c>
      <c r="Q28" s="400">
        <f t="shared" si="10"/>
        <v>96.558000000000007</v>
      </c>
      <c r="R28" s="400">
        <f t="shared" si="10"/>
        <v>93.356000000000009</v>
      </c>
      <c r="S28" s="400">
        <f t="shared" si="10"/>
        <v>90.368000000000009</v>
      </c>
      <c r="T28" s="400">
        <f t="shared" si="10"/>
        <v>93.134000000000015</v>
      </c>
      <c r="U28" s="400">
        <f t="shared" si="10"/>
        <v>85.111999999999995</v>
      </c>
      <c r="V28" s="400">
        <f t="shared" si="10"/>
        <v>53.395000000000003</v>
      </c>
      <c r="W28" s="350">
        <f t="shared" si="10"/>
        <v>53.395000000000003</v>
      </c>
      <c r="X28" s="350">
        <f t="shared" si="10"/>
        <v>53.458000000000006</v>
      </c>
      <c r="Y28" s="350">
        <f t="shared" si="10"/>
        <v>53.458000000000006</v>
      </c>
      <c r="Z28" s="350">
        <f t="shared" si="10"/>
        <v>53.458000000000006</v>
      </c>
      <c r="AA28" s="350">
        <f t="shared" si="10"/>
        <v>53.458000000000006</v>
      </c>
      <c r="AB28" s="350">
        <f t="shared" si="10"/>
        <v>53.609000000000009</v>
      </c>
      <c r="AC28" s="350">
        <f t="shared" si="10"/>
        <v>53.609000000000009</v>
      </c>
    </row>
    <row r="29" spans="1:101" x14ac:dyDescent="0.25">
      <c r="B29" s="421" t="s">
        <v>1846</v>
      </c>
      <c r="C29" s="238"/>
      <c r="D29" s="400">
        <f>D25-D26</f>
        <v>1410.9</v>
      </c>
      <c r="E29" s="400">
        <f t="shared" ref="E29:V29" si="11">E25-E26</f>
        <v>1470.7000000000003</v>
      </c>
      <c r="F29" s="400">
        <f t="shared" si="11"/>
        <v>1475.8999999999999</v>
      </c>
      <c r="G29" s="400">
        <f t="shared" si="11"/>
        <v>1482.6999999999998</v>
      </c>
      <c r="H29" s="400">
        <f t="shared" si="11"/>
        <v>1490.8</v>
      </c>
      <c r="I29" s="400">
        <f t="shared" si="11"/>
        <v>1535.4880000000001</v>
      </c>
      <c r="J29" s="400">
        <f t="shared" si="11"/>
        <v>1672.0450000000005</v>
      </c>
      <c r="K29" s="400">
        <f t="shared" si="11"/>
        <v>1699.9259999999997</v>
      </c>
      <c r="L29" s="400">
        <f t="shared" si="11"/>
        <v>1615.4060000000002</v>
      </c>
      <c r="M29" s="400">
        <f t="shared" si="11"/>
        <v>1628.5250000000005</v>
      </c>
      <c r="N29" s="400">
        <f t="shared" si="11"/>
        <v>1632.1660000000002</v>
      </c>
      <c r="O29" s="400">
        <f t="shared" si="11"/>
        <v>1651.3716666666669</v>
      </c>
      <c r="P29" s="400">
        <f t="shared" si="11"/>
        <v>1659.5196666666668</v>
      </c>
      <c r="Q29" s="400">
        <f t="shared" si="11"/>
        <v>1837.942</v>
      </c>
      <c r="R29" s="400">
        <f t="shared" si="11"/>
        <v>1840.2439999999999</v>
      </c>
      <c r="S29" s="400">
        <f t="shared" si="11"/>
        <v>1825.2320000000002</v>
      </c>
      <c r="T29" s="400">
        <f t="shared" si="11"/>
        <v>1852.566</v>
      </c>
      <c r="U29" s="400">
        <f t="shared" si="11"/>
        <v>1908.088</v>
      </c>
      <c r="V29" s="400">
        <f t="shared" si="11"/>
        <v>1928.9449999999999</v>
      </c>
      <c r="W29" s="350"/>
      <c r="X29" s="350"/>
      <c r="Y29" s="350"/>
      <c r="Z29" s="350"/>
      <c r="AA29" s="350"/>
      <c r="AB29" s="350"/>
      <c r="AC29" s="350"/>
    </row>
    <row r="30" spans="1:101" ht="18" customHeight="1" x14ac:dyDescent="0.25">
      <c r="B30" s="280" t="s">
        <v>1837</v>
      </c>
      <c r="C30" s="238"/>
      <c r="D30" s="264"/>
      <c r="E30" s="234"/>
      <c r="F30" s="234"/>
      <c r="G30" s="234"/>
      <c r="H30" s="234"/>
      <c r="I30" s="234"/>
      <c r="J30" s="234"/>
      <c r="K30" s="234"/>
      <c r="L30" s="234"/>
      <c r="M30" s="234"/>
      <c r="N30" s="234"/>
      <c r="O30" s="234"/>
      <c r="P30" s="234"/>
      <c r="Q30" s="234"/>
      <c r="R30" s="234"/>
      <c r="S30" s="234"/>
      <c r="T30" s="234"/>
      <c r="U30" s="234"/>
      <c r="V30" s="491"/>
      <c r="W30" s="653"/>
      <c r="X30" s="653"/>
      <c r="Y30" s="653"/>
      <c r="Z30" s="653"/>
      <c r="AA30" s="653"/>
      <c r="AB30" s="653"/>
      <c r="AC30" s="728"/>
    </row>
    <row r="31" spans="1:101" ht="18" customHeight="1" x14ac:dyDescent="0.25">
      <c r="B31" s="280" t="s">
        <v>1838</v>
      </c>
      <c r="C31" s="238"/>
      <c r="D31" s="264"/>
      <c r="E31" s="234"/>
      <c r="F31" s="234"/>
      <c r="G31" s="234"/>
      <c r="H31" s="234"/>
      <c r="I31" s="234"/>
      <c r="J31" s="234"/>
      <c r="K31" s="234"/>
      <c r="L31" s="234"/>
      <c r="M31" s="234"/>
      <c r="N31" s="234"/>
      <c r="O31" s="234"/>
      <c r="P31" s="234"/>
      <c r="Q31" s="234"/>
      <c r="R31" s="234"/>
      <c r="S31" s="234"/>
      <c r="T31" s="234"/>
      <c r="U31" s="234"/>
      <c r="V31" s="491"/>
      <c r="W31" s="653"/>
      <c r="X31" s="653"/>
      <c r="Y31" s="653"/>
      <c r="Z31" s="653"/>
      <c r="AA31" s="653"/>
      <c r="AB31" s="653"/>
      <c r="AC31" s="728"/>
    </row>
    <row r="32" spans="1:101" ht="20.100000000000001" customHeight="1" x14ac:dyDescent="0.25">
      <c r="B32" s="261" t="s">
        <v>470</v>
      </c>
      <c r="C32" s="256"/>
      <c r="D32" s="701"/>
      <c r="E32" s="623"/>
      <c r="F32" s="623"/>
      <c r="G32" s="623"/>
      <c r="H32" s="549"/>
      <c r="I32" s="549"/>
      <c r="J32" s="549"/>
      <c r="K32" s="549"/>
      <c r="L32" s="549"/>
      <c r="M32" s="549">
        <f>'ARP Quarterly'!C5</f>
        <v>0</v>
      </c>
      <c r="N32" s="549">
        <f>'ARP Quarterly'!D5</f>
        <v>33.921840000000024</v>
      </c>
      <c r="O32" s="549">
        <f>'ARP Quarterly'!E5</f>
        <v>44.966160000000031</v>
      </c>
      <c r="P32" s="549">
        <f>'ARP Quarterly'!F5</f>
        <v>52.756999999999998</v>
      </c>
      <c r="Q32" s="549">
        <f>'ARP Quarterly'!G5</f>
        <v>52.756999999999998</v>
      </c>
      <c r="R32" s="549">
        <f>'ARP Quarterly'!H5</f>
        <v>52.756999999999998</v>
      </c>
      <c r="S32" s="549">
        <f>'ARP Quarterly'!I5</f>
        <v>52.756999999999998</v>
      </c>
      <c r="T32" s="549">
        <v>30</v>
      </c>
      <c r="U32" s="549">
        <f>'ARP Quarterly'!K5</f>
        <v>12</v>
      </c>
      <c r="V32" s="733">
        <f>'ARP Quarterly'!L5</f>
        <v>12</v>
      </c>
      <c r="W32" s="552">
        <f>'ARP Quarterly'!M5</f>
        <v>12</v>
      </c>
      <c r="X32" s="552">
        <f>'ARP Quarterly'!N5</f>
        <v>4.2219999999999995</v>
      </c>
      <c r="Y32" s="552">
        <f>'ARP Quarterly'!O5</f>
        <v>4.2219999999999995</v>
      </c>
      <c r="Z32" s="552">
        <f>'ARP Quarterly'!P5</f>
        <v>4.2219999999999995</v>
      </c>
      <c r="AA32" s="552">
        <f>'ARP Quarterly'!Q5</f>
        <v>4.2219999999999995</v>
      </c>
      <c r="AB32" s="552">
        <f>'ARP Quarterly'!R5</f>
        <v>2.3719999999999999</v>
      </c>
      <c r="AC32" s="725">
        <f>'ARP Quarterly'!S5</f>
        <v>2.3719999999999999</v>
      </c>
    </row>
    <row r="33" spans="2:101" ht="22.35" customHeight="1" x14ac:dyDescent="0.25">
      <c r="B33" s="245" t="s">
        <v>218</v>
      </c>
      <c r="C33" s="669"/>
      <c r="D33" s="264"/>
      <c r="E33" s="234"/>
      <c r="F33" s="234"/>
      <c r="G33" s="234"/>
      <c r="H33" s="234"/>
      <c r="I33" s="234"/>
      <c r="J33" s="234"/>
      <c r="K33" s="234"/>
      <c r="L33" s="234"/>
      <c r="M33" s="491">
        <f>'ARP Quarterly'!C4</f>
        <v>0</v>
      </c>
      <c r="N33" s="491">
        <f>'ARP Quarterly'!D4</f>
        <v>0</v>
      </c>
      <c r="O33" s="491">
        <f>'ARP Quarterly'!E4</f>
        <v>3.1040000000000418</v>
      </c>
      <c r="P33" s="491">
        <f>'ARP Quarterly'!F4</f>
        <v>19.719000000000005</v>
      </c>
      <c r="Q33" s="491">
        <f>'ARP Quarterly'!G4</f>
        <v>19.719000000000005</v>
      </c>
      <c r="R33" s="491">
        <f>'ARP Quarterly'!H4</f>
        <v>19.719000000000005</v>
      </c>
      <c r="S33" s="491">
        <f>'ARP Quarterly'!I4</f>
        <v>19.719000000000005</v>
      </c>
      <c r="T33" s="491">
        <f>'ARP Quarterly'!J4</f>
        <v>1.4159999999999999</v>
      </c>
      <c r="U33" s="491">
        <f>'ARP Quarterly'!K4</f>
        <v>1.4159999999999999</v>
      </c>
      <c r="V33" s="491">
        <f>'ARP Quarterly'!L4</f>
        <v>1.4159999999999999</v>
      </c>
      <c r="W33" s="653">
        <f>'ARP Quarterly'!M4</f>
        <v>1.4159999999999999</v>
      </c>
      <c r="X33" s="653">
        <f>'ARP Quarterly'!N4</f>
        <v>1.4790000000000001</v>
      </c>
      <c r="Y33" s="653">
        <f>'ARP Quarterly'!O4</f>
        <v>1.4790000000000001</v>
      </c>
      <c r="Z33" s="653">
        <f>'ARP Quarterly'!P4</f>
        <v>1.4790000000000001</v>
      </c>
      <c r="AA33" s="653">
        <f>'ARP Quarterly'!Q4</f>
        <v>1.4790000000000001</v>
      </c>
      <c r="AB33" s="653">
        <f>'ARP Quarterly'!R4</f>
        <v>1.63</v>
      </c>
      <c r="AC33" s="728">
        <f>'ARP Quarterly'!S4</f>
        <v>1.63</v>
      </c>
      <c r="AE33" s="669"/>
      <c r="AF33" s="669"/>
      <c r="AG33" s="669"/>
      <c r="AH33" s="669"/>
      <c r="AI33" s="669"/>
      <c r="AJ33" s="669"/>
      <c r="AK33" s="669"/>
      <c r="AL33" s="669"/>
      <c r="AM33" s="669"/>
      <c r="AN33" s="669"/>
      <c r="AO33" s="669"/>
      <c r="AP33" s="669"/>
      <c r="AQ33" s="669"/>
      <c r="AR33" s="669"/>
      <c r="AS33" s="669"/>
      <c r="AT33" s="669"/>
      <c r="AU33" s="669"/>
      <c r="AV33" s="669"/>
      <c r="AW33" s="669"/>
      <c r="AX33" s="669"/>
      <c r="AY33" s="669"/>
      <c r="AZ33" s="669"/>
      <c r="BA33" s="669"/>
      <c r="BB33" s="669"/>
      <c r="BC33" s="669"/>
      <c r="BD33" s="669"/>
      <c r="BE33" s="669"/>
      <c r="BF33" s="669"/>
      <c r="BG33" s="669"/>
      <c r="BH33" s="669"/>
      <c r="BI33" s="669"/>
      <c r="BJ33" s="669"/>
      <c r="BK33" s="669"/>
      <c r="BL33" s="669"/>
      <c r="BM33" s="669"/>
      <c r="BN33" s="669"/>
      <c r="BO33" s="669"/>
      <c r="BP33" s="669"/>
      <c r="BQ33" s="669"/>
      <c r="BR33" s="669"/>
      <c r="BS33" s="669"/>
      <c r="BT33" s="669"/>
      <c r="BU33" s="669"/>
      <c r="BV33" s="669"/>
      <c r="BW33" s="669"/>
      <c r="BX33" s="669"/>
      <c r="BY33" s="669"/>
      <c r="BZ33" s="669"/>
      <c r="CA33" s="669"/>
      <c r="CB33" s="669"/>
      <c r="CC33" s="669"/>
      <c r="CD33" s="669"/>
      <c r="CE33" s="669"/>
      <c r="CF33" s="669"/>
      <c r="CG33" s="669"/>
      <c r="CH33" s="669"/>
      <c r="CI33" s="669"/>
      <c r="CJ33" s="669"/>
      <c r="CK33" s="669"/>
      <c r="CL33" s="669"/>
      <c r="CM33" s="669"/>
      <c r="CN33" s="669"/>
      <c r="CO33" s="669"/>
      <c r="CP33" s="669"/>
      <c r="CQ33" s="669"/>
      <c r="CR33" s="669"/>
      <c r="CS33" s="669"/>
      <c r="CT33" s="669"/>
      <c r="CU33" s="669"/>
      <c r="CV33" s="669"/>
      <c r="CW33" s="669"/>
    </row>
    <row r="34" spans="2:101" ht="36.6" customHeight="1" x14ac:dyDescent="0.25">
      <c r="B34" s="245" t="s">
        <v>1427</v>
      </c>
      <c r="C34" s="238"/>
      <c r="D34" s="265">
        <f>D85</f>
        <v>0</v>
      </c>
      <c r="E34" s="222">
        <f t="shared" ref="E34:AC34" si="12">E85</f>
        <v>0</v>
      </c>
      <c r="F34" s="222">
        <f t="shared" si="12"/>
        <v>0</v>
      </c>
      <c r="G34" s="222">
        <f t="shared" si="12"/>
        <v>0</v>
      </c>
      <c r="H34" s="222">
        <f t="shared" si="12"/>
        <v>0</v>
      </c>
      <c r="I34" s="491">
        <f t="shared" si="12"/>
        <v>6.9120000000000061</v>
      </c>
      <c r="J34" s="491">
        <f t="shared" si="12"/>
        <v>50.955000000000005</v>
      </c>
      <c r="K34" s="491">
        <f t="shared" si="12"/>
        <v>51.173999999999999</v>
      </c>
      <c r="L34" s="491">
        <f t="shared" si="12"/>
        <v>51.893999999999998</v>
      </c>
      <c r="M34" s="491">
        <f t="shared" si="12"/>
        <v>91.075000000000017</v>
      </c>
      <c r="N34" s="491">
        <f t="shared" si="12"/>
        <v>100.63400000000001</v>
      </c>
      <c r="O34" s="491">
        <f t="shared" si="12"/>
        <v>93.89100000000002</v>
      </c>
      <c r="P34" s="491">
        <f t="shared" si="12"/>
        <v>100.22800000000001</v>
      </c>
      <c r="Q34" s="491">
        <f t="shared" si="12"/>
        <v>76.838999999999999</v>
      </c>
      <c r="R34" s="491">
        <f t="shared" si="12"/>
        <v>73.637</v>
      </c>
      <c r="S34" s="491">
        <f t="shared" si="12"/>
        <v>70.649000000000001</v>
      </c>
      <c r="T34" s="491">
        <f t="shared" si="12"/>
        <v>91.718000000000018</v>
      </c>
      <c r="U34" s="491">
        <f t="shared" si="12"/>
        <v>83.695999999999998</v>
      </c>
      <c r="V34" s="491">
        <f>V85</f>
        <v>51.979000000000006</v>
      </c>
      <c r="W34" s="653">
        <f>W85</f>
        <v>51.979000000000006</v>
      </c>
      <c r="X34" s="653">
        <f t="shared" si="12"/>
        <v>51.979000000000006</v>
      </c>
      <c r="Y34" s="653">
        <f t="shared" si="12"/>
        <v>51.979000000000006</v>
      </c>
      <c r="Z34" s="653">
        <f t="shared" si="12"/>
        <v>51.979000000000006</v>
      </c>
      <c r="AA34" s="653">
        <f t="shared" si="12"/>
        <v>51.979000000000006</v>
      </c>
      <c r="AB34" s="653">
        <f t="shared" si="12"/>
        <v>51.979000000000006</v>
      </c>
      <c r="AC34" s="728">
        <f t="shared" si="12"/>
        <v>51.979000000000006</v>
      </c>
      <c r="AE34" s="238"/>
      <c r="AF34" s="238"/>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38"/>
      <c r="BK34" s="238"/>
      <c r="BL34" s="238"/>
      <c r="BM34" s="238"/>
      <c r="BN34" s="238"/>
      <c r="BO34" s="238"/>
      <c r="BP34" s="238"/>
      <c r="BQ34" s="238"/>
      <c r="BR34" s="238"/>
      <c r="BS34" s="238"/>
      <c r="BT34" s="238"/>
      <c r="BU34" s="238"/>
      <c r="BV34" s="238"/>
      <c r="BW34" s="238"/>
      <c r="BX34" s="238"/>
      <c r="BY34" s="238"/>
      <c r="BZ34" s="238"/>
      <c r="CA34" s="238"/>
      <c r="CB34" s="238"/>
      <c r="CC34" s="238"/>
      <c r="CD34" s="238"/>
      <c r="CE34" s="238"/>
      <c r="CF34" s="238"/>
      <c r="CG34" s="238"/>
      <c r="CH34" s="238"/>
      <c r="CI34" s="238"/>
      <c r="CJ34" s="238"/>
      <c r="CK34" s="238"/>
      <c r="CL34" s="238"/>
      <c r="CM34" s="238"/>
      <c r="CN34" s="238"/>
      <c r="CO34" s="238"/>
      <c r="CP34" s="238"/>
      <c r="CQ34" s="238"/>
      <c r="CR34" s="238"/>
      <c r="CS34" s="238"/>
      <c r="CT34" s="238"/>
      <c r="CU34" s="238"/>
      <c r="CV34" s="238"/>
    </row>
    <row r="35" spans="2:101" ht="15.6" customHeight="1" x14ac:dyDescent="0.25">
      <c r="B35" s="734" t="s">
        <v>796</v>
      </c>
      <c r="C35" s="238" t="s">
        <v>823</v>
      </c>
      <c r="D35" s="264">
        <v>30</v>
      </c>
      <c r="E35" s="234">
        <v>30</v>
      </c>
      <c r="F35" s="234">
        <v>30</v>
      </c>
      <c r="G35" s="234">
        <v>30</v>
      </c>
      <c r="H35" s="234">
        <v>30</v>
      </c>
      <c r="I35" s="234">
        <v>30</v>
      </c>
      <c r="J35" s="234">
        <v>30</v>
      </c>
      <c r="K35" s="230">
        <v>30.2</v>
      </c>
      <c r="L35" s="230">
        <v>30.2</v>
      </c>
      <c r="M35" s="230">
        <f>'Haver Pivoted'!GX89</f>
        <v>34.4</v>
      </c>
      <c r="N35" s="230">
        <f>'Haver Pivoted'!GY89</f>
        <v>34.4</v>
      </c>
      <c r="O35" s="230">
        <f>'Haver Pivoted'!GZ89</f>
        <v>218.933333333333</v>
      </c>
      <c r="P35" s="230">
        <f>'Haver Pivoted'!HA89</f>
        <v>223.13333333333301</v>
      </c>
      <c r="Q35" s="230">
        <f>'Haver Pivoted'!HB89</f>
        <v>94.3</v>
      </c>
      <c r="R35" s="230">
        <f>'Haver Pivoted'!HC89</f>
        <v>94.3</v>
      </c>
      <c r="S35" s="449">
        <f>'Haver Pivoted'!HD89</f>
        <v>94.3</v>
      </c>
      <c r="T35" s="449">
        <f>'Haver Pivoted'!HE89</f>
        <v>94.3</v>
      </c>
      <c r="U35" s="653">
        <v>34</v>
      </c>
      <c r="V35" s="491">
        <v>34</v>
      </c>
      <c r="W35" s="653">
        <v>34</v>
      </c>
      <c r="X35" s="653">
        <v>34</v>
      </c>
      <c r="Y35" s="653">
        <v>34</v>
      </c>
      <c r="Z35" s="653">
        <v>34</v>
      </c>
      <c r="AA35" s="653">
        <v>34</v>
      </c>
      <c r="AB35" s="653">
        <v>34</v>
      </c>
      <c r="AC35" s="728">
        <v>34</v>
      </c>
    </row>
    <row r="36" spans="2:101" ht="21.6" customHeight="1" x14ac:dyDescent="0.25">
      <c r="B36" s="245" t="s">
        <v>468</v>
      </c>
      <c r="C36" s="238"/>
      <c r="D36" s="265"/>
      <c r="E36" s="222"/>
      <c r="F36" s="222"/>
      <c r="G36" s="222"/>
      <c r="H36" s="491"/>
      <c r="I36" s="491"/>
      <c r="J36" s="491">
        <f>'PPP (expired)'!J53</f>
        <v>57.2</v>
      </c>
      <c r="K36" s="491">
        <f>'PPP (expired)'!K53</f>
        <v>81.2</v>
      </c>
      <c r="L36" s="491">
        <f>'PPP (expired)'!L53</f>
        <v>24.4</v>
      </c>
      <c r="M36" s="491">
        <f>'PPP (expired)'!M53</f>
        <v>11.7</v>
      </c>
      <c r="N36" s="491">
        <f>'PPP (expired)'!N53</f>
        <v>28.5</v>
      </c>
      <c r="O36" s="491">
        <f>'PPP (expired)'!O53</f>
        <v>18.8</v>
      </c>
      <c r="P36" s="491">
        <f>'PPP (expired)'!P53</f>
        <v>1.6</v>
      </c>
      <c r="Q36" s="491">
        <f>'PPP (expired)'!Q53</f>
        <v>0</v>
      </c>
      <c r="R36" s="491">
        <f>'PPP (expired)'!Q61</f>
        <v>0</v>
      </c>
      <c r="S36" s="491">
        <f>'PPP (expired)'!S53</f>
        <v>0</v>
      </c>
      <c r="T36" s="491">
        <f>'PPP (expired)'!T53</f>
        <v>0</v>
      </c>
      <c r="U36" s="491">
        <f>'PPP (expired)'!U53</f>
        <v>0</v>
      </c>
      <c r="V36" s="491">
        <f>'PPP (expired)'!V53</f>
        <v>0</v>
      </c>
      <c r="W36" s="653">
        <f>'PPP (expired)'!W53</f>
        <v>0</v>
      </c>
      <c r="X36" s="653">
        <f>'PPP (expired)'!X53</f>
        <v>0</v>
      </c>
      <c r="Y36" s="653">
        <f>'PPP (expired)'!Y53</f>
        <v>0</v>
      </c>
      <c r="Z36" s="653">
        <f>'PPP (expired)'!Z53</f>
        <v>0</v>
      </c>
      <c r="AA36" s="653">
        <f>'PPP (expired)'!AA53</f>
        <v>0</v>
      </c>
      <c r="AB36" s="653">
        <f>'PPP (expired)'!AB53</f>
        <v>0</v>
      </c>
      <c r="AC36" s="728">
        <f>'PPP (expired)'!AC53</f>
        <v>0</v>
      </c>
    </row>
    <row r="37" spans="2:101" ht="21.6" customHeight="1" x14ac:dyDescent="0.25">
      <c r="B37" s="280" t="s">
        <v>797</v>
      </c>
      <c r="C37" s="238"/>
      <c r="D37" s="583">
        <f t="shared" ref="D37:AC37" si="13">D109</f>
        <v>0</v>
      </c>
      <c r="E37" s="491">
        <f t="shared" si="13"/>
        <v>0</v>
      </c>
      <c r="F37" s="491">
        <f t="shared" si="13"/>
        <v>0</v>
      </c>
      <c r="G37" s="491">
        <f t="shared" si="13"/>
        <v>0</v>
      </c>
      <c r="H37" s="491">
        <f t="shared" si="13"/>
        <v>0</v>
      </c>
      <c r="I37" s="491">
        <f t="shared" si="13"/>
        <v>-6.9120000000000346</v>
      </c>
      <c r="J37" s="491">
        <f t="shared" si="13"/>
        <v>-37.9549999999997</v>
      </c>
      <c r="K37" s="491">
        <f t="shared" si="13"/>
        <v>85.725999999999658</v>
      </c>
      <c r="L37" s="491">
        <f t="shared" si="13"/>
        <v>18.405999999999722</v>
      </c>
      <c r="M37" s="491">
        <f t="shared" si="13"/>
        <v>20.282000000000153</v>
      </c>
      <c r="N37" s="491">
        <f t="shared" si="13"/>
        <v>-8.5988400000003367</v>
      </c>
      <c r="O37" s="491">
        <f t="shared" si="13"/>
        <v>-12.537493333333487</v>
      </c>
      <c r="P37" s="491">
        <f t="shared" si="13"/>
        <v>-32.38033333333351</v>
      </c>
      <c r="Q37" s="491">
        <f t="shared" si="13"/>
        <v>72.734879999999521</v>
      </c>
      <c r="R37" s="491">
        <f t="shared" si="13"/>
        <v>75.236879999999019</v>
      </c>
      <c r="S37" s="491">
        <f t="shared" si="13"/>
        <v>65.424879999999348</v>
      </c>
      <c r="T37" s="491">
        <f t="shared" si="13"/>
        <v>112.01587999999924</v>
      </c>
      <c r="U37" s="731">
        <f t="shared" si="13"/>
        <v>77.109026999999287</v>
      </c>
      <c r="V37" s="491">
        <f>V109</f>
        <v>91.266026999999212</v>
      </c>
      <c r="W37" s="653">
        <f t="shared" si="13"/>
        <v>91.266026999999212</v>
      </c>
      <c r="X37" s="653">
        <f t="shared" si="13"/>
        <v>91.266026999999212</v>
      </c>
      <c r="Y37" s="653">
        <f t="shared" si="13"/>
        <v>91.266026999999212</v>
      </c>
      <c r="Z37" s="653">
        <f t="shared" si="13"/>
        <v>91.266026999999212</v>
      </c>
      <c r="AA37" s="653">
        <f t="shared" si="13"/>
        <v>91.266026999999212</v>
      </c>
      <c r="AB37" s="653">
        <f t="shared" si="13"/>
        <v>91.266026999999212</v>
      </c>
      <c r="AC37" s="728">
        <f t="shared" si="13"/>
        <v>91.266026999999212</v>
      </c>
    </row>
    <row r="38" spans="2:101" ht="21" customHeight="1" x14ac:dyDescent="0.25">
      <c r="B38" s="261" t="s">
        <v>794</v>
      </c>
      <c r="C38" s="256"/>
      <c r="D38" s="701">
        <f t="shared" ref="D38:AC38" si="14">D33+D21</f>
        <v>0</v>
      </c>
      <c r="E38" s="623">
        <f t="shared" si="14"/>
        <v>0</v>
      </c>
      <c r="F38" s="623">
        <f t="shared" si="14"/>
        <v>0</v>
      </c>
      <c r="G38" s="623">
        <f t="shared" si="14"/>
        <v>0</v>
      </c>
      <c r="H38" s="623">
        <f t="shared" si="14"/>
        <v>0</v>
      </c>
      <c r="I38" s="623">
        <f t="shared" si="14"/>
        <v>0</v>
      </c>
      <c r="J38" s="623">
        <f t="shared" si="14"/>
        <v>160.9</v>
      </c>
      <c r="K38" s="623">
        <f t="shared" si="14"/>
        <v>58.4</v>
      </c>
      <c r="L38" s="623">
        <f t="shared" si="14"/>
        <v>34.5</v>
      </c>
      <c r="M38" s="623">
        <f t="shared" si="14"/>
        <v>21.4</v>
      </c>
      <c r="N38" s="623">
        <f t="shared" si="14"/>
        <v>13.3</v>
      </c>
      <c r="O38" s="623">
        <f t="shared" si="14"/>
        <v>21.804000000000041</v>
      </c>
      <c r="P38" s="549">
        <f t="shared" si="14"/>
        <v>51.919000000000011</v>
      </c>
      <c r="Q38" s="623">
        <f t="shared" si="14"/>
        <v>46.619</v>
      </c>
      <c r="R38" s="623">
        <f t="shared" si="14"/>
        <v>39.719000000000008</v>
      </c>
      <c r="S38" s="623">
        <f t="shared" si="14"/>
        <v>27.819000000000003</v>
      </c>
      <c r="T38" s="549">
        <f t="shared" si="14"/>
        <v>6.3160000000000007</v>
      </c>
      <c r="U38" s="549">
        <f t="shared" si="14"/>
        <v>1.4159999999999999</v>
      </c>
      <c r="V38" s="733">
        <f t="shared" si="14"/>
        <v>1.4159999999999999</v>
      </c>
      <c r="W38" s="552">
        <f t="shared" si="14"/>
        <v>1.4159999999999999</v>
      </c>
      <c r="X38" s="552">
        <f t="shared" si="14"/>
        <v>1.4790000000000001</v>
      </c>
      <c r="Y38" s="552">
        <f t="shared" si="14"/>
        <v>1.4790000000000001</v>
      </c>
      <c r="Z38" s="552">
        <f t="shared" si="14"/>
        <v>1.4790000000000001</v>
      </c>
      <c r="AA38" s="552">
        <f t="shared" si="14"/>
        <v>1.4790000000000001</v>
      </c>
      <c r="AB38" s="552">
        <f t="shared" si="14"/>
        <v>1.63</v>
      </c>
      <c r="AC38" s="552">
        <f t="shared" si="14"/>
        <v>1.63</v>
      </c>
    </row>
    <row r="39" spans="2:101" ht="44.85" customHeight="1" x14ac:dyDescent="0.25">
      <c r="B39" s="245" t="s">
        <v>801</v>
      </c>
      <c r="C39" s="238"/>
      <c r="D39" s="583">
        <f t="shared" ref="D39:AC39" si="15">D101</f>
        <v>1410.9</v>
      </c>
      <c r="E39" s="491">
        <f t="shared" si="15"/>
        <v>1470.7000000000003</v>
      </c>
      <c r="F39" s="491">
        <f t="shared" si="15"/>
        <v>1475.8999999999996</v>
      </c>
      <c r="G39" s="491">
        <f t="shared" si="15"/>
        <v>1482.6999999999998</v>
      </c>
      <c r="H39" s="491">
        <f t="shared" si="15"/>
        <v>1490.8000000000002</v>
      </c>
      <c r="I39" s="491">
        <f t="shared" si="15"/>
        <v>1542.4</v>
      </c>
      <c r="J39" s="491">
        <f t="shared" si="15"/>
        <v>1549.1000000000001</v>
      </c>
      <c r="K39" s="491">
        <f t="shared" si="15"/>
        <v>1555.8000000000002</v>
      </c>
      <c r="L39" s="491">
        <f t="shared" si="15"/>
        <v>1562.5000000000002</v>
      </c>
      <c r="M39" s="491">
        <f t="shared" si="15"/>
        <v>1586.8430000000003</v>
      </c>
      <c r="N39" s="491">
        <f t="shared" si="15"/>
        <v>1593.5430000000003</v>
      </c>
      <c r="O39" s="491">
        <f t="shared" si="15"/>
        <v>1600.2430000000004</v>
      </c>
      <c r="P39" s="491">
        <f t="shared" si="15"/>
        <v>1606.9430000000004</v>
      </c>
      <c r="Q39" s="491">
        <f t="shared" si="15"/>
        <v>1685.5501200000006</v>
      </c>
      <c r="R39" s="491">
        <f t="shared" si="15"/>
        <v>1692.2501200000006</v>
      </c>
      <c r="S39" s="491">
        <f t="shared" si="15"/>
        <v>1698.9501200000007</v>
      </c>
      <c r="T39" s="491">
        <f t="shared" si="15"/>
        <v>1705.6501200000007</v>
      </c>
      <c r="U39" s="491">
        <f t="shared" si="15"/>
        <v>1818.9789730000007</v>
      </c>
      <c r="V39" s="491">
        <f t="shared" si="15"/>
        <v>1825.6789730000007</v>
      </c>
      <c r="W39" s="653">
        <f t="shared" si="15"/>
        <v>1832.3789730000008</v>
      </c>
      <c r="X39" s="653">
        <f t="shared" si="15"/>
        <v>1839.0789730000008</v>
      </c>
      <c r="Y39" s="653">
        <f t="shared" si="15"/>
        <v>1888.4225177000008</v>
      </c>
      <c r="Z39" s="653">
        <f t="shared" si="15"/>
        <v>1895.1225177000008</v>
      </c>
      <c r="AA39" s="653">
        <f t="shared" si="15"/>
        <v>1901.8225177000008</v>
      </c>
      <c r="AB39" s="653">
        <f t="shared" si="15"/>
        <v>1908.5225177000009</v>
      </c>
      <c r="AC39" s="728">
        <f t="shared" si="15"/>
        <v>1944.8697280960009</v>
      </c>
    </row>
    <row r="40" spans="2:101" ht="44.85" customHeight="1" x14ac:dyDescent="0.25">
      <c r="B40" s="422" t="s">
        <v>1179</v>
      </c>
      <c r="D40" s="583"/>
      <c r="E40" s="491"/>
      <c r="F40" s="491"/>
      <c r="G40" s="491"/>
      <c r="H40" s="491"/>
      <c r="I40" s="491"/>
      <c r="J40" s="491"/>
      <c r="K40" s="491"/>
      <c r="L40" s="491"/>
      <c r="M40" s="491"/>
      <c r="N40" s="491"/>
      <c r="O40" s="491"/>
      <c r="P40" s="491"/>
      <c r="Q40" s="491"/>
      <c r="R40" s="491"/>
      <c r="S40" s="657">
        <f>'IRA and CHIPS'!E191</f>
        <v>-0.622</v>
      </c>
      <c r="T40" s="657">
        <f>'IRA and CHIPS'!F191</f>
        <v>21.89</v>
      </c>
      <c r="U40" s="657">
        <f>'IRA and CHIPS'!G191</f>
        <v>21.89</v>
      </c>
      <c r="V40" s="657">
        <f>'IRA and CHIPS'!H191</f>
        <v>21.89</v>
      </c>
      <c r="W40" s="668">
        <f>'IRA and CHIPS'!I191</f>
        <v>21.89</v>
      </c>
      <c r="X40" s="668">
        <f>'IRA and CHIPS'!J191</f>
        <v>15.439</v>
      </c>
      <c r="Y40" s="668">
        <f>'IRA and CHIPS'!K191</f>
        <v>15.439</v>
      </c>
      <c r="Z40" s="668">
        <f>'IRA and CHIPS'!L191</f>
        <v>15.439</v>
      </c>
      <c r="AA40" s="668">
        <f>'IRA and CHIPS'!M191</f>
        <v>15.439</v>
      </c>
      <c r="AB40" s="668">
        <f>'IRA and CHIPS'!N191</f>
        <v>16.966999999999999</v>
      </c>
      <c r="AC40" s="737">
        <f>'IRA and CHIPS'!O191</f>
        <v>16.966999999999999</v>
      </c>
    </row>
    <row r="41" spans="2:101" ht="31.35" customHeight="1" x14ac:dyDescent="0.25">
      <c r="B41" s="571" t="s">
        <v>798</v>
      </c>
      <c r="C41" s="256"/>
      <c r="D41" s="549">
        <f t="shared" ref="D41:R41" si="16">D39+SUM(D34:D37)+D40</f>
        <v>1440.9</v>
      </c>
      <c r="E41" s="549">
        <f t="shared" si="16"/>
        <v>1500.7000000000003</v>
      </c>
      <c r="F41" s="549">
        <f t="shared" si="16"/>
        <v>1505.8999999999996</v>
      </c>
      <c r="G41" s="549">
        <f t="shared" si="16"/>
        <v>1512.6999999999998</v>
      </c>
      <c r="H41" s="549">
        <f t="shared" si="16"/>
        <v>1520.8000000000002</v>
      </c>
      <c r="I41" s="549">
        <f t="shared" si="16"/>
        <v>1572.4</v>
      </c>
      <c r="J41" s="549">
        <f t="shared" si="16"/>
        <v>1649.3000000000004</v>
      </c>
      <c r="K41" s="549">
        <f t="shared" si="16"/>
        <v>1804.1</v>
      </c>
      <c r="L41" s="549">
        <f t="shared" si="16"/>
        <v>1687.3999999999999</v>
      </c>
      <c r="M41" s="549">
        <f t="shared" si="16"/>
        <v>1744.3000000000004</v>
      </c>
      <c r="N41" s="549">
        <f t="shared" si="16"/>
        <v>1748.4781600000001</v>
      </c>
      <c r="O41" s="549">
        <f t="shared" si="16"/>
        <v>1919.3298399999999</v>
      </c>
      <c r="P41" s="549">
        <f t="shared" si="16"/>
        <v>1899.5239999999999</v>
      </c>
      <c r="Q41" s="549">
        <f t="shared" si="16"/>
        <v>1929.424</v>
      </c>
      <c r="R41" s="549">
        <f t="shared" si="16"/>
        <v>1935.4239999999995</v>
      </c>
      <c r="S41" s="549">
        <f>S39+SUM(S34:S37)+S40</f>
        <v>1928.702</v>
      </c>
      <c r="T41" s="679">
        <f>T39+SUM(T34:T37)+T40</f>
        <v>2025.5740000000001</v>
      </c>
      <c r="U41" s="679">
        <f>U39+SUM(U34:U37)+U40</f>
        <v>2035.674</v>
      </c>
      <c r="V41" s="733">
        <f>V39+SUM(V34:V37)+V40</f>
        <v>2024.8140000000001</v>
      </c>
      <c r="W41" s="552">
        <f t="shared" ref="W41:AC41" si="17">W39+SUM(W34:W37)+W40</f>
        <v>2031.5140000000001</v>
      </c>
      <c r="X41" s="552">
        <f t="shared" si="17"/>
        <v>2031.7630000000001</v>
      </c>
      <c r="Y41" s="552">
        <f t="shared" si="17"/>
        <v>2081.1065446999996</v>
      </c>
      <c r="Z41" s="552">
        <f t="shared" si="17"/>
        <v>2087.8065446999999</v>
      </c>
      <c r="AA41" s="552">
        <f t="shared" si="17"/>
        <v>2094.5065446999997</v>
      </c>
      <c r="AB41" s="552">
        <f t="shared" si="17"/>
        <v>2102.7345447000002</v>
      </c>
      <c r="AC41" s="552">
        <f t="shared" si="17"/>
        <v>2139.0817550960001</v>
      </c>
    </row>
    <row r="42" spans="2:101" ht="31.35" customHeight="1" x14ac:dyDescent="0.25">
      <c r="B42" s="571"/>
      <c r="C42" s="256"/>
      <c r="D42" s="549"/>
      <c r="E42" s="549"/>
      <c r="F42" s="549"/>
      <c r="G42" s="549"/>
      <c r="H42" s="549"/>
      <c r="I42" s="549"/>
      <c r="J42" s="549"/>
      <c r="K42" s="549"/>
      <c r="L42" s="549"/>
      <c r="M42" s="549"/>
      <c r="N42" s="549"/>
      <c r="O42" s="549"/>
      <c r="P42" s="549"/>
      <c r="Q42" s="549"/>
      <c r="R42" s="549"/>
      <c r="S42" s="549"/>
      <c r="T42" s="549"/>
      <c r="U42" s="549"/>
      <c r="V42" s="549">
        <f>V12-SUM(V14,V17,V18,V21,V32,V33,V34,V35)+V40</f>
        <v>1938.835</v>
      </c>
      <c r="W42" s="552"/>
      <c r="X42" s="552"/>
      <c r="Y42" s="552"/>
      <c r="Z42" s="552"/>
      <c r="AA42" s="552"/>
      <c r="AB42" s="552"/>
      <c r="AC42" s="552"/>
    </row>
    <row r="43" spans="2:101" ht="31.35" customHeight="1" x14ac:dyDescent="0.25">
      <c r="B43" s="1358" t="s">
        <v>471</v>
      </c>
      <c r="C43" s="1359"/>
      <c r="D43" s="567"/>
      <c r="E43" s="568"/>
      <c r="F43" s="568"/>
      <c r="G43" s="568"/>
      <c r="H43" s="568"/>
      <c r="I43" s="568"/>
      <c r="J43" s="568"/>
      <c r="K43" s="568"/>
      <c r="L43" s="568"/>
      <c r="M43" s="568"/>
      <c r="N43" s="568"/>
      <c r="O43" s="568"/>
      <c r="P43" s="568"/>
      <c r="Q43" s="568"/>
      <c r="R43" s="568"/>
      <c r="S43" s="568"/>
      <c r="T43" s="549"/>
      <c r="U43" s="568"/>
      <c r="V43" s="549">
        <f>V39+V37</f>
        <v>1916.9449999999999</v>
      </c>
      <c r="W43" s="552"/>
      <c r="X43" s="552"/>
      <c r="Y43" s="552"/>
      <c r="Z43" s="552"/>
      <c r="AA43" s="552"/>
      <c r="AB43" s="552"/>
      <c r="AC43" s="725"/>
    </row>
    <row r="44" spans="2:101" x14ac:dyDescent="0.25">
      <c r="B44" s="280" t="s">
        <v>803</v>
      </c>
      <c r="C44" s="238" t="s">
        <v>472</v>
      </c>
      <c r="D44" s="265">
        <f>'Haver Pivoted'!GO37</f>
        <v>733.6</v>
      </c>
      <c r="E44" s="222">
        <f>'Haver Pivoted'!GP37</f>
        <v>744.3</v>
      </c>
      <c r="F44" s="222">
        <f>'Haver Pivoted'!GQ37</f>
        <v>762.3</v>
      </c>
      <c r="G44" s="222">
        <f>'Haver Pivoted'!GR37</f>
        <v>772.2</v>
      </c>
      <c r="H44" s="222">
        <f>'Haver Pivoted'!GS37</f>
        <v>772.1</v>
      </c>
      <c r="I44" s="222">
        <f>'Haver Pivoted'!GT37</f>
        <v>760.8</v>
      </c>
      <c r="J44" s="222">
        <f>'Haver Pivoted'!GU37</f>
        <v>811.3</v>
      </c>
      <c r="K44" s="222">
        <f>'Haver Pivoted'!GV37</f>
        <v>850.3</v>
      </c>
      <c r="L44" s="222">
        <f>'Haver Pivoted'!GW37</f>
        <v>840.3</v>
      </c>
      <c r="M44" s="222">
        <f>'Haver Pivoted'!GX37</f>
        <v>869.7</v>
      </c>
      <c r="N44" s="222">
        <f>'Haver Pivoted'!GY37</f>
        <v>913.8</v>
      </c>
      <c r="O44" s="222">
        <f>'Haver Pivoted'!GZ37</f>
        <v>923.8</v>
      </c>
      <c r="P44" s="222">
        <f>'Haver Pivoted'!HA37</f>
        <v>923.5</v>
      </c>
      <c r="Q44" s="222">
        <f>'Haver Pivoted'!HB37</f>
        <v>973.6</v>
      </c>
      <c r="R44" s="222">
        <f>'Haver Pivoted'!HC37</f>
        <v>1010.5</v>
      </c>
      <c r="S44" s="622">
        <f>'Haver Pivoted'!HD37</f>
        <v>1032.5999999999999</v>
      </c>
      <c r="T44" s="622">
        <f>'Haver Pivoted'!HE37</f>
        <v>1096.5999999999999</v>
      </c>
      <c r="U44" s="622">
        <f>'Haver Pivoted'!HF37</f>
        <v>1083.2</v>
      </c>
      <c r="V44" s="622">
        <f>'Haver Pivoted'!HG37</f>
        <v>1111.0999999999999</v>
      </c>
      <c r="W44" s="283"/>
      <c r="X44" s="283"/>
      <c r="Y44" s="283"/>
      <c r="Z44" s="283"/>
      <c r="AA44" s="283"/>
      <c r="AB44" s="283"/>
      <c r="AC44" s="719"/>
    </row>
    <row r="45" spans="2:101" x14ac:dyDescent="0.25">
      <c r="B45" s="548" t="s">
        <v>209</v>
      </c>
      <c r="C45" s="238"/>
      <c r="D45" s="583">
        <f>Medicaid!D27</f>
        <v>589.5</v>
      </c>
      <c r="E45" s="491">
        <f>Medicaid!E27</f>
        <v>598.70000000000005</v>
      </c>
      <c r="F45" s="491">
        <f>Medicaid!F27</f>
        <v>614.4</v>
      </c>
      <c r="G45" s="491">
        <f>Medicaid!G27</f>
        <v>622.4</v>
      </c>
      <c r="H45" s="491">
        <f>Medicaid!H27</f>
        <v>620.6</v>
      </c>
      <c r="I45" s="491">
        <f>Medicaid!I27</f>
        <v>606.5</v>
      </c>
      <c r="J45" s="491">
        <f>Medicaid!J27</f>
        <v>654.6</v>
      </c>
      <c r="K45" s="491">
        <f>Medicaid!K27</f>
        <v>690.8</v>
      </c>
      <c r="L45" s="491">
        <f>Medicaid!L27</f>
        <v>678.6</v>
      </c>
      <c r="M45" s="491">
        <f>Medicaid!M27</f>
        <v>704.9</v>
      </c>
      <c r="N45" s="491">
        <f>Medicaid!N27</f>
        <v>745.6</v>
      </c>
      <c r="O45" s="491">
        <f>Medicaid!O27</f>
        <v>749.2</v>
      </c>
      <c r="P45" s="491">
        <f>Medicaid!P27</f>
        <v>746.3</v>
      </c>
      <c r="Q45" s="491">
        <f>Medicaid!Q27</f>
        <v>791.9</v>
      </c>
      <c r="R45" s="491">
        <f>Medicaid!R27</f>
        <v>819.2</v>
      </c>
      <c r="S45" s="622">
        <f>Medicaid!S27</f>
        <v>819</v>
      </c>
      <c r="T45" s="491">
        <f>Medicaid!T27</f>
        <v>827.5</v>
      </c>
      <c r="U45" s="491">
        <f>Medicaid!U27</f>
        <v>877.6</v>
      </c>
      <c r="V45" s="491">
        <f>Medicaid!V27</f>
        <v>911.6</v>
      </c>
      <c r="W45" s="653">
        <f>Medicaid!W27</f>
        <v>867.2</v>
      </c>
      <c r="X45" s="653">
        <f>Medicaid!X27</f>
        <v>856.2</v>
      </c>
      <c r="Y45" s="653">
        <f>Medicaid!Y27</f>
        <v>904.8</v>
      </c>
      <c r="Z45" s="653">
        <f>Medicaid!Z27</f>
        <v>924.7</v>
      </c>
      <c r="AA45" s="653">
        <f>Medicaid!AA27</f>
        <v>932.4</v>
      </c>
      <c r="AB45" s="653">
        <f>Medicaid!AB27</f>
        <v>944.8</v>
      </c>
      <c r="AC45" s="728">
        <f>Medicaid!AC27</f>
        <v>966.6</v>
      </c>
    </row>
    <row r="46" spans="2:101" ht="14.85" customHeight="1" x14ac:dyDescent="0.25">
      <c r="B46" s="571" t="s">
        <v>804</v>
      </c>
      <c r="C46" s="256"/>
      <c r="D46" s="582">
        <f>D44-D45</f>
        <v>144.10000000000002</v>
      </c>
      <c r="E46" s="549">
        <f t="shared" ref="E46:O46" si="18">E44-E45</f>
        <v>145.59999999999991</v>
      </c>
      <c r="F46" s="549">
        <f t="shared" si="18"/>
        <v>147.89999999999998</v>
      </c>
      <c r="G46" s="549">
        <f t="shared" si="18"/>
        <v>149.80000000000007</v>
      </c>
      <c r="H46" s="549">
        <f t="shared" si="18"/>
        <v>151.5</v>
      </c>
      <c r="I46" s="549">
        <f t="shared" si="18"/>
        <v>154.29999999999995</v>
      </c>
      <c r="J46" s="549">
        <f t="shared" si="18"/>
        <v>156.69999999999993</v>
      </c>
      <c r="K46" s="549">
        <f t="shared" si="18"/>
        <v>159.5</v>
      </c>
      <c r="L46" s="549">
        <f t="shared" si="18"/>
        <v>161.69999999999993</v>
      </c>
      <c r="M46" s="549">
        <f t="shared" si="18"/>
        <v>164.80000000000007</v>
      </c>
      <c r="N46" s="549">
        <f t="shared" si="18"/>
        <v>168.19999999999993</v>
      </c>
      <c r="O46" s="549">
        <f t="shared" si="18"/>
        <v>174.59999999999991</v>
      </c>
      <c r="P46" s="549">
        <f>P44-P45</f>
        <v>177.20000000000005</v>
      </c>
      <c r="Q46" s="549">
        <f>Q44-Q45</f>
        <v>181.70000000000005</v>
      </c>
      <c r="R46" s="549">
        <f>R44-R45</f>
        <v>191.29999999999995</v>
      </c>
      <c r="S46" s="622">
        <f>S44-S45</f>
        <v>213.59999999999991</v>
      </c>
      <c r="T46" s="622">
        <f>T44-T45</f>
        <v>269.09999999999991</v>
      </c>
      <c r="U46" s="549">
        <f>T46*(1+AVERAGE($F$48:$I$48))+U47</f>
        <v>203.03380700109631</v>
      </c>
      <c r="V46" s="733">
        <f>U46*(1+AVERAGE($F$48:$I$48))+V47</f>
        <v>206.0018330562437</v>
      </c>
      <c r="W46" s="552">
        <f t="shared" ref="W46:AC46" si="19">V46*(1+AVERAGE($F$48:$I$48))</f>
        <v>209.01324685451698</v>
      </c>
      <c r="X46" s="552">
        <f t="shared" si="19"/>
        <v>212.06868265458453</v>
      </c>
      <c r="Y46" s="552">
        <f t="shared" si="19"/>
        <v>215.16878398695127</v>
      </c>
      <c r="Z46" s="552">
        <f t="shared" si="19"/>
        <v>218.31420378949775</v>
      </c>
      <c r="AA46" s="552">
        <f t="shared" si="19"/>
        <v>221.50560454500092</v>
      </c>
      <c r="AB46" s="552">
        <f t="shared" si="19"/>
        <v>224.74365842066501</v>
      </c>
      <c r="AC46" s="725">
        <f t="shared" si="19"/>
        <v>228.02904740969223</v>
      </c>
    </row>
    <row r="47" spans="2:101" ht="14.85" customHeight="1" x14ac:dyDescent="0.25">
      <c r="B47" s="571" t="s">
        <v>1688</v>
      </c>
      <c r="C47" s="256"/>
      <c r="D47" s="582"/>
      <c r="E47" s="549"/>
      <c r="F47" s="549"/>
      <c r="G47" s="549"/>
      <c r="H47" s="549"/>
      <c r="I47" s="549"/>
      <c r="J47" s="549"/>
      <c r="K47" s="549"/>
      <c r="L47" s="549"/>
      <c r="M47" s="549"/>
      <c r="N47" s="549"/>
      <c r="O47" s="549"/>
      <c r="P47" s="549"/>
      <c r="Q47" s="549"/>
      <c r="R47" s="549"/>
      <c r="S47" s="622"/>
      <c r="T47" s="549"/>
      <c r="U47" s="549">
        <v>-70</v>
      </c>
      <c r="V47" s="549"/>
      <c r="W47" s="552"/>
      <c r="X47" s="552"/>
      <c r="Y47" s="552"/>
      <c r="Z47" s="552"/>
      <c r="AA47" s="552"/>
      <c r="AB47" s="552"/>
      <c r="AC47" s="725"/>
    </row>
    <row r="48" spans="2:101" x14ac:dyDescent="0.25">
      <c r="B48" s="698" t="s">
        <v>805</v>
      </c>
      <c r="C48" s="359"/>
      <c r="D48" s="584"/>
      <c r="E48" s="570">
        <f>E46/D46-1</f>
        <v>1.0409437890353201E-2</v>
      </c>
      <c r="F48" s="570">
        <f t="shared" ref="F48:N48" si="20">F46/E46-1</f>
        <v>1.5796703296703685E-2</v>
      </c>
      <c r="G48" s="570">
        <f t="shared" si="20"/>
        <v>1.2846517917512346E-2</v>
      </c>
      <c r="H48" s="570">
        <f t="shared" si="20"/>
        <v>1.1348464619492127E-2</v>
      </c>
      <c r="I48" s="570">
        <f t="shared" si="20"/>
        <v>1.8481848184818128E-2</v>
      </c>
      <c r="J48" s="570">
        <f t="shared" si="20"/>
        <v>1.5554115359688758E-2</v>
      </c>
      <c r="K48" s="570">
        <f t="shared" si="20"/>
        <v>1.7868538608807105E-2</v>
      </c>
      <c r="L48" s="570">
        <f t="shared" si="20"/>
        <v>1.3793103448275446E-2</v>
      </c>
      <c r="M48" s="570">
        <f t="shared" si="20"/>
        <v>1.9171304885591489E-2</v>
      </c>
      <c r="N48" s="570">
        <f t="shared" si="20"/>
        <v>2.0631067961164318E-2</v>
      </c>
      <c r="O48" s="570">
        <f>O46/N46-1</f>
        <v>3.8049940546967864E-2</v>
      </c>
      <c r="P48" s="570">
        <f t="shared" ref="P48:S48" si="21">P46/O46-1</f>
        <v>1.4891179839634283E-2</v>
      </c>
      <c r="Q48" s="570">
        <f t="shared" si="21"/>
        <v>2.5395033860045046E-2</v>
      </c>
      <c r="R48" s="570">
        <f t="shared" si="21"/>
        <v>5.2834342322509054E-2</v>
      </c>
      <c r="S48" s="642">
        <f t="shared" si="21"/>
        <v>0.11657083115525335</v>
      </c>
      <c r="T48" s="551"/>
      <c r="U48" s="551"/>
      <c r="V48" s="551"/>
      <c r="W48" s="578"/>
      <c r="X48" s="578"/>
      <c r="Y48" s="578"/>
      <c r="Z48" s="578"/>
      <c r="AA48" s="578"/>
      <c r="AB48" s="578"/>
      <c r="AC48" s="724"/>
    </row>
    <row r="51" spans="2:39" x14ac:dyDescent="0.25">
      <c r="B51" s="1303"/>
      <c r="C51" s="1303"/>
      <c r="U51" s="222"/>
      <c r="V51" s="222"/>
      <c r="W51" s="222"/>
      <c r="X51" s="222"/>
      <c r="Y51" s="222"/>
      <c r="Z51" s="222"/>
      <c r="AA51" s="222"/>
      <c r="AB51" s="222"/>
      <c r="AC51" s="222"/>
    </row>
    <row r="52" spans="2:39" x14ac:dyDescent="0.25">
      <c r="B52" s="223"/>
      <c r="C52" s="238"/>
      <c r="U52" s="491"/>
      <c r="V52" s="491">
        <f>V40+V39+V34+V35+V36+V37</f>
        <v>2024.8140000000001</v>
      </c>
      <c r="W52" s="491"/>
      <c r="X52" s="491"/>
      <c r="Y52" s="491"/>
      <c r="Z52" s="491"/>
      <c r="AA52" s="491"/>
      <c r="AB52" s="491"/>
      <c r="AC52" s="491"/>
      <c r="AD52" s="514"/>
      <c r="AE52" s="514"/>
      <c r="AF52" s="514"/>
      <c r="AG52" s="514"/>
      <c r="AH52" s="514"/>
      <c r="AI52" s="514"/>
      <c r="AJ52" s="514"/>
      <c r="AK52" s="514"/>
      <c r="AL52" s="514"/>
      <c r="AM52" s="514"/>
    </row>
    <row r="53" spans="2:39" x14ac:dyDescent="0.25">
      <c r="B53" s="223"/>
      <c r="C53" s="238"/>
      <c r="U53" s="222"/>
      <c r="V53" s="222"/>
      <c r="W53" s="222"/>
      <c r="X53" s="222"/>
      <c r="Y53" s="222"/>
      <c r="Z53" s="222"/>
      <c r="AA53" s="222"/>
      <c r="AB53" s="222"/>
      <c r="AC53" s="222"/>
      <c r="AD53" s="514"/>
      <c r="AE53" s="514"/>
      <c r="AF53" s="514"/>
      <c r="AG53" s="514"/>
      <c r="AH53" s="514"/>
      <c r="AI53" s="514"/>
      <c r="AJ53" s="514"/>
      <c r="AK53" s="514"/>
      <c r="AL53" s="514"/>
      <c r="AM53" s="514"/>
    </row>
    <row r="54" spans="2:39" ht="28.5" customHeight="1" x14ac:dyDescent="0.25">
      <c r="B54" s="246"/>
      <c r="C54" s="238"/>
      <c r="U54" s="491"/>
      <c r="V54" s="491"/>
      <c r="W54" s="491"/>
      <c r="X54" s="491"/>
      <c r="Y54" s="491"/>
      <c r="Z54" s="491"/>
      <c r="AA54" s="491"/>
      <c r="AB54" s="491"/>
      <c r="AC54" s="491"/>
      <c r="AD54" s="514"/>
      <c r="AE54" s="514"/>
      <c r="AF54" s="514"/>
      <c r="AG54" s="514"/>
      <c r="AH54" s="514"/>
      <c r="AI54" s="514"/>
      <c r="AJ54" s="514"/>
      <c r="AK54" s="514"/>
      <c r="AL54" s="514"/>
      <c r="AM54" s="514"/>
    </row>
    <row r="55" spans="2:39" x14ac:dyDescent="0.25">
      <c r="B55" s="246"/>
      <c r="C55" s="238"/>
      <c r="U55" s="491"/>
      <c r="V55" s="491"/>
      <c r="W55" s="491"/>
      <c r="X55" s="491"/>
      <c r="Y55" s="491"/>
      <c r="Z55" s="491"/>
      <c r="AA55" s="491"/>
      <c r="AB55" s="491"/>
      <c r="AC55" s="491"/>
      <c r="AD55" s="514"/>
      <c r="AE55" s="514"/>
      <c r="AF55" s="514"/>
      <c r="AG55" s="514"/>
      <c r="AH55" s="514"/>
      <c r="AI55" s="514"/>
      <c r="AJ55" s="514"/>
      <c r="AK55" s="514"/>
      <c r="AL55" s="514"/>
      <c r="AM55" s="514"/>
    </row>
    <row r="56" spans="2:39" x14ac:dyDescent="0.25">
      <c r="B56" s="223"/>
      <c r="C56" s="238"/>
      <c r="U56" s="491"/>
      <c r="V56" s="491"/>
      <c r="W56" s="491"/>
      <c r="X56" s="491"/>
      <c r="Y56" s="491"/>
      <c r="Z56" s="491"/>
      <c r="AA56" s="491"/>
      <c r="AB56" s="491"/>
      <c r="AC56" s="491"/>
      <c r="AD56" s="514"/>
      <c r="AE56" s="514"/>
      <c r="AF56" s="514"/>
      <c r="AG56" s="514"/>
      <c r="AH56" s="514"/>
      <c r="AI56" s="514"/>
      <c r="AJ56" s="514"/>
      <c r="AK56" s="514"/>
      <c r="AL56" s="514"/>
      <c r="AM56" s="514"/>
    </row>
    <row r="57" spans="2:39" x14ac:dyDescent="0.25">
      <c r="B57" s="251"/>
      <c r="C57" s="256"/>
      <c r="U57" s="549"/>
      <c r="V57" s="549"/>
      <c r="W57" s="549"/>
      <c r="X57" s="549"/>
      <c r="Y57" s="549"/>
      <c r="Z57" s="549"/>
      <c r="AA57" s="549"/>
      <c r="AB57" s="549"/>
      <c r="AC57" s="549"/>
      <c r="AD57" s="514"/>
      <c r="AE57" s="514"/>
      <c r="AF57" s="514"/>
      <c r="AG57" s="514"/>
      <c r="AH57" s="514"/>
      <c r="AI57" s="514"/>
      <c r="AJ57" s="514"/>
      <c r="AK57" s="514"/>
      <c r="AL57" s="514"/>
      <c r="AM57" s="514"/>
    </row>
    <row r="58" spans="2:39" x14ac:dyDescent="0.25">
      <c r="B58" s="246"/>
      <c r="C58" s="669"/>
      <c r="U58" s="491"/>
      <c r="V58" s="491"/>
      <c r="W58" s="491"/>
      <c r="X58" s="491"/>
      <c r="Y58" s="491"/>
      <c r="Z58" s="491"/>
      <c r="AA58" s="491"/>
      <c r="AB58" s="491"/>
      <c r="AC58" s="491"/>
      <c r="AD58" s="514"/>
      <c r="AE58" s="514"/>
      <c r="AF58" s="514"/>
      <c r="AG58" s="514"/>
      <c r="AH58" s="514"/>
      <c r="AI58" s="514"/>
      <c r="AJ58" s="514"/>
      <c r="AK58" s="514"/>
      <c r="AL58" s="514"/>
      <c r="AM58" s="514"/>
    </row>
    <row r="59" spans="2:39" x14ac:dyDescent="0.25">
      <c r="B59" s="246"/>
      <c r="C59" s="669"/>
      <c r="U59" s="234"/>
      <c r="V59" s="234"/>
      <c r="W59" s="234"/>
      <c r="X59" s="234"/>
      <c r="Y59" s="234"/>
      <c r="Z59" s="234"/>
      <c r="AA59" s="234"/>
      <c r="AB59" s="234"/>
      <c r="AC59" s="234"/>
      <c r="AD59" s="514"/>
      <c r="AE59" s="514"/>
      <c r="AF59" s="514"/>
      <c r="AG59" s="514"/>
      <c r="AH59" s="514"/>
      <c r="AI59" s="514"/>
      <c r="AJ59" s="514"/>
      <c r="AK59" s="514"/>
      <c r="AL59" s="514"/>
      <c r="AM59" s="514"/>
    </row>
    <row r="60" spans="2:39" x14ac:dyDescent="0.25">
      <c r="B60" s="246"/>
      <c r="C60" s="238"/>
      <c r="U60" s="491"/>
      <c r="V60" s="491"/>
      <c r="W60" s="491"/>
      <c r="X60" s="491"/>
      <c r="Y60" s="491"/>
      <c r="Z60" s="491"/>
      <c r="AA60" s="491"/>
      <c r="AB60" s="491"/>
      <c r="AC60" s="491"/>
      <c r="AD60" s="514"/>
      <c r="AE60" s="514"/>
      <c r="AF60" s="514"/>
      <c r="AG60" s="514"/>
      <c r="AH60" s="514"/>
      <c r="AI60" s="514"/>
      <c r="AJ60" s="514"/>
      <c r="AK60" s="514"/>
      <c r="AL60" s="514"/>
      <c r="AM60" s="514"/>
    </row>
    <row r="61" spans="2:39" x14ac:dyDescent="0.25">
      <c r="B61" s="246"/>
      <c r="C61" s="238"/>
      <c r="U61" s="491"/>
      <c r="V61" s="491"/>
      <c r="W61" s="491"/>
      <c r="X61" s="491"/>
      <c r="Y61" s="491"/>
      <c r="Z61" s="491"/>
      <c r="AA61" s="491"/>
      <c r="AB61" s="491"/>
      <c r="AC61" s="491"/>
      <c r="AD61" s="514"/>
      <c r="AE61" s="514"/>
      <c r="AF61" s="514"/>
      <c r="AG61" s="514"/>
      <c r="AH61" s="514"/>
      <c r="AI61" s="514"/>
      <c r="AJ61" s="514"/>
      <c r="AK61" s="514"/>
      <c r="AL61" s="514"/>
      <c r="AM61" s="514"/>
    </row>
    <row r="62" spans="2:39" x14ac:dyDescent="0.25">
      <c r="B62" s="246"/>
      <c r="C62" s="238"/>
      <c r="U62" s="491"/>
      <c r="V62" s="491"/>
      <c r="W62" s="491"/>
      <c r="X62" s="491"/>
      <c r="Y62" s="491"/>
      <c r="Z62" s="491"/>
      <c r="AA62" s="491"/>
      <c r="AB62" s="491"/>
      <c r="AC62" s="491"/>
      <c r="AD62" s="514"/>
      <c r="AE62" s="514"/>
      <c r="AF62" s="514"/>
      <c r="AG62" s="514"/>
      <c r="AH62" s="514"/>
      <c r="AI62" s="514"/>
      <c r="AJ62" s="514"/>
      <c r="AK62" s="514"/>
      <c r="AL62" s="514"/>
      <c r="AM62" s="514"/>
    </row>
    <row r="63" spans="2:39" x14ac:dyDescent="0.25">
      <c r="B63" s="223"/>
      <c r="C63" s="238"/>
      <c r="U63" s="491"/>
      <c r="V63" s="491"/>
      <c r="W63" s="491"/>
      <c r="X63" s="491"/>
      <c r="Y63" s="491"/>
      <c r="Z63" s="491"/>
      <c r="AA63" s="491"/>
      <c r="AB63" s="491"/>
      <c r="AC63" s="491"/>
      <c r="AD63" s="514"/>
      <c r="AE63" s="514"/>
      <c r="AF63" s="514"/>
      <c r="AG63" s="514"/>
      <c r="AH63" s="514"/>
      <c r="AI63" s="514"/>
      <c r="AJ63" s="514"/>
      <c r="AK63" s="514"/>
      <c r="AL63" s="514"/>
      <c r="AM63" s="514"/>
    </row>
    <row r="64" spans="2:39" x14ac:dyDescent="0.25">
      <c r="B64" s="251"/>
      <c r="C64" s="256"/>
      <c r="U64" s="623"/>
      <c r="V64" s="623"/>
      <c r="W64" s="623"/>
      <c r="X64" s="623"/>
      <c r="Y64" s="623"/>
      <c r="Z64" s="623"/>
      <c r="AA64" s="623"/>
      <c r="AB64" s="623"/>
      <c r="AC64" s="623"/>
      <c r="AD64" s="514"/>
      <c r="AE64" s="514"/>
      <c r="AF64" s="514"/>
      <c r="AG64" s="514"/>
      <c r="AH64" s="514"/>
      <c r="AI64" s="514"/>
      <c r="AJ64" s="514"/>
      <c r="AK64" s="514"/>
      <c r="AL64" s="514"/>
      <c r="AM64" s="514"/>
    </row>
    <row r="65" spans="2:39" ht="28.5" customHeight="1" x14ac:dyDescent="0.25">
      <c r="B65" s="246"/>
      <c r="C65" s="238"/>
      <c r="U65" s="491"/>
      <c r="V65" s="491"/>
      <c r="W65" s="491"/>
      <c r="X65" s="491"/>
      <c r="Y65" s="491"/>
      <c r="Z65" s="491"/>
      <c r="AA65" s="491"/>
      <c r="AB65" s="491"/>
      <c r="AC65" s="491"/>
      <c r="AD65" s="514"/>
      <c r="AE65" s="514"/>
      <c r="AF65" s="514"/>
      <c r="AG65" s="514"/>
      <c r="AH65" s="514"/>
      <c r="AI65" s="514"/>
      <c r="AJ65" s="514"/>
      <c r="AK65" s="514"/>
      <c r="AL65" s="514"/>
      <c r="AM65" s="514"/>
    </row>
    <row r="66" spans="2:39" x14ac:dyDescent="0.25">
      <c r="B66" s="379"/>
      <c r="C66" s="56"/>
      <c r="U66" s="657"/>
      <c r="V66" s="657"/>
      <c r="W66" s="657"/>
      <c r="X66" s="657"/>
      <c r="Y66" s="657"/>
      <c r="Z66" s="657"/>
      <c r="AA66" s="657"/>
      <c r="AB66" s="657"/>
      <c r="AC66" s="657"/>
      <c r="AD66" s="514"/>
      <c r="AE66" s="514"/>
      <c r="AF66" s="514"/>
      <c r="AG66" s="514"/>
      <c r="AH66" s="514"/>
      <c r="AI66" s="514"/>
      <c r="AJ66" s="514"/>
      <c r="AK66" s="514"/>
      <c r="AL66" s="514"/>
      <c r="AM66" s="514"/>
    </row>
    <row r="67" spans="2:39" x14ac:dyDescent="0.25">
      <c r="B67" s="256"/>
      <c r="C67" s="256"/>
      <c r="U67" s="549"/>
      <c r="V67" s="549"/>
      <c r="W67" s="549"/>
      <c r="X67" s="549"/>
      <c r="Y67" s="549"/>
      <c r="Z67" s="549"/>
      <c r="AA67" s="549"/>
      <c r="AB67" s="549"/>
      <c r="AC67" s="549"/>
      <c r="AD67" s="514"/>
      <c r="AE67" s="514"/>
      <c r="AF67" s="514"/>
      <c r="AG67" s="514"/>
      <c r="AH67" s="514"/>
      <c r="AI67" s="514"/>
      <c r="AJ67" s="514"/>
      <c r="AK67" s="514"/>
      <c r="AL67" s="514"/>
      <c r="AM67" s="514"/>
    </row>
    <row r="68" spans="2:39" x14ac:dyDescent="0.25">
      <c r="B68" s="1303"/>
      <c r="C68" s="1303"/>
      <c r="U68" s="549"/>
      <c r="V68" s="549"/>
      <c r="W68" s="549"/>
      <c r="X68" s="549"/>
      <c r="Y68" s="549"/>
      <c r="Z68" s="549"/>
      <c r="AA68" s="549"/>
      <c r="AB68" s="549"/>
      <c r="AC68" s="549"/>
      <c r="AD68" s="514"/>
      <c r="AE68" s="514"/>
      <c r="AF68" s="514"/>
      <c r="AG68" s="514"/>
      <c r="AH68" s="514"/>
      <c r="AI68" s="514"/>
      <c r="AJ68" s="514"/>
      <c r="AK68" s="514"/>
      <c r="AL68" s="514"/>
      <c r="AM68" s="514"/>
    </row>
    <row r="69" spans="2:39" x14ac:dyDescent="0.25">
      <c r="B69" s="223"/>
      <c r="C69" s="238"/>
      <c r="U69" s="238"/>
      <c r="V69" s="238"/>
      <c r="W69" s="238"/>
      <c r="X69" s="238"/>
      <c r="Y69" s="238"/>
      <c r="Z69" s="238"/>
      <c r="AA69" s="238"/>
      <c r="AB69" s="238"/>
      <c r="AC69" s="238"/>
      <c r="AD69" s="514"/>
      <c r="AE69" s="514"/>
      <c r="AF69" s="514"/>
      <c r="AG69" s="514"/>
      <c r="AH69" s="514"/>
      <c r="AI69" s="514"/>
      <c r="AJ69" s="514"/>
      <c r="AK69" s="514"/>
      <c r="AL69" s="514"/>
      <c r="AM69" s="514"/>
    </row>
    <row r="70" spans="2:39" x14ac:dyDescent="0.25">
      <c r="B70" s="238"/>
      <c r="C70" s="238"/>
      <c r="U70" s="491"/>
      <c r="V70" s="491"/>
      <c r="W70" s="491"/>
      <c r="X70" s="491"/>
      <c r="Y70" s="491"/>
      <c r="Z70" s="491"/>
      <c r="AA70" s="491"/>
      <c r="AB70" s="491"/>
      <c r="AC70" s="491"/>
      <c r="AD70" s="514"/>
      <c r="AE70" s="514"/>
      <c r="AF70" s="514"/>
      <c r="AG70" s="514"/>
      <c r="AH70" s="514"/>
      <c r="AI70" s="514"/>
      <c r="AJ70" s="514"/>
      <c r="AK70" s="514"/>
      <c r="AL70" s="514"/>
      <c r="AM70" s="514"/>
    </row>
    <row r="71" spans="2:39" x14ac:dyDescent="0.25">
      <c r="B71" s="256"/>
      <c r="C71" s="256"/>
      <c r="U71" s="549"/>
      <c r="V71" s="549"/>
      <c r="W71" s="549"/>
      <c r="X71" s="549"/>
      <c r="Y71" s="549"/>
      <c r="Z71" s="549"/>
      <c r="AA71" s="549"/>
      <c r="AB71" s="549"/>
      <c r="AC71" s="549"/>
      <c r="AD71" s="514"/>
      <c r="AE71" s="514"/>
      <c r="AF71" s="514"/>
      <c r="AG71" s="514"/>
      <c r="AH71" s="514"/>
      <c r="AI71" s="514"/>
      <c r="AJ71" s="514"/>
      <c r="AK71" s="514"/>
      <c r="AL71" s="514"/>
      <c r="AM71" s="514"/>
    </row>
    <row r="72" spans="2:39" x14ac:dyDescent="0.25">
      <c r="B72" s="256"/>
      <c r="C72" s="256"/>
      <c r="U72" s="549"/>
      <c r="V72" s="549"/>
      <c r="W72" s="549"/>
      <c r="X72" s="549"/>
      <c r="Y72" s="549"/>
      <c r="Z72" s="549"/>
      <c r="AA72" s="549"/>
      <c r="AB72" s="549"/>
      <c r="AC72" s="549"/>
      <c r="AD72" s="514"/>
      <c r="AE72" s="514"/>
      <c r="AF72" s="514"/>
      <c r="AG72" s="514"/>
      <c r="AH72" s="514"/>
      <c r="AI72" s="514"/>
      <c r="AJ72" s="514"/>
      <c r="AK72" s="514"/>
      <c r="AL72" s="514"/>
      <c r="AM72" s="514"/>
    </row>
    <row r="73" spans="2:39" x14ac:dyDescent="0.25">
      <c r="B73" s="730"/>
      <c r="C73" s="238"/>
      <c r="U73" s="491"/>
      <c r="V73" s="491"/>
      <c r="W73" s="491"/>
      <c r="X73" s="491"/>
      <c r="Y73" s="491"/>
      <c r="Z73" s="491"/>
      <c r="AA73" s="491"/>
      <c r="AB73" s="491"/>
      <c r="AC73" s="491"/>
      <c r="AD73" s="514"/>
      <c r="AE73" s="514"/>
      <c r="AF73" s="514"/>
      <c r="AG73" s="514"/>
      <c r="AH73" s="514"/>
      <c r="AI73" s="514"/>
      <c r="AJ73" s="514"/>
      <c r="AK73" s="514"/>
      <c r="AL73" s="514"/>
      <c r="AM73" s="514"/>
    </row>
    <row r="75" spans="2:39" x14ac:dyDescent="0.25">
      <c r="U75" s="1362"/>
      <c r="V75" s="1362"/>
      <c r="W75" s="1362"/>
      <c r="X75" s="1362"/>
    </row>
    <row r="76" spans="2:39" x14ac:dyDescent="0.25">
      <c r="U76" s="1362"/>
      <c r="V76" s="1362"/>
      <c r="W76" s="1362"/>
      <c r="X76" s="1362"/>
    </row>
    <row r="77" spans="2:39" x14ac:dyDescent="0.25">
      <c r="U77" s="1362"/>
      <c r="V77" s="1362"/>
      <c r="W77" s="1362"/>
      <c r="X77" s="1362"/>
    </row>
    <row r="79" spans="2:39" x14ac:dyDescent="0.25">
      <c r="P79" s="481"/>
      <c r="Q79" s="481"/>
    </row>
    <row r="80" spans="2:39" x14ac:dyDescent="0.25">
      <c r="B80" s="511" t="s">
        <v>351</v>
      </c>
      <c r="D80" s="491"/>
      <c r="E80" s="491"/>
      <c r="F80" s="491"/>
      <c r="G80" s="491"/>
      <c r="H80" s="491"/>
      <c r="I80" s="491"/>
      <c r="J80" s="491"/>
      <c r="K80" s="491"/>
      <c r="L80" s="491"/>
      <c r="M80" s="491"/>
      <c r="N80" s="491"/>
      <c r="O80" s="491"/>
      <c r="P80" s="491"/>
      <c r="Q80" s="491"/>
      <c r="R80" s="491"/>
      <c r="S80" s="491"/>
      <c r="T80" s="491"/>
      <c r="U80" s="491"/>
      <c r="V80" s="491"/>
      <c r="W80" s="491"/>
      <c r="X80" s="491"/>
      <c r="Y80" s="491"/>
      <c r="Z80" s="491"/>
      <c r="AA80" s="491"/>
      <c r="AB80" s="491"/>
      <c r="AC80" s="491"/>
    </row>
    <row r="81" spans="2:33" ht="45.75" customHeight="1" x14ac:dyDescent="0.25">
      <c r="B81" s="1360" t="s">
        <v>475</v>
      </c>
      <c r="C81" s="1360"/>
      <c r="D81" s="1360"/>
      <c r="E81" s="1360"/>
      <c r="F81" s="1360"/>
      <c r="G81" s="1360"/>
      <c r="H81" s="1360"/>
      <c r="I81" s="1360"/>
      <c r="J81" s="1360"/>
      <c r="K81" s="1360"/>
      <c r="L81" s="1360"/>
      <c r="M81" s="1360"/>
      <c r="N81" s="1360"/>
      <c r="O81" s="1360"/>
      <c r="P81" s="1360"/>
      <c r="Q81" s="1360"/>
      <c r="R81" s="1360"/>
      <c r="S81" s="1360"/>
      <c r="T81" s="1360"/>
      <c r="U81" s="1360"/>
      <c r="V81" s="1360"/>
      <c r="W81" s="1360"/>
      <c r="X81" s="1360"/>
      <c r="Y81" s="1360"/>
      <c r="Z81" s="1360"/>
      <c r="AA81" s="1360"/>
      <c r="AB81" s="1360"/>
      <c r="AC81" s="1360"/>
    </row>
    <row r="82" spans="2:33" ht="14.85" customHeight="1" x14ac:dyDescent="0.25">
      <c r="B82" s="1271" t="s">
        <v>476</v>
      </c>
      <c r="C82" s="1272"/>
      <c r="D82" s="1293" t="s">
        <v>279</v>
      </c>
      <c r="E82" s="1294"/>
      <c r="F82" s="1294"/>
      <c r="G82" s="1294"/>
      <c r="H82" s="1294"/>
      <c r="I82" s="1294"/>
      <c r="J82" s="1294"/>
      <c r="K82" s="1294"/>
      <c r="L82" s="1294"/>
      <c r="M82" s="1294"/>
      <c r="N82" s="1294"/>
      <c r="O82" s="1294"/>
      <c r="P82" s="1294"/>
      <c r="Q82" s="1294"/>
      <c r="R82" s="1294"/>
      <c r="S82" s="1294"/>
      <c r="T82" s="1294"/>
      <c r="U82" s="1294"/>
      <c r="V82" s="1295"/>
      <c r="W82" s="1353" t="s">
        <v>280</v>
      </c>
      <c r="X82" s="1351"/>
      <c r="Y82" s="1351"/>
      <c r="Z82" s="1351"/>
      <c r="AA82" s="1351"/>
      <c r="AB82" s="1351"/>
      <c r="AC82" s="1351"/>
      <c r="AD82" s="1351"/>
      <c r="AE82" s="1351"/>
      <c r="AF82" s="1351"/>
      <c r="AG82" s="1351"/>
    </row>
    <row r="83" spans="2:33" x14ac:dyDescent="0.25">
      <c r="B83" s="1271"/>
      <c r="C83" s="1272"/>
      <c r="D83" s="285">
        <v>2018</v>
      </c>
      <c r="E83" s="1288">
        <v>2019</v>
      </c>
      <c r="F83" s="1289"/>
      <c r="G83" s="1289"/>
      <c r="H83" s="1290"/>
      <c r="I83" s="1288">
        <v>2020</v>
      </c>
      <c r="J83" s="1289"/>
      <c r="K83" s="1289"/>
      <c r="L83" s="1289"/>
      <c r="M83" s="1288">
        <v>2021</v>
      </c>
      <c r="N83" s="1289"/>
      <c r="O83" s="1289"/>
      <c r="P83" s="1289"/>
      <c r="Q83" s="1288">
        <v>2022</v>
      </c>
      <c r="R83" s="1300"/>
      <c r="S83" s="1300"/>
      <c r="T83" s="1290"/>
      <c r="U83" s="291"/>
      <c r="V83" s="431">
        <v>2023</v>
      </c>
      <c r="W83" s="621"/>
      <c r="X83" s="324"/>
      <c r="Y83" s="1275">
        <v>2024</v>
      </c>
      <c r="Z83" s="1281"/>
      <c r="AA83" s="1281"/>
      <c r="AB83" s="1280"/>
      <c r="AC83" s="1275">
        <v>2025</v>
      </c>
      <c r="AD83" s="1281"/>
      <c r="AE83" s="1281"/>
      <c r="AF83" s="1280"/>
      <c r="AG83" s="729">
        <v>2026</v>
      </c>
    </row>
    <row r="84" spans="2:33" x14ac:dyDescent="0.25">
      <c r="B84" s="1273"/>
      <c r="C84" s="1274"/>
      <c r="D84" s="214" t="s">
        <v>281</v>
      </c>
      <c r="E84" s="214" t="s">
        <v>282</v>
      </c>
      <c r="F84" s="215" t="s">
        <v>283</v>
      </c>
      <c r="G84" s="215" t="s">
        <v>238</v>
      </c>
      <c r="H84" s="221" t="s">
        <v>281</v>
      </c>
      <c r="I84" s="215" t="s">
        <v>282</v>
      </c>
      <c r="J84" s="215" t="s">
        <v>283</v>
      </c>
      <c r="K84" s="215" t="s">
        <v>238</v>
      </c>
      <c r="L84" s="215" t="s">
        <v>281</v>
      </c>
      <c r="M84" s="214" t="s">
        <v>282</v>
      </c>
      <c r="N84" s="215" t="s">
        <v>283</v>
      </c>
      <c r="O84" s="215" t="s">
        <v>238</v>
      </c>
      <c r="P84" s="215" t="s">
        <v>281</v>
      </c>
      <c r="Q84" s="214" t="s">
        <v>282</v>
      </c>
      <c r="R84" s="215" t="s">
        <v>283</v>
      </c>
      <c r="S84" s="215" t="s">
        <v>238</v>
      </c>
      <c r="T84" s="221" t="s">
        <v>281</v>
      </c>
      <c r="U84" s="215" t="s">
        <v>282</v>
      </c>
      <c r="V84" s="276" t="s">
        <v>283</v>
      </c>
      <c r="W84" s="262" t="s">
        <v>238</v>
      </c>
      <c r="X84" s="290" t="s">
        <v>281</v>
      </c>
      <c r="Y84" s="288" t="s">
        <v>282</v>
      </c>
      <c r="Z84" s="260" t="s">
        <v>283</v>
      </c>
      <c r="AA84" s="262" t="s">
        <v>238</v>
      </c>
      <c r="AB84" s="262" t="s">
        <v>281</v>
      </c>
      <c r="AC84" s="288" t="s">
        <v>282</v>
      </c>
      <c r="AD84" s="260" t="s">
        <v>283</v>
      </c>
      <c r="AE84" s="262" t="s">
        <v>238</v>
      </c>
      <c r="AF84" s="262" t="s">
        <v>281</v>
      </c>
      <c r="AG84" s="288" t="s">
        <v>282</v>
      </c>
    </row>
    <row r="85" spans="2:33" x14ac:dyDescent="0.25">
      <c r="B85" s="548" t="s">
        <v>1428</v>
      </c>
      <c r="D85" s="249"/>
      <c r="E85" s="309"/>
      <c r="F85" s="309"/>
      <c r="G85" s="309"/>
      <c r="H85" s="309"/>
      <c r="I85" s="564">
        <f>(I86-AVERAGE($E86:$H86))</f>
        <v>6.9120000000000061</v>
      </c>
      <c r="J85" s="564">
        <f t="shared" ref="J85:U85" si="22">(J86-AVERAGE($E86:$H86))</f>
        <v>50.955000000000005</v>
      </c>
      <c r="K85" s="564">
        <f t="shared" si="22"/>
        <v>51.173999999999999</v>
      </c>
      <c r="L85" s="564">
        <f t="shared" si="22"/>
        <v>51.893999999999998</v>
      </c>
      <c r="M85" s="564">
        <f t="shared" si="22"/>
        <v>91.075000000000017</v>
      </c>
      <c r="N85" s="564">
        <f t="shared" si="22"/>
        <v>100.63400000000001</v>
      </c>
      <c r="O85" s="564">
        <f t="shared" si="22"/>
        <v>93.89100000000002</v>
      </c>
      <c r="P85" s="564">
        <f t="shared" si="22"/>
        <v>100.22800000000001</v>
      </c>
      <c r="Q85" s="564">
        <f t="shared" si="22"/>
        <v>76.838999999999999</v>
      </c>
      <c r="R85" s="564">
        <f t="shared" si="22"/>
        <v>73.637</v>
      </c>
      <c r="S85" s="565">
        <f t="shared" si="22"/>
        <v>70.649000000000001</v>
      </c>
      <c r="T85" s="555">
        <f t="shared" si="22"/>
        <v>91.718000000000018</v>
      </c>
      <c r="U85" s="565">
        <f t="shared" si="22"/>
        <v>83.695999999999998</v>
      </c>
      <c r="V85" s="565">
        <f>(V86-AVERAGE($E86:$H86))</f>
        <v>51.979000000000006</v>
      </c>
      <c r="W85" s="702">
        <f>V85</f>
        <v>51.979000000000006</v>
      </c>
      <c r="X85" s="702">
        <f t="shared" ref="X85:AG85" si="23">W85</f>
        <v>51.979000000000006</v>
      </c>
      <c r="Y85" s="702">
        <f t="shared" si="23"/>
        <v>51.979000000000006</v>
      </c>
      <c r="Z85" s="702">
        <f t="shared" si="23"/>
        <v>51.979000000000006</v>
      </c>
      <c r="AA85" s="702">
        <f t="shared" si="23"/>
        <v>51.979000000000006</v>
      </c>
      <c r="AB85" s="702">
        <f t="shared" si="23"/>
        <v>51.979000000000006</v>
      </c>
      <c r="AC85" s="706">
        <f t="shared" si="23"/>
        <v>51.979000000000006</v>
      </c>
      <c r="AD85" s="702">
        <f t="shared" si="23"/>
        <v>51.979000000000006</v>
      </c>
      <c r="AE85" s="702">
        <f t="shared" si="23"/>
        <v>51.979000000000006</v>
      </c>
      <c r="AF85" s="702">
        <f t="shared" si="23"/>
        <v>51.979000000000006</v>
      </c>
      <c r="AG85" s="702">
        <f t="shared" si="23"/>
        <v>51.979000000000006</v>
      </c>
    </row>
    <row r="86" spans="2:33" x14ac:dyDescent="0.25">
      <c r="B86" s="548" t="s">
        <v>160</v>
      </c>
      <c r="C86" s="238" t="s">
        <v>477</v>
      </c>
      <c r="D86" s="265">
        <f>'Haver Pivoted'!GO66</f>
        <v>57.017000000000003</v>
      </c>
      <c r="E86" s="222">
        <f>'Haver Pivoted'!GP66</f>
        <v>55.875</v>
      </c>
      <c r="F86" s="222">
        <f>'Haver Pivoted'!GQ66</f>
        <v>54.335999999999999</v>
      </c>
      <c r="G86" s="222">
        <f>'Haver Pivoted'!GR66</f>
        <v>54.345999999999997</v>
      </c>
      <c r="H86" s="222">
        <f>'Haver Pivoted'!GS66</f>
        <v>54.290999999999997</v>
      </c>
      <c r="I86" s="222">
        <f>'Haver Pivoted'!GT66</f>
        <v>61.624000000000002</v>
      </c>
      <c r="J86" s="222">
        <f>'Haver Pivoted'!GU66</f>
        <v>105.667</v>
      </c>
      <c r="K86" s="222">
        <f>'Haver Pivoted'!GV66</f>
        <v>105.886</v>
      </c>
      <c r="L86" s="222">
        <f>'Haver Pivoted'!GW66</f>
        <v>106.60599999999999</v>
      </c>
      <c r="M86" s="222">
        <f>'Haver Pivoted'!GX66</f>
        <v>145.78700000000001</v>
      </c>
      <c r="N86" s="222">
        <f>'Haver Pivoted'!GY66</f>
        <v>155.346</v>
      </c>
      <c r="O86" s="222">
        <f>'Haver Pivoted'!GZ66</f>
        <v>148.60300000000001</v>
      </c>
      <c r="P86" s="222">
        <f>'Haver Pivoted'!HA66</f>
        <v>154.94</v>
      </c>
      <c r="Q86" s="222">
        <f>'Haver Pivoted'!HB66</f>
        <v>131.55099999999999</v>
      </c>
      <c r="R86" s="222">
        <f>'Haver Pivoted'!HC66</f>
        <v>128.34899999999999</v>
      </c>
      <c r="S86" s="215">
        <f>'Haver Pivoted'!HD66</f>
        <v>125.361</v>
      </c>
      <c r="T86" s="215">
        <f>'Haver Pivoted'!HE66</f>
        <v>146.43</v>
      </c>
      <c r="U86" s="215">
        <f>'Haver Pivoted'!HF66</f>
        <v>138.40799999999999</v>
      </c>
      <c r="V86" s="215">
        <f>'Haver Pivoted'!HG66</f>
        <v>106.691</v>
      </c>
      <c r="W86" s="318"/>
      <c r="X86" s="318"/>
      <c r="Y86" s="318"/>
      <c r="Z86" s="318"/>
      <c r="AA86" s="318"/>
      <c r="AB86" s="318"/>
      <c r="AC86" s="318"/>
      <c r="AD86" s="218"/>
      <c r="AE86" s="218"/>
      <c r="AF86" s="218"/>
      <c r="AG86" s="218"/>
    </row>
    <row r="87" spans="2:33" ht="29.1" customHeight="1" x14ac:dyDescent="0.25">
      <c r="B87" s="547" t="s">
        <v>478</v>
      </c>
      <c r="C87" s="359"/>
      <c r="D87" s="699"/>
      <c r="E87" s="542"/>
      <c r="F87" s="542"/>
      <c r="G87" s="542"/>
      <c r="H87" s="542"/>
      <c r="I87" s="542"/>
      <c r="J87" s="542">
        <f t="shared" ref="J87:V87" si="24">J86-$H86</f>
        <v>51.376000000000005</v>
      </c>
      <c r="K87" s="542">
        <f t="shared" si="24"/>
        <v>51.594999999999999</v>
      </c>
      <c r="L87" s="542">
        <f t="shared" si="24"/>
        <v>52.314999999999998</v>
      </c>
      <c r="M87" s="542">
        <f t="shared" si="24"/>
        <v>91.496000000000009</v>
      </c>
      <c r="N87" s="542">
        <f>N86-$H86</f>
        <v>101.05500000000001</v>
      </c>
      <c r="O87" s="542">
        <f>O86-$H86</f>
        <v>94.312000000000012</v>
      </c>
      <c r="P87" s="542">
        <f t="shared" si="24"/>
        <v>100.649</v>
      </c>
      <c r="Q87" s="542">
        <f t="shared" si="24"/>
        <v>77.259999999999991</v>
      </c>
      <c r="R87" s="542">
        <f t="shared" si="24"/>
        <v>74.057999999999993</v>
      </c>
      <c r="S87" s="276">
        <f t="shared" si="24"/>
        <v>71.070000000000007</v>
      </c>
      <c r="T87" s="276">
        <f t="shared" si="24"/>
        <v>92.13900000000001</v>
      </c>
      <c r="U87" s="276">
        <f t="shared" si="24"/>
        <v>84.11699999999999</v>
      </c>
      <c r="V87" s="276">
        <f t="shared" si="24"/>
        <v>52.400000000000006</v>
      </c>
      <c r="W87" s="262"/>
      <c r="X87" s="262"/>
      <c r="Y87" s="262"/>
      <c r="Z87" s="262"/>
      <c r="AA87" s="262"/>
      <c r="AB87" s="262"/>
      <c r="AC87" s="262"/>
      <c r="AD87" s="218"/>
      <c r="AE87" s="218"/>
      <c r="AF87" s="218"/>
      <c r="AG87" s="218"/>
    </row>
    <row r="88" spans="2:33" ht="29.1" customHeight="1" x14ac:dyDescent="0.25">
      <c r="B88" s="238"/>
      <c r="C88" s="238"/>
      <c r="D88" s="222"/>
      <c r="E88" s="222"/>
      <c r="F88" s="222"/>
      <c r="G88" s="222"/>
      <c r="H88" s="222"/>
      <c r="I88" s="222"/>
      <c r="J88" s="222"/>
      <c r="K88" s="222"/>
      <c r="L88" s="222"/>
      <c r="M88" s="222"/>
      <c r="N88" s="222"/>
      <c r="O88" s="222"/>
      <c r="P88" s="222"/>
      <c r="Q88" s="222"/>
      <c r="R88" s="222"/>
      <c r="S88" s="222"/>
      <c r="T88" s="222"/>
      <c r="U88" s="222"/>
      <c r="V88" s="222"/>
      <c r="W88" s="222"/>
      <c r="X88" s="222"/>
      <c r="Y88" s="222"/>
      <c r="Z88" s="222"/>
      <c r="AA88" s="222"/>
      <c r="AB88" s="222"/>
      <c r="AC88" s="222"/>
    </row>
    <row r="89" spans="2:33" ht="29.1" customHeight="1" x14ac:dyDescent="0.25">
      <c r="B89" s="238"/>
      <c r="C89" s="238"/>
      <c r="D89" s="222"/>
      <c r="E89" s="222"/>
      <c r="F89" s="222"/>
      <c r="G89" s="222"/>
      <c r="H89" s="222"/>
      <c r="I89" s="222"/>
      <c r="J89" s="222"/>
      <c r="K89" s="222"/>
      <c r="L89" s="222"/>
      <c r="M89" s="222"/>
      <c r="N89" s="222"/>
      <c r="O89" s="222"/>
      <c r="P89" s="222"/>
      <c r="Q89" s="222"/>
      <c r="R89" s="222"/>
      <c r="S89" s="222"/>
      <c r="T89" s="222"/>
      <c r="U89" s="222"/>
      <c r="V89" s="222"/>
      <c r="W89" s="222"/>
      <c r="X89" s="222"/>
      <c r="Y89" s="222"/>
      <c r="Z89" s="222"/>
      <c r="AA89" s="222"/>
      <c r="AB89" s="222"/>
      <c r="AC89" s="222"/>
    </row>
    <row r="90" spans="2:33" ht="29.1" customHeight="1" x14ac:dyDescent="0.25">
      <c r="B90" s="238"/>
      <c r="C90" s="238"/>
      <c r="D90" s="222"/>
      <c r="E90" s="222"/>
      <c r="F90" s="222"/>
      <c r="G90" s="222"/>
      <c r="H90" s="222"/>
      <c r="I90" s="222"/>
      <c r="J90" s="222"/>
      <c r="K90" s="222"/>
      <c r="L90" s="222"/>
      <c r="M90" s="222"/>
      <c r="N90" s="222"/>
      <c r="O90" s="222"/>
      <c r="P90" s="222"/>
      <c r="Q90" s="222"/>
      <c r="R90" s="222"/>
      <c r="S90" s="222"/>
      <c r="T90" s="222"/>
      <c r="U90" s="222"/>
      <c r="V90" s="222"/>
      <c r="W90" s="222"/>
      <c r="X90" s="222"/>
      <c r="Y90" s="222"/>
      <c r="Z90" s="222"/>
      <c r="AA90" s="222"/>
      <c r="AB90" s="222"/>
      <c r="AC90" s="222"/>
    </row>
    <row r="91" spans="2:33" ht="35.85" customHeight="1" x14ac:dyDescent="0.25"/>
    <row r="92" spans="2:33" x14ac:dyDescent="0.25">
      <c r="B92" s="511" t="s">
        <v>364</v>
      </c>
    </row>
    <row r="93" spans="2:33" x14ac:dyDescent="0.25">
      <c r="B93" s="1354" t="s">
        <v>802</v>
      </c>
      <c r="C93" s="1355"/>
      <c r="D93" s="1273" t="s">
        <v>279</v>
      </c>
      <c r="E93" s="1315"/>
      <c r="F93" s="1315"/>
      <c r="G93" s="1315"/>
      <c r="H93" s="1315"/>
      <c r="I93" s="1315"/>
      <c r="J93" s="1315"/>
      <c r="K93" s="1315"/>
      <c r="L93" s="1315"/>
      <c r="M93" s="1315"/>
      <c r="N93" s="1315"/>
      <c r="O93" s="1315"/>
      <c r="P93" s="1315"/>
      <c r="Q93" s="1315"/>
      <c r="R93" s="1315"/>
      <c r="S93" s="1315"/>
      <c r="T93" s="1315"/>
      <c r="U93" s="1315"/>
      <c r="V93" s="1274"/>
      <c r="W93" s="1353" t="s">
        <v>280</v>
      </c>
      <c r="X93" s="1351"/>
      <c r="Y93" s="1351"/>
      <c r="Z93" s="1351"/>
      <c r="AA93" s="1351"/>
      <c r="AB93" s="1351"/>
      <c r="AC93" s="1351"/>
      <c r="AD93" s="1351"/>
      <c r="AE93" s="1351"/>
      <c r="AF93" s="1351"/>
      <c r="AG93" s="1351"/>
    </row>
    <row r="94" spans="2:33" x14ac:dyDescent="0.25">
      <c r="B94" s="1356"/>
      <c r="C94" s="1357"/>
      <c r="D94" s="285">
        <v>2018</v>
      </c>
      <c r="E94" s="1288">
        <v>2019</v>
      </c>
      <c r="F94" s="1289"/>
      <c r="G94" s="1289"/>
      <c r="H94" s="1290"/>
      <c r="I94" s="1288">
        <v>2020</v>
      </c>
      <c r="J94" s="1289"/>
      <c r="K94" s="1289"/>
      <c r="L94" s="1289"/>
      <c r="M94" s="1288">
        <v>2021</v>
      </c>
      <c r="N94" s="1289"/>
      <c r="O94" s="1289"/>
      <c r="P94" s="1289"/>
      <c r="Q94" s="1288">
        <v>2022</v>
      </c>
      <c r="R94" s="1300"/>
      <c r="S94" s="1300"/>
      <c r="T94" s="1290"/>
      <c r="U94" s="291"/>
      <c r="V94" s="431">
        <v>2023</v>
      </c>
      <c r="W94" s="621"/>
      <c r="X94" s="324"/>
      <c r="Y94" s="1275">
        <v>2024</v>
      </c>
      <c r="Z94" s="1281"/>
      <c r="AA94" s="1281"/>
      <c r="AB94" s="1280"/>
      <c r="AC94" s="1275">
        <v>2025</v>
      </c>
      <c r="AD94" s="1281"/>
      <c r="AE94" s="1281"/>
      <c r="AF94" s="1280"/>
      <c r="AG94" s="729">
        <v>2026</v>
      </c>
    </row>
    <row r="95" spans="2:33" x14ac:dyDescent="0.25">
      <c r="B95" s="1356"/>
      <c r="C95" s="1357"/>
      <c r="D95" s="214" t="s">
        <v>281</v>
      </c>
      <c r="E95" s="214" t="s">
        <v>282</v>
      </c>
      <c r="F95" s="215" t="s">
        <v>283</v>
      </c>
      <c r="G95" s="215" t="s">
        <v>238</v>
      </c>
      <c r="H95" s="221" t="s">
        <v>281</v>
      </c>
      <c r="I95" s="215" t="s">
        <v>282</v>
      </c>
      <c r="J95" s="215" t="s">
        <v>283</v>
      </c>
      <c r="K95" s="215" t="s">
        <v>238</v>
      </c>
      <c r="L95" s="215" t="s">
        <v>281</v>
      </c>
      <c r="M95" s="214" t="s">
        <v>282</v>
      </c>
      <c r="N95" s="215" t="s">
        <v>283</v>
      </c>
      <c r="O95" s="215" t="s">
        <v>238</v>
      </c>
      <c r="P95" s="215" t="s">
        <v>281</v>
      </c>
      <c r="Q95" s="214" t="s">
        <v>282</v>
      </c>
      <c r="R95" s="215" t="s">
        <v>283</v>
      </c>
      <c r="S95" s="215" t="s">
        <v>238</v>
      </c>
      <c r="T95" s="221" t="s">
        <v>281</v>
      </c>
      <c r="U95" s="215" t="s">
        <v>282</v>
      </c>
      <c r="V95" s="276" t="s">
        <v>283</v>
      </c>
      <c r="W95" s="262" t="s">
        <v>238</v>
      </c>
      <c r="X95" s="290" t="s">
        <v>281</v>
      </c>
      <c r="Y95" s="288" t="s">
        <v>282</v>
      </c>
      <c r="Z95" s="260" t="s">
        <v>283</v>
      </c>
      <c r="AA95" s="262" t="s">
        <v>238</v>
      </c>
      <c r="AB95" s="262" t="s">
        <v>281</v>
      </c>
      <c r="AC95" s="288" t="s">
        <v>282</v>
      </c>
      <c r="AD95" s="260" t="s">
        <v>283</v>
      </c>
      <c r="AE95" s="262" t="s">
        <v>238</v>
      </c>
      <c r="AF95" s="262" t="s">
        <v>281</v>
      </c>
      <c r="AG95" s="288" t="s">
        <v>282</v>
      </c>
    </row>
    <row r="96" spans="2:33" ht="25.7" customHeight="1" x14ac:dyDescent="0.25">
      <c r="B96" s="666" t="s">
        <v>465</v>
      </c>
      <c r="C96" s="543" t="s">
        <v>466</v>
      </c>
      <c r="D96" s="366">
        <f>'Haver Pivoted'!GO31</f>
        <v>2223</v>
      </c>
      <c r="E96" s="367">
        <f>'Haver Pivoted'!GP31</f>
        <v>2303.8000000000002</v>
      </c>
      <c r="F96" s="367">
        <f>'Haver Pivoted'!GQ31</f>
        <v>2321.6999999999998</v>
      </c>
      <c r="G96" s="367">
        <f>'Haver Pivoted'!GR31</f>
        <v>2337.1</v>
      </c>
      <c r="H96" s="367">
        <f>'Haver Pivoted'!GS31</f>
        <v>2349.5</v>
      </c>
      <c r="I96" s="367">
        <f>'Haver Pivoted'!GT31</f>
        <v>2414.4</v>
      </c>
      <c r="J96" s="367">
        <f>'Haver Pivoted'!GU31</f>
        <v>4654.1000000000004</v>
      </c>
      <c r="K96" s="367">
        <f>'Haver Pivoted'!GV31</f>
        <v>3504.7</v>
      </c>
      <c r="L96" s="367">
        <f>'Haver Pivoted'!GW31</f>
        <v>2888.4</v>
      </c>
      <c r="M96" s="367">
        <f>'Haver Pivoted'!GX31</f>
        <v>5138.1000000000004</v>
      </c>
      <c r="N96" s="367">
        <f>'Haver Pivoted'!GY31</f>
        <v>3397.8</v>
      </c>
      <c r="O96" s="367">
        <f>'Haver Pivoted'!GZ31</f>
        <v>3124.9</v>
      </c>
      <c r="P96" s="367">
        <f>'Haver Pivoted'!HA31</f>
        <v>2952.6</v>
      </c>
      <c r="Q96" s="367">
        <f>'Haver Pivoted'!HB31</f>
        <v>2970.9</v>
      </c>
      <c r="R96" s="367">
        <f>'Haver Pivoted'!HC31</f>
        <v>2976.2</v>
      </c>
      <c r="S96" s="368">
        <f>'Haver Pivoted'!HD31</f>
        <v>2970.4</v>
      </c>
      <c r="T96" s="674">
        <f>'Haver Pivoted'!HE31</f>
        <v>3024.4</v>
      </c>
      <c r="U96" s="368">
        <f>'Haver Pivoted'!HF31</f>
        <v>3038.4</v>
      </c>
      <c r="V96" s="368">
        <f>'Haver Pivoted'!HG31</f>
        <v>3049.1</v>
      </c>
      <c r="W96" s="720"/>
      <c r="X96" s="720"/>
      <c r="Y96" s="720"/>
      <c r="Z96" s="720"/>
      <c r="AA96" s="720"/>
      <c r="AB96" s="720"/>
      <c r="AC96" s="704"/>
      <c r="AD96" s="704"/>
      <c r="AE96" s="704"/>
      <c r="AF96" s="704"/>
      <c r="AG96" s="218"/>
    </row>
    <row r="97" spans="2:33" ht="25.7" customHeight="1" x14ac:dyDescent="0.25">
      <c r="B97" s="476" t="s">
        <v>1841</v>
      </c>
      <c r="C97" s="238"/>
      <c r="D97" s="697">
        <f>D98+D99</f>
        <v>812.1</v>
      </c>
      <c r="E97" s="444">
        <f>E98+E99</f>
        <v>833.1</v>
      </c>
      <c r="F97" s="444">
        <f>F98+F99</f>
        <v>845.8</v>
      </c>
      <c r="G97" s="444">
        <f t="shared" ref="G97:N97" si="25">G98+G99</f>
        <v>854.4</v>
      </c>
      <c r="H97" s="444">
        <f t="shared" si="25"/>
        <v>858.7</v>
      </c>
      <c r="I97" s="444">
        <f t="shared" si="25"/>
        <v>878.91200000000003</v>
      </c>
      <c r="J97" s="444">
        <f t="shared" si="25"/>
        <v>3142.9549999999999</v>
      </c>
      <c r="K97" s="444">
        <f t="shared" si="25"/>
        <v>1863.174</v>
      </c>
      <c r="L97" s="444">
        <f t="shared" si="25"/>
        <v>1307.4940000000001</v>
      </c>
      <c r="M97" s="444">
        <f t="shared" si="25"/>
        <v>3530.9749999999999</v>
      </c>
      <c r="N97" s="444">
        <f t="shared" si="25"/>
        <v>1812.8558400000002</v>
      </c>
      <c r="O97" s="444">
        <f>O98+O99</f>
        <v>1537.1944933333332</v>
      </c>
      <c r="P97" s="444">
        <f t="shared" ref="P97:R97" si="26">P98+P99</f>
        <v>1378.037333333333</v>
      </c>
      <c r="Q97" s="444">
        <f t="shared" si="26"/>
        <v>1212.615</v>
      </c>
      <c r="R97" s="444">
        <f t="shared" si="26"/>
        <v>1208.7130000000002</v>
      </c>
      <c r="S97" s="670">
        <f>S98+S99</f>
        <v>1206.0250000000001</v>
      </c>
      <c r="T97" s="670">
        <f t="shared" ref="T97:U97" si="27">T98+T99</f>
        <v>1206.7340000000002</v>
      </c>
      <c r="U97" s="670">
        <f t="shared" si="27"/>
        <v>1142.3120000000001</v>
      </c>
      <c r="V97" s="670">
        <f>V98+V99</f>
        <v>1132.155</v>
      </c>
      <c r="W97" s="654"/>
      <c r="X97" s="654"/>
      <c r="Y97" s="654"/>
      <c r="Z97" s="654"/>
      <c r="AA97" s="654"/>
      <c r="AB97" s="654"/>
      <c r="AC97" s="654"/>
      <c r="AD97" s="654"/>
      <c r="AE97" s="654"/>
      <c r="AF97" s="654"/>
      <c r="AG97" s="218"/>
    </row>
    <row r="98" spans="2:33" ht="25.7" customHeight="1" x14ac:dyDescent="0.25">
      <c r="B98" s="421" t="s">
        <v>1839</v>
      </c>
      <c r="C98" s="238"/>
      <c r="D98" s="697">
        <f t="shared" ref="D98:V98" si="28">D14+D17+D35</f>
        <v>812.1</v>
      </c>
      <c r="E98" s="697">
        <f t="shared" si="28"/>
        <v>833.1</v>
      </c>
      <c r="F98" s="444">
        <f t="shared" si="28"/>
        <v>845.8</v>
      </c>
      <c r="G98" s="444">
        <f t="shared" si="28"/>
        <v>854.4</v>
      </c>
      <c r="H98" s="444">
        <f t="shared" si="28"/>
        <v>858.7</v>
      </c>
      <c r="I98" s="444">
        <f t="shared" si="28"/>
        <v>872</v>
      </c>
      <c r="J98" s="444">
        <f t="shared" si="28"/>
        <v>1795.8</v>
      </c>
      <c r="K98" s="444">
        <f t="shared" si="28"/>
        <v>1656.8</v>
      </c>
      <c r="L98" s="444">
        <f t="shared" si="28"/>
        <v>1191.7</v>
      </c>
      <c r="M98" s="444">
        <f t="shared" si="28"/>
        <v>1473.1</v>
      </c>
      <c r="N98" s="444">
        <f t="shared" si="28"/>
        <v>1346.4</v>
      </c>
      <c r="O98" s="444">
        <f t="shared" si="28"/>
        <v>1318.833333333333</v>
      </c>
      <c r="P98" s="444">
        <f t="shared" si="28"/>
        <v>1157.333333333333</v>
      </c>
      <c r="Q98" s="444">
        <f t="shared" si="28"/>
        <v>1036.4000000000001</v>
      </c>
      <c r="R98" s="444">
        <f t="shared" si="28"/>
        <v>1042.6000000000001</v>
      </c>
      <c r="S98" s="670">
        <f t="shared" si="28"/>
        <v>1054.8</v>
      </c>
      <c r="T98" s="670">
        <f t="shared" si="28"/>
        <v>1078.7</v>
      </c>
      <c r="U98" s="670">
        <f t="shared" si="28"/>
        <v>1045.2</v>
      </c>
      <c r="V98" s="670">
        <f t="shared" si="28"/>
        <v>1066.76</v>
      </c>
      <c r="W98" s="654"/>
      <c r="X98" s="654"/>
      <c r="Y98" s="654"/>
      <c r="Z98" s="654"/>
      <c r="AA98" s="654"/>
      <c r="AB98" s="654"/>
      <c r="AC98" s="654"/>
      <c r="AD98" s="654"/>
      <c r="AE98" s="654"/>
      <c r="AF98" s="654"/>
      <c r="AG98" s="654"/>
    </row>
    <row r="99" spans="2:33" ht="36" customHeight="1" x14ac:dyDescent="0.25">
      <c r="B99" s="421" t="s">
        <v>1840</v>
      </c>
      <c r="C99" s="238"/>
      <c r="D99" s="444">
        <f t="shared" ref="D99:AG99" si="29">D18+D21+D32+D33+D34+D36</f>
        <v>0</v>
      </c>
      <c r="E99" s="444">
        <f t="shared" si="29"/>
        <v>0</v>
      </c>
      <c r="F99" s="444">
        <f t="shared" si="29"/>
        <v>0</v>
      </c>
      <c r="G99" s="444">
        <f t="shared" si="29"/>
        <v>0</v>
      </c>
      <c r="H99" s="444">
        <f t="shared" si="29"/>
        <v>0</v>
      </c>
      <c r="I99" s="444">
        <f t="shared" si="29"/>
        <v>6.9120000000000061</v>
      </c>
      <c r="J99" s="444">
        <f t="shared" si="29"/>
        <v>1347.155</v>
      </c>
      <c r="K99" s="444">
        <f t="shared" si="29"/>
        <v>206.37400000000002</v>
      </c>
      <c r="L99" s="444">
        <f t="shared" si="29"/>
        <v>115.79400000000001</v>
      </c>
      <c r="M99" s="444">
        <f t="shared" si="29"/>
        <v>2057.875</v>
      </c>
      <c r="N99" s="444">
        <f t="shared" si="29"/>
        <v>466.45584000000008</v>
      </c>
      <c r="O99" s="444">
        <f t="shared" si="29"/>
        <v>218.3611600000001</v>
      </c>
      <c r="P99" s="444">
        <f t="shared" si="29"/>
        <v>220.70400000000004</v>
      </c>
      <c r="Q99" s="444">
        <f t="shared" si="29"/>
        <v>176.215</v>
      </c>
      <c r="R99" s="444">
        <f t="shared" si="29"/>
        <v>166.113</v>
      </c>
      <c r="S99" s="670">
        <f t="shared" si="29"/>
        <v>151.22500000000002</v>
      </c>
      <c r="T99" s="670">
        <f t="shared" si="29"/>
        <v>128.03400000000002</v>
      </c>
      <c r="U99" s="670">
        <f t="shared" si="29"/>
        <v>97.111999999999995</v>
      </c>
      <c r="V99" s="670">
        <f t="shared" si="29"/>
        <v>65.39500000000001</v>
      </c>
      <c r="W99" s="654">
        <f t="shared" si="29"/>
        <v>65.39500000000001</v>
      </c>
      <c r="X99" s="654">
        <f t="shared" si="29"/>
        <v>57.680000000000007</v>
      </c>
      <c r="Y99" s="654">
        <f t="shared" si="29"/>
        <v>57.680000000000007</v>
      </c>
      <c r="Z99" s="654">
        <f t="shared" si="29"/>
        <v>57.680000000000007</v>
      </c>
      <c r="AA99" s="654">
        <f t="shared" si="29"/>
        <v>57.680000000000007</v>
      </c>
      <c r="AB99" s="654">
        <f t="shared" si="29"/>
        <v>55.981000000000009</v>
      </c>
      <c r="AC99" s="654">
        <f t="shared" si="29"/>
        <v>55.981000000000009</v>
      </c>
      <c r="AD99" s="654">
        <f t="shared" si="29"/>
        <v>0</v>
      </c>
      <c r="AE99" s="654">
        <f t="shared" si="29"/>
        <v>0</v>
      </c>
      <c r="AF99" s="654">
        <f t="shared" si="29"/>
        <v>0</v>
      </c>
      <c r="AG99" s="654">
        <f t="shared" si="29"/>
        <v>0</v>
      </c>
    </row>
    <row r="100" spans="2:33" ht="25.7" customHeight="1" x14ac:dyDescent="0.25">
      <c r="B100" s="476" t="s">
        <v>799</v>
      </c>
      <c r="C100" s="238"/>
      <c r="D100" s="697">
        <f>D96-D97</f>
        <v>1410.9</v>
      </c>
      <c r="E100" s="444">
        <f t="shared" ref="E100:T100" si="30">E96-E97</f>
        <v>1470.7000000000003</v>
      </c>
      <c r="F100" s="444">
        <f t="shared" si="30"/>
        <v>1475.8999999999999</v>
      </c>
      <c r="G100" s="444">
        <f t="shared" si="30"/>
        <v>1482.6999999999998</v>
      </c>
      <c r="H100" s="444">
        <f t="shared" si="30"/>
        <v>1490.8</v>
      </c>
      <c r="I100" s="444">
        <f t="shared" si="30"/>
        <v>1535.4880000000001</v>
      </c>
      <c r="J100" s="444">
        <f t="shared" si="30"/>
        <v>1511.1450000000004</v>
      </c>
      <c r="K100" s="444">
        <f t="shared" si="30"/>
        <v>1641.5259999999998</v>
      </c>
      <c r="L100" s="444">
        <f t="shared" si="30"/>
        <v>1580.9059999999999</v>
      </c>
      <c r="M100" s="444">
        <f t="shared" si="30"/>
        <v>1607.1250000000005</v>
      </c>
      <c r="N100" s="444">
        <f t="shared" si="30"/>
        <v>1584.94416</v>
      </c>
      <c r="O100" s="444">
        <f t="shared" si="30"/>
        <v>1587.7055066666669</v>
      </c>
      <c r="P100" s="444">
        <f t="shared" si="30"/>
        <v>1574.5626666666669</v>
      </c>
      <c r="Q100" s="444">
        <f t="shared" si="30"/>
        <v>1758.2850000000001</v>
      </c>
      <c r="R100" s="444">
        <f t="shared" si="30"/>
        <v>1767.4869999999996</v>
      </c>
      <c r="S100" s="670">
        <f t="shared" si="30"/>
        <v>1764.375</v>
      </c>
      <c r="T100" s="670">
        <f t="shared" si="30"/>
        <v>1817.6659999999999</v>
      </c>
      <c r="U100" s="670">
        <f>U96-U97</f>
        <v>1896.088</v>
      </c>
      <c r="V100" s="670">
        <f>V96-V97</f>
        <v>1916.9449999999999</v>
      </c>
      <c r="W100" s="654"/>
      <c r="X100" s="654"/>
      <c r="Y100" s="654"/>
      <c r="Z100" s="654"/>
      <c r="AA100" s="654"/>
      <c r="AB100" s="654"/>
      <c r="AC100" s="654"/>
      <c r="AD100" s="654"/>
      <c r="AE100" s="654"/>
      <c r="AF100" s="654"/>
      <c r="AG100" s="218"/>
    </row>
    <row r="101" spans="2:33" ht="20.45" customHeight="1" x14ac:dyDescent="0.25">
      <c r="B101" s="680" t="s">
        <v>800</v>
      </c>
      <c r="C101" s="681"/>
      <c r="D101" s="687">
        <f t="shared" ref="D101:I101" si="31">D12-D14-D17-D35</f>
        <v>1410.9</v>
      </c>
      <c r="E101" s="658">
        <f t="shared" si="31"/>
        <v>1470.7000000000003</v>
      </c>
      <c r="F101" s="658">
        <f t="shared" si="31"/>
        <v>1475.8999999999996</v>
      </c>
      <c r="G101" s="658">
        <f t="shared" si="31"/>
        <v>1482.6999999999998</v>
      </c>
      <c r="H101" s="658">
        <f t="shared" si="31"/>
        <v>1490.8000000000002</v>
      </c>
      <c r="I101" s="658">
        <f t="shared" si="31"/>
        <v>1542.4</v>
      </c>
      <c r="J101" s="688">
        <f>I101+($H$101-$E$101)/3</f>
        <v>1549.1000000000001</v>
      </c>
      <c r="K101" s="688">
        <f>J101+($H$101-$E$101)/3</f>
        <v>1555.8000000000002</v>
      </c>
      <c r="L101" s="688">
        <f>K101+($H$101-$E$101)/3</f>
        <v>1562.5000000000002</v>
      </c>
      <c r="M101" s="689">
        <f>L101+($H$101-$E$101)/3 +(M105-L105)</f>
        <v>1586.8430000000003</v>
      </c>
      <c r="N101" s="688">
        <f>M101+($H$101-$E$101)/3</f>
        <v>1593.5430000000003</v>
      </c>
      <c r="O101" s="688">
        <f>N101+($H$101-$E$101)/3</f>
        <v>1600.2430000000004</v>
      </c>
      <c r="P101" s="688">
        <f>O101+($H$101-$E$101)/3</f>
        <v>1606.9430000000004</v>
      </c>
      <c r="Q101" s="689">
        <f>P101+($H$101-$E$101)/3 + 0.06*Q105</f>
        <v>1685.5501200000006</v>
      </c>
      <c r="R101" s="688">
        <f>Q101+($H$101-$E$101)/3</f>
        <v>1692.2501200000006</v>
      </c>
      <c r="S101" s="688">
        <f>R101+($H$101-$E$101)/3</f>
        <v>1698.9501200000007</v>
      </c>
      <c r="T101" s="688">
        <f>S101+($H$101-$E$101)/3</f>
        <v>1705.6501200000007</v>
      </c>
      <c r="U101" s="688">
        <f>T101+U102</f>
        <v>1818.9789730000007</v>
      </c>
      <c r="V101" s="688">
        <f>U101+V102</f>
        <v>1825.6789730000007</v>
      </c>
      <c r="W101" s="682">
        <f t="shared" ref="W101:AF101" si="32">V101+W102</f>
        <v>1832.3789730000008</v>
      </c>
      <c r="X101" s="682">
        <f t="shared" si="32"/>
        <v>1839.0789730000008</v>
      </c>
      <c r="Y101" s="682">
        <f t="shared" si="32"/>
        <v>1888.4225177000008</v>
      </c>
      <c r="Z101" s="682">
        <f t="shared" si="32"/>
        <v>1895.1225177000008</v>
      </c>
      <c r="AA101" s="682">
        <f t="shared" si="32"/>
        <v>1901.8225177000008</v>
      </c>
      <c r="AB101" s="682">
        <f t="shared" si="32"/>
        <v>1908.5225177000009</v>
      </c>
      <c r="AC101" s="682">
        <f t="shared" si="32"/>
        <v>1944.8697280960009</v>
      </c>
      <c r="AD101" s="682">
        <f t="shared" si="32"/>
        <v>1951.569728096001</v>
      </c>
      <c r="AE101" s="682">
        <f t="shared" si="32"/>
        <v>1958.269728096001</v>
      </c>
      <c r="AF101" s="682">
        <f t="shared" si="32"/>
        <v>1964.9697280960011</v>
      </c>
      <c r="AG101" s="218"/>
    </row>
    <row r="102" spans="2:33" ht="20.45" customHeight="1" x14ac:dyDescent="0.25">
      <c r="B102" s="683" t="s">
        <v>1800</v>
      </c>
      <c r="C102" s="238"/>
      <c r="D102" s="697"/>
      <c r="E102" s="444"/>
      <c r="F102" s="444"/>
      <c r="G102" s="444"/>
      <c r="H102" s="444"/>
      <c r="I102" s="444"/>
      <c r="J102" s="671"/>
      <c r="K102" s="671"/>
      <c r="L102" s="671"/>
      <c r="M102" s="690"/>
      <c r="N102" s="671"/>
      <c r="O102" s="671"/>
      <c r="P102" s="671"/>
      <c r="Q102" s="690"/>
      <c r="R102" s="671"/>
      <c r="S102" s="671"/>
      <c r="T102" s="671"/>
      <c r="U102" s="671">
        <f>U103+U104</f>
        <v>113.32885299999995</v>
      </c>
      <c r="V102" s="671">
        <f>V103+V104</f>
        <v>6.69999999999997</v>
      </c>
      <c r="W102" s="654">
        <f t="shared" ref="W102:AF102" si="33">W103+W108*W105</f>
        <v>6.69999999999997</v>
      </c>
      <c r="X102" s="654">
        <f t="shared" si="33"/>
        <v>6.69999999999997</v>
      </c>
      <c r="Y102" s="654">
        <f t="shared" si="33"/>
        <v>49.34354469999996</v>
      </c>
      <c r="Z102" s="654">
        <f t="shared" si="33"/>
        <v>6.69999999999997</v>
      </c>
      <c r="AA102" s="654">
        <f t="shared" si="33"/>
        <v>6.69999999999997</v>
      </c>
      <c r="AB102" s="654">
        <f t="shared" si="33"/>
        <v>6.69999999999997</v>
      </c>
      <c r="AC102" s="654">
        <f t="shared" si="33"/>
        <v>36.347210395999973</v>
      </c>
      <c r="AD102" s="654">
        <f t="shared" si="33"/>
        <v>6.69999999999997</v>
      </c>
      <c r="AE102" s="654">
        <f t="shared" si="33"/>
        <v>6.69999999999997</v>
      </c>
      <c r="AF102" s="654">
        <f t="shared" si="33"/>
        <v>6.69999999999997</v>
      </c>
      <c r="AG102" s="218"/>
    </row>
    <row r="103" spans="2:33" ht="28.35" customHeight="1" x14ac:dyDescent="0.25">
      <c r="B103" s="684" t="s">
        <v>1797</v>
      </c>
      <c r="C103" s="238"/>
      <c r="D103" s="697"/>
      <c r="E103" s="444"/>
      <c r="F103" s="444"/>
      <c r="G103" s="444"/>
      <c r="H103" s="444"/>
      <c r="I103" s="444"/>
      <c r="J103" s="671"/>
      <c r="K103" s="671"/>
      <c r="L103" s="671"/>
      <c r="M103" s="690"/>
      <c r="N103" s="671"/>
      <c r="O103" s="671"/>
      <c r="P103" s="671"/>
      <c r="Q103" s="690"/>
      <c r="R103" s="671"/>
      <c r="S103" s="671"/>
      <c r="T103" s="671"/>
      <c r="U103" s="671">
        <f>($H$101-$E$101)/3</f>
        <v>6.69999999999997</v>
      </c>
      <c r="V103" s="671">
        <f>($H$101-$E$101)/3</f>
        <v>6.69999999999997</v>
      </c>
      <c r="W103" s="654">
        <f t="shared" ref="W103:AF103" si="34">V103</f>
        <v>6.69999999999997</v>
      </c>
      <c r="X103" s="654">
        <f t="shared" si="34"/>
        <v>6.69999999999997</v>
      </c>
      <c r="Y103" s="654">
        <f t="shared" si="34"/>
        <v>6.69999999999997</v>
      </c>
      <c r="Z103" s="654">
        <f t="shared" si="34"/>
        <v>6.69999999999997</v>
      </c>
      <c r="AA103" s="654">
        <f t="shared" si="34"/>
        <v>6.69999999999997</v>
      </c>
      <c r="AB103" s="654">
        <f t="shared" si="34"/>
        <v>6.69999999999997</v>
      </c>
      <c r="AC103" s="654">
        <f t="shared" si="34"/>
        <v>6.69999999999997</v>
      </c>
      <c r="AD103" s="654">
        <f t="shared" si="34"/>
        <v>6.69999999999997</v>
      </c>
      <c r="AE103" s="654">
        <f t="shared" si="34"/>
        <v>6.69999999999997</v>
      </c>
      <c r="AF103" s="654">
        <f t="shared" si="34"/>
        <v>6.69999999999997</v>
      </c>
      <c r="AG103" s="218"/>
    </row>
    <row r="104" spans="2:33" ht="30.6" customHeight="1" x14ac:dyDescent="0.25">
      <c r="B104" s="685" t="s">
        <v>1798</v>
      </c>
      <c r="C104" s="686"/>
      <c r="D104" s="691"/>
      <c r="E104" s="659"/>
      <c r="F104" s="659"/>
      <c r="G104" s="659"/>
      <c r="H104" s="659"/>
      <c r="I104" s="659"/>
      <c r="J104" s="692"/>
      <c r="K104" s="692"/>
      <c r="L104" s="692"/>
      <c r="M104" s="693"/>
      <c r="N104" s="692"/>
      <c r="O104" s="692"/>
      <c r="P104" s="692"/>
      <c r="Q104" s="693"/>
      <c r="R104" s="692"/>
      <c r="S104" s="692"/>
      <c r="T104" s="692"/>
      <c r="U104" s="692">
        <f>U108*T105</f>
        <v>106.62885299999998</v>
      </c>
      <c r="V104" s="692">
        <f>V108*U105</f>
        <v>0</v>
      </c>
      <c r="W104" s="694">
        <f t="shared" ref="W104:AF104" si="35">W108*V105</f>
        <v>0</v>
      </c>
      <c r="X104" s="694">
        <f t="shared" si="35"/>
        <v>0</v>
      </c>
      <c r="Y104" s="694">
        <f>Y108*X105</f>
        <v>41.168489999999998</v>
      </c>
      <c r="Z104" s="694">
        <f t="shared" si="35"/>
        <v>0</v>
      </c>
      <c r="AA104" s="694">
        <f t="shared" si="35"/>
        <v>0</v>
      </c>
      <c r="AB104" s="694">
        <f t="shared" si="35"/>
        <v>0</v>
      </c>
      <c r="AC104" s="694">
        <f t="shared" si="35"/>
        <v>28.909029799999999</v>
      </c>
      <c r="AD104" s="694">
        <f t="shared" si="35"/>
        <v>0</v>
      </c>
      <c r="AE104" s="694">
        <f t="shared" si="35"/>
        <v>0</v>
      </c>
      <c r="AF104" s="694">
        <f t="shared" si="35"/>
        <v>0</v>
      </c>
      <c r="AG104" s="218"/>
    </row>
    <row r="105" spans="2:33" ht="17.45" customHeight="1" x14ac:dyDescent="0.25">
      <c r="B105" s="548" t="s">
        <v>473</v>
      </c>
      <c r="C105" s="238" t="s">
        <v>474</v>
      </c>
      <c r="D105" s="697">
        <f>'Haver Pivoted'!GO88/1000</f>
        <v>983.86099999999999</v>
      </c>
      <c r="E105" s="444">
        <f>'Haver Pivoted'!GP88/1000</f>
        <v>1019.19</v>
      </c>
      <c r="F105" s="444">
        <f>'Haver Pivoted'!GQ88/1000</f>
        <v>1026.704</v>
      </c>
      <c r="G105" s="444">
        <f>'Haver Pivoted'!GR88/1000</f>
        <v>1034.4169999999999</v>
      </c>
      <c r="H105" s="444">
        <f>'Haver Pivoted'!GS88/1000</f>
        <v>1042.6610000000001</v>
      </c>
      <c r="I105" s="444">
        <f>'Haver Pivoted'!GT88/1000</f>
        <v>1068.201</v>
      </c>
      <c r="J105" s="444">
        <f>'Haver Pivoted'!GU88/1000</f>
        <v>1075.075</v>
      </c>
      <c r="K105" s="444">
        <f>'Haver Pivoted'!GV88/1000</f>
        <v>1080.441</v>
      </c>
      <c r="L105" s="444">
        <f>'Haver Pivoted'!GW88/1000</f>
        <v>1087.9949999999999</v>
      </c>
      <c r="M105" s="444">
        <f>'Haver Pivoted'!GX88/1000</f>
        <v>1105.6379999999999</v>
      </c>
      <c r="N105" s="444">
        <f>'Haver Pivoted'!GY88/1000</f>
        <v>1109.6400000000001</v>
      </c>
      <c r="O105" s="444">
        <f>'Haver Pivoted'!GZ88/1000</f>
        <v>1116.9480000000001</v>
      </c>
      <c r="P105" s="444">
        <f>'Haver Pivoted'!HA88/1000</f>
        <v>1126.174</v>
      </c>
      <c r="Q105" s="444">
        <f>'Haver Pivoted'!HB88/1000</f>
        <v>1198.452</v>
      </c>
      <c r="R105" s="444">
        <f>'Haver Pivoted'!HC88/1000</f>
        <v>1207.163</v>
      </c>
      <c r="S105" s="670">
        <f>'Haver Pivoted'!HD88/1000</f>
        <v>1214.7809999999999</v>
      </c>
      <c r="T105" s="670">
        <f>'Haver Pivoted'!HE88/1000</f>
        <v>1225.6189999999999</v>
      </c>
      <c r="U105" s="670">
        <f>'Haver Pivoted'!HF88/1000</f>
        <v>1339.904</v>
      </c>
      <c r="V105" s="670">
        <f>'Haver Pivoted'!HG88/1000</f>
        <v>1353.2829999999999</v>
      </c>
      <c r="W105" s="654">
        <f t="shared" ref="W105:AF105" si="36">V105+W106</f>
        <v>1364.2829999999999</v>
      </c>
      <c r="X105" s="654">
        <f t="shared" si="36"/>
        <v>1372.2829999999999</v>
      </c>
      <c r="Y105" s="654">
        <f t="shared" si="36"/>
        <v>1421.4514899999999</v>
      </c>
      <c r="Z105" s="654">
        <f t="shared" si="36"/>
        <v>1429.4514899999999</v>
      </c>
      <c r="AA105" s="654">
        <f t="shared" si="36"/>
        <v>1437.4514899999999</v>
      </c>
      <c r="AB105" s="654">
        <f t="shared" si="36"/>
        <v>1445.4514899999999</v>
      </c>
      <c r="AC105" s="654">
        <f t="shared" si="36"/>
        <v>1482.3605198</v>
      </c>
      <c r="AD105" s="654">
        <f t="shared" si="36"/>
        <v>1491.3605198</v>
      </c>
      <c r="AE105" s="654">
        <f t="shared" si="36"/>
        <v>1501.3605198</v>
      </c>
      <c r="AF105" s="654">
        <f t="shared" si="36"/>
        <v>1512.3605198</v>
      </c>
      <c r="AG105" s="218"/>
    </row>
    <row r="106" spans="2:33" ht="17.45" customHeight="1" x14ac:dyDescent="0.25">
      <c r="B106" s="421" t="s">
        <v>1799</v>
      </c>
      <c r="C106" s="238"/>
      <c r="D106" s="697"/>
      <c r="E106" s="444"/>
      <c r="F106" s="444"/>
      <c r="G106" s="444"/>
      <c r="H106" s="444"/>
      <c r="I106" s="444"/>
      <c r="J106" s="444"/>
      <c r="K106" s="444"/>
      <c r="L106" s="444"/>
      <c r="M106" s="444"/>
      <c r="N106" s="444"/>
      <c r="O106" s="444"/>
      <c r="P106" s="444"/>
      <c r="Q106" s="444"/>
      <c r="R106" s="444"/>
      <c r="S106" s="670"/>
      <c r="T106" s="670"/>
      <c r="U106" s="670">
        <f>U104+U107</f>
        <v>114.62885299999998</v>
      </c>
      <c r="V106" s="670">
        <f>V104+V107</f>
        <v>8</v>
      </c>
      <c r="W106" s="654">
        <f t="shared" ref="W106:AF106" si="37">W104+W107</f>
        <v>11</v>
      </c>
      <c r="X106" s="654">
        <f t="shared" si="37"/>
        <v>8</v>
      </c>
      <c r="Y106" s="654">
        <f>Y104+Y107</f>
        <v>49.168489999999998</v>
      </c>
      <c r="Z106" s="654">
        <f t="shared" si="37"/>
        <v>8</v>
      </c>
      <c r="AA106" s="654">
        <f t="shared" si="37"/>
        <v>8</v>
      </c>
      <c r="AB106" s="654">
        <f t="shared" si="37"/>
        <v>8</v>
      </c>
      <c r="AC106" s="654">
        <f t="shared" si="37"/>
        <v>36.909029799999999</v>
      </c>
      <c r="AD106" s="654">
        <f t="shared" si="37"/>
        <v>9</v>
      </c>
      <c r="AE106" s="654">
        <f t="shared" si="37"/>
        <v>10</v>
      </c>
      <c r="AF106" s="654">
        <f t="shared" si="37"/>
        <v>11</v>
      </c>
      <c r="AG106" s="218"/>
    </row>
    <row r="107" spans="2:33" ht="17.45" customHeight="1" x14ac:dyDescent="0.25">
      <c r="B107" s="413" t="s">
        <v>1802</v>
      </c>
      <c r="C107" s="238"/>
      <c r="D107" s="697"/>
      <c r="E107" s="444"/>
      <c r="F107" s="444"/>
      <c r="G107" s="444"/>
      <c r="H107" s="444"/>
      <c r="I107" s="444"/>
      <c r="J107" s="444"/>
      <c r="K107" s="444"/>
      <c r="L107" s="444"/>
      <c r="M107" s="444"/>
      <c r="N107" s="444"/>
      <c r="O107" s="444"/>
      <c r="P107" s="444"/>
      <c r="Q107" s="444"/>
      <c r="R107" s="444"/>
      <c r="S107" s="670"/>
      <c r="T107" s="670"/>
      <c r="U107" s="670">
        <v>8</v>
      </c>
      <c r="V107" s="670">
        <v>8</v>
      </c>
      <c r="W107" s="654">
        <v>11</v>
      </c>
      <c r="X107" s="654">
        <v>8</v>
      </c>
      <c r="Y107" s="654">
        <v>8</v>
      </c>
      <c r="Z107" s="654">
        <v>8</v>
      </c>
      <c r="AA107" s="654">
        <v>8</v>
      </c>
      <c r="AB107" s="654">
        <v>8</v>
      </c>
      <c r="AC107" s="654">
        <v>8</v>
      </c>
      <c r="AD107" s="654">
        <v>9</v>
      </c>
      <c r="AE107" s="654">
        <v>10</v>
      </c>
      <c r="AF107" s="654">
        <v>11</v>
      </c>
      <c r="AG107" s="218"/>
    </row>
    <row r="108" spans="2:33" ht="39" customHeight="1" x14ac:dyDescent="0.25">
      <c r="B108" s="413" t="s">
        <v>1803</v>
      </c>
      <c r="C108" s="238"/>
      <c r="D108" s="697"/>
      <c r="E108" s="444"/>
      <c r="F108" s="444"/>
      <c r="G108" s="444"/>
      <c r="H108" s="444"/>
      <c r="I108" s="659"/>
      <c r="J108" s="659"/>
      <c r="K108" s="659"/>
      <c r="L108" s="659"/>
      <c r="M108" s="659"/>
      <c r="N108" s="659"/>
      <c r="O108" s="659"/>
      <c r="P108" s="659"/>
      <c r="Q108" s="659"/>
      <c r="R108" s="659"/>
      <c r="S108" s="695"/>
      <c r="T108" s="695"/>
      <c r="U108" s="672">
        <v>8.6999999999999994E-2</v>
      </c>
      <c r="V108" s="660">
        <v>0</v>
      </c>
      <c r="W108" s="696">
        <v>0</v>
      </c>
      <c r="X108" s="696">
        <v>0</v>
      </c>
      <c r="Y108" s="696">
        <v>0.03</v>
      </c>
      <c r="Z108" s="696">
        <v>0</v>
      </c>
      <c r="AA108" s="696">
        <v>0</v>
      </c>
      <c r="AB108" s="696">
        <v>0</v>
      </c>
      <c r="AC108" s="696">
        <v>0.02</v>
      </c>
      <c r="AD108" s="696">
        <v>0</v>
      </c>
      <c r="AE108" s="696">
        <v>0</v>
      </c>
      <c r="AF108" s="696">
        <v>0</v>
      </c>
      <c r="AG108" s="218"/>
    </row>
    <row r="109" spans="2:33" ht="49.7" customHeight="1" x14ac:dyDescent="0.25">
      <c r="B109" s="476" t="s">
        <v>1426</v>
      </c>
      <c r="C109" s="238"/>
      <c r="D109" s="697">
        <f t="shared" ref="D109:T109" si="38">D100-D101</f>
        <v>0</v>
      </c>
      <c r="E109" s="444">
        <f t="shared" si="38"/>
        <v>0</v>
      </c>
      <c r="F109" s="444">
        <f t="shared" si="38"/>
        <v>0</v>
      </c>
      <c r="G109" s="444">
        <f t="shared" si="38"/>
        <v>0</v>
      </c>
      <c r="H109" s="444">
        <f t="shared" si="38"/>
        <v>0</v>
      </c>
      <c r="I109" s="444">
        <f t="shared" si="38"/>
        <v>-6.9120000000000346</v>
      </c>
      <c r="J109" s="444">
        <f t="shared" si="38"/>
        <v>-37.9549999999997</v>
      </c>
      <c r="K109" s="444">
        <f t="shared" si="38"/>
        <v>85.725999999999658</v>
      </c>
      <c r="L109" s="444">
        <f t="shared" si="38"/>
        <v>18.405999999999722</v>
      </c>
      <c r="M109" s="444">
        <f t="shared" si="38"/>
        <v>20.282000000000153</v>
      </c>
      <c r="N109" s="444">
        <f t="shared" si="38"/>
        <v>-8.5988400000003367</v>
      </c>
      <c r="O109" s="444">
        <f t="shared" si="38"/>
        <v>-12.537493333333487</v>
      </c>
      <c r="P109" s="444">
        <f t="shared" si="38"/>
        <v>-32.38033333333351</v>
      </c>
      <c r="Q109" s="444">
        <f t="shared" si="38"/>
        <v>72.734879999999521</v>
      </c>
      <c r="R109" s="444">
        <f t="shared" si="38"/>
        <v>75.236879999999019</v>
      </c>
      <c r="S109" s="670">
        <f t="shared" si="38"/>
        <v>65.424879999999348</v>
      </c>
      <c r="T109" s="670">
        <f t="shared" si="38"/>
        <v>112.01587999999924</v>
      </c>
      <c r="U109" s="670">
        <f>U100-U101</f>
        <v>77.109026999999287</v>
      </c>
      <c r="V109" s="670">
        <f>V100-V101</f>
        <v>91.266026999999212</v>
      </c>
      <c r="W109" s="654">
        <f t="shared" ref="W109:AF109" si="39">V109</f>
        <v>91.266026999999212</v>
      </c>
      <c r="X109" s="654">
        <f t="shared" si="39"/>
        <v>91.266026999999212</v>
      </c>
      <c r="Y109" s="654">
        <f t="shared" si="39"/>
        <v>91.266026999999212</v>
      </c>
      <c r="Z109" s="654">
        <f t="shared" si="39"/>
        <v>91.266026999999212</v>
      </c>
      <c r="AA109" s="654">
        <f t="shared" si="39"/>
        <v>91.266026999999212</v>
      </c>
      <c r="AB109" s="654">
        <f t="shared" si="39"/>
        <v>91.266026999999212</v>
      </c>
      <c r="AC109" s="654">
        <f t="shared" si="39"/>
        <v>91.266026999999212</v>
      </c>
      <c r="AD109" s="654">
        <f t="shared" si="39"/>
        <v>91.266026999999212</v>
      </c>
      <c r="AE109" s="654">
        <f t="shared" si="39"/>
        <v>91.266026999999212</v>
      </c>
      <c r="AF109" s="654">
        <f t="shared" si="39"/>
        <v>91.266026999999212</v>
      </c>
      <c r="AG109" s="218"/>
    </row>
    <row r="110" spans="2:33" ht="29.45" customHeight="1" x14ac:dyDescent="0.25">
      <c r="B110" s="273"/>
      <c r="C110" s="238"/>
      <c r="D110" s="227"/>
      <c r="E110" s="227"/>
      <c r="F110" s="227"/>
      <c r="G110" s="227"/>
      <c r="H110" s="227"/>
      <c r="I110" s="227"/>
      <c r="J110" s="227"/>
      <c r="K110" s="227"/>
      <c r="L110" s="227"/>
      <c r="M110" s="227"/>
      <c r="N110" s="227"/>
      <c r="O110" s="227"/>
      <c r="P110" s="227"/>
      <c r="Q110" s="227"/>
      <c r="R110" s="227"/>
      <c r="S110" s="227"/>
      <c r="T110" s="227"/>
      <c r="U110" s="227"/>
      <c r="V110" s="227"/>
      <c r="W110" s="227"/>
      <c r="X110" s="227"/>
      <c r="Y110" s="227"/>
      <c r="Z110" s="227"/>
      <c r="AA110" s="227"/>
      <c r="AB110" s="227"/>
      <c r="AC110" s="227"/>
    </row>
    <row r="111" spans="2:33" ht="16.7" customHeight="1" x14ac:dyDescent="0.25">
      <c r="B111" s="238"/>
      <c r="C111" s="238"/>
      <c r="S111" s="491"/>
      <c r="T111" s="491"/>
      <c r="U111" s="238"/>
      <c r="V111" s="238"/>
      <c r="W111" s="238"/>
      <c r="X111" s="238"/>
      <c r="Y111" s="238"/>
      <c r="Z111" s="238"/>
      <c r="AA111" s="238"/>
      <c r="AB111" s="238"/>
      <c r="AC111" s="238"/>
    </row>
    <row r="112" spans="2:33" ht="16.7" customHeight="1" x14ac:dyDescent="0.25">
      <c r="B112" s="238"/>
      <c r="C112" s="238"/>
      <c r="S112" s="227"/>
      <c r="T112" s="227"/>
      <c r="U112" s="238"/>
      <c r="V112" s="238"/>
      <c r="W112" s="238"/>
      <c r="X112" s="238"/>
      <c r="Y112" s="238"/>
      <c r="Z112" s="238"/>
      <c r="AA112" s="238"/>
      <c r="AB112" s="238"/>
      <c r="AC112" s="238"/>
    </row>
    <row r="113" spans="2:30" ht="16.7" customHeight="1" x14ac:dyDescent="0.25">
      <c r="B113" s="238"/>
      <c r="C113" s="238"/>
      <c r="S113" s="227"/>
      <c r="T113" s="227"/>
      <c r="U113" s="238"/>
      <c r="V113" s="238"/>
      <c r="W113" s="238"/>
      <c r="X113" s="238"/>
      <c r="Y113" s="238"/>
      <c r="Z113" s="238"/>
      <c r="AA113" s="238"/>
      <c r="AB113" s="238"/>
      <c r="AC113" s="238"/>
    </row>
    <row r="114" spans="2:30" ht="16.7" customHeight="1" x14ac:dyDescent="0.25">
      <c r="B114" s="238"/>
      <c r="C114" s="238"/>
      <c r="S114" s="227"/>
      <c r="T114" s="227"/>
      <c r="U114" s="444"/>
      <c r="V114" s="444"/>
      <c r="W114" s="444"/>
      <c r="X114" s="444"/>
      <c r="Y114" s="444"/>
      <c r="Z114" s="444"/>
      <c r="AA114" s="444"/>
      <c r="AB114" s="444"/>
      <c r="AC114" s="444"/>
      <c r="AD114" s="514"/>
    </row>
    <row r="115" spans="2:30" ht="16.7" customHeight="1" x14ac:dyDescent="0.25">
      <c r="B115" s="223"/>
      <c r="C115" s="238"/>
      <c r="S115" s="227"/>
      <c r="T115" s="227"/>
      <c r="U115" s="227"/>
      <c r="V115" s="227"/>
      <c r="W115" s="227"/>
      <c r="X115" s="227"/>
      <c r="Y115" s="227"/>
      <c r="Z115" s="227"/>
      <c r="AA115" s="227"/>
      <c r="AB115" s="227"/>
      <c r="AC115" s="227"/>
      <c r="AD115" s="514"/>
    </row>
    <row r="116" spans="2:30" ht="16.7" customHeight="1" x14ac:dyDescent="0.25">
      <c r="B116" s="223"/>
      <c r="C116" s="238"/>
      <c r="S116" s="227"/>
      <c r="T116" s="227"/>
      <c r="U116" s="227"/>
      <c r="V116" s="227"/>
      <c r="W116" s="227"/>
      <c r="X116" s="227"/>
      <c r="Y116" s="227"/>
      <c r="Z116" s="227"/>
      <c r="AA116" s="227"/>
      <c r="AB116" s="227"/>
      <c r="AC116" s="227"/>
      <c r="AD116" s="514"/>
    </row>
    <row r="117" spans="2:30" ht="16.7" customHeight="1" x14ac:dyDescent="0.25">
      <c r="B117" s="223"/>
      <c r="C117" s="238"/>
      <c r="S117" s="227"/>
      <c r="T117" s="227"/>
      <c r="U117" s="227"/>
      <c r="V117" s="227"/>
      <c r="W117" s="227"/>
      <c r="X117" s="227"/>
      <c r="Y117" s="227"/>
      <c r="Z117" s="227"/>
      <c r="AA117" s="227"/>
      <c r="AB117" s="227"/>
      <c r="AC117" s="227"/>
      <c r="AD117" s="514"/>
    </row>
    <row r="118" spans="2:30" ht="16.7" customHeight="1" x14ac:dyDescent="0.25">
      <c r="B118" s="238"/>
      <c r="C118" s="238"/>
      <c r="S118" s="238"/>
      <c r="T118" s="238"/>
      <c r="U118" s="444"/>
      <c r="V118" s="444"/>
      <c r="W118" s="444"/>
      <c r="X118" s="444"/>
      <c r="Y118" s="444"/>
      <c r="Z118" s="444"/>
      <c r="AA118" s="444"/>
      <c r="AB118" s="444"/>
      <c r="AC118" s="444"/>
      <c r="AD118" s="514"/>
    </row>
    <row r="119" spans="2:30" ht="16.7" customHeight="1" x14ac:dyDescent="0.25">
      <c r="B119" s="223"/>
      <c r="C119" s="238"/>
      <c r="S119" s="238"/>
      <c r="T119" s="238"/>
      <c r="U119" s="444"/>
      <c r="V119" s="444"/>
      <c r="W119" s="444"/>
      <c r="X119" s="444"/>
      <c r="Y119" s="444"/>
      <c r="Z119" s="444"/>
      <c r="AA119" s="444"/>
      <c r="AB119" s="444"/>
      <c r="AC119" s="444"/>
      <c r="AD119" s="514"/>
    </row>
    <row r="120" spans="2:30" ht="16.7" customHeight="1" x14ac:dyDescent="0.25">
      <c r="B120" s="223"/>
      <c r="C120" s="238"/>
      <c r="S120" s="238"/>
      <c r="T120" s="238"/>
      <c r="U120" s="227"/>
      <c r="V120" s="227"/>
      <c r="W120" s="227"/>
      <c r="X120" s="227"/>
      <c r="Y120" s="227"/>
      <c r="Z120" s="227"/>
      <c r="AA120" s="227"/>
      <c r="AB120" s="227"/>
      <c r="AC120" s="227"/>
      <c r="AD120" s="514"/>
    </row>
    <row r="121" spans="2:30" ht="16.7" customHeight="1" x14ac:dyDescent="0.25">
      <c r="B121" s="223"/>
      <c r="C121" s="238"/>
      <c r="S121" s="238"/>
      <c r="T121" s="238"/>
      <c r="U121" s="673"/>
      <c r="V121" s="673"/>
      <c r="W121" s="673"/>
      <c r="X121" s="673"/>
      <c r="Y121" s="673"/>
      <c r="Z121" s="673"/>
      <c r="AA121" s="673"/>
      <c r="AB121" s="673"/>
      <c r="AC121" s="673"/>
      <c r="AD121" s="514"/>
    </row>
    <row r="122" spans="2:30" ht="16.7" customHeight="1" x14ac:dyDescent="0.25">
      <c r="B122" s="238"/>
      <c r="C122" s="238"/>
      <c r="S122" s="227"/>
      <c r="T122" s="227"/>
      <c r="U122" s="227"/>
      <c r="V122" s="227"/>
      <c r="W122" s="227"/>
      <c r="X122" s="227"/>
      <c r="Y122" s="227"/>
      <c r="Z122" s="227"/>
      <c r="AA122" s="227"/>
      <c r="AB122" s="227"/>
      <c r="AC122" s="227"/>
      <c r="AD122" s="514"/>
    </row>
    <row r="123" spans="2:30" ht="22.5" customHeight="1" x14ac:dyDescent="0.25">
      <c r="B123" s="273"/>
      <c r="C123" s="238"/>
      <c r="D123" s="227"/>
      <c r="E123" s="227"/>
      <c r="F123" s="227"/>
      <c r="G123" s="227"/>
      <c r="H123" s="227"/>
      <c r="I123" s="227"/>
      <c r="J123" s="227"/>
      <c r="K123" s="227"/>
      <c r="L123" s="227"/>
      <c r="M123" s="227"/>
      <c r="N123" s="227"/>
      <c r="O123" s="227"/>
      <c r="P123" s="227"/>
      <c r="Q123" s="227"/>
      <c r="R123" s="227"/>
      <c r="S123" s="227"/>
      <c r="T123" s="227"/>
      <c r="U123" s="227"/>
      <c r="V123" s="227"/>
      <c r="W123" s="227"/>
      <c r="X123" s="227"/>
      <c r="Y123" s="227"/>
      <c r="Z123" s="227"/>
      <c r="AA123" s="227"/>
      <c r="AB123" s="227"/>
      <c r="AC123" s="227"/>
    </row>
    <row r="124" spans="2:30" ht="22.5" customHeight="1" x14ac:dyDescent="0.25">
      <c r="B124" s="273"/>
      <c r="C124" s="238"/>
      <c r="D124" s="227"/>
      <c r="E124" s="227"/>
      <c r="F124" s="227"/>
      <c r="G124" s="227"/>
      <c r="H124" s="227"/>
      <c r="I124" s="227"/>
      <c r="J124" s="227"/>
      <c r="K124" s="227"/>
      <c r="L124" s="227"/>
      <c r="M124" s="227"/>
      <c r="N124" s="227"/>
      <c r="O124" s="227"/>
      <c r="P124" s="227"/>
      <c r="Q124" s="227"/>
      <c r="R124" s="227"/>
      <c r="S124" s="227"/>
      <c r="T124" s="227"/>
      <c r="U124" s="227"/>
      <c r="V124" s="227"/>
      <c r="W124" s="227"/>
      <c r="X124" s="227"/>
      <c r="Y124" s="227"/>
      <c r="Z124" s="227"/>
      <c r="AA124" s="227"/>
      <c r="AB124" s="227"/>
      <c r="AC124" s="227"/>
    </row>
    <row r="125" spans="2:30" ht="38.450000000000003" customHeight="1" x14ac:dyDescent="0.25">
      <c r="B125" s="485"/>
      <c r="C125" s="721">
        <v>2022</v>
      </c>
      <c r="D125" s="722">
        <v>2023</v>
      </c>
      <c r="E125" s="722">
        <v>2024</v>
      </c>
      <c r="F125" s="723">
        <v>2025</v>
      </c>
      <c r="G125" s="227">
        <v>2026</v>
      </c>
      <c r="H125" s="227"/>
      <c r="I125" s="227"/>
      <c r="J125" s="227"/>
      <c r="K125" s="227"/>
      <c r="L125" s="227"/>
      <c r="M125" s="227"/>
      <c r="N125" s="227"/>
      <c r="O125" s="227"/>
      <c r="P125" s="227"/>
      <c r="Q125" s="227"/>
      <c r="R125" s="227"/>
      <c r="S125" s="227"/>
      <c r="T125" s="227"/>
      <c r="U125" s="227"/>
      <c r="V125" s="227"/>
      <c r="W125" s="227"/>
      <c r="X125" s="227"/>
      <c r="Y125" s="227"/>
      <c r="Z125" s="227"/>
      <c r="AA125" s="227"/>
      <c r="AB125" s="227"/>
      <c r="AC125" s="227"/>
    </row>
    <row r="126" spans="2:30" ht="38.450000000000003" customHeight="1" x14ac:dyDescent="0.25">
      <c r="B126" s="521" t="s">
        <v>1796</v>
      </c>
      <c r="C126" s="259">
        <v>1212.4870000000001</v>
      </c>
      <c r="D126" s="259">
        <v>1344.7529999999999</v>
      </c>
      <c r="E126" s="259">
        <v>1456.7</v>
      </c>
      <c r="F126" s="259">
        <v>1553.5309999999999</v>
      </c>
      <c r="G126" s="259">
        <v>1643.9870000000001</v>
      </c>
      <c r="H126" s="227"/>
      <c r="I126" s="227"/>
      <c r="J126" s="227"/>
      <c r="K126" s="227"/>
      <c r="L126" s="227"/>
      <c r="M126" s="227"/>
      <c r="N126" s="227"/>
      <c r="O126" s="227"/>
      <c r="P126" s="227"/>
      <c r="Q126" s="227"/>
      <c r="R126" s="227"/>
      <c r="S126" s="227"/>
      <c r="T126" s="227"/>
      <c r="U126" s="227"/>
      <c r="V126" s="227"/>
      <c r="W126" s="227"/>
      <c r="X126" s="227"/>
      <c r="Y126" s="227"/>
      <c r="Z126" s="227"/>
      <c r="AA126" s="227"/>
      <c r="AB126" s="227"/>
      <c r="AC126" s="227"/>
    </row>
    <row r="127" spans="2:30" ht="69" customHeight="1" x14ac:dyDescent="0.25">
      <c r="B127" s="273"/>
      <c r="C127" s="238"/>
      <c r="D127" s="227"/>
      <c r="E127" s="227"/>
      <c r="F127" s="227"/>
      <c r="G127" s="227"/>
      <c r="H127" s="227"/>
      <c r="I127" s="227"/>
      <c r="J127" s="227"/>
      <c r="K127" s="227"/>
      <c r="L127" s="227"/>
      <c r="M127" s="227"/>
      <c r="N127" s="227"/>
      <c r="O127" s="227"/>
      <c r="P127" s="227"/>
      <c r="Q127" s="227"/>
      <c r="R127" s="227"/>
      <c r="S127" s="227"/>
      <c r="T127" s="227"/>
      <c r="U127" s="227"/>
      <c r="V127" s="227"/>
      <c r="W127" s="227"/>
      <c r="X127" s="227"/>
      <c r="Y127" s="227"/>
      <c r="Z127" s="227"/>
      <c r="AA127" s="227"/>
      <c r="AB127" s="227"/>
      <c r="AC127" s="227"/>
    </row>
    <row r="128" spans="2:30" x14ac:dyDescent="0.25">
      <c r="B128" s="69" t="s">
        <v>1425</v>
      </c>
      <c r="D128" s="238"/>
      <c r="E128" s="238"/>
      <c r="F128" s="238"/>
      <c r="G128" s="238"/>
      <c r="H128" s="238"/>
      <c r="I128" s="238"/>
      <c r="J128" s="238"/>
      <c r="K128" s="238"/>
      <c r="L128" s="238"/>
      <c r="M128" s="227"/>
      <c r="N128" s="227"/>
      <c r="O128" s="227"/>
      <c r="P128" s="238"/>
    </row>
    <row r="129" spans="2:18" x14ac:dyDescent="0.25">
      <c r="B129" s="557" t="s">
        <v>806</v>
      </c>
      <c r="C129" s="432"/>
      <c r="D129" s="712">
        <v>2021</v>
      </c>
      <c r="E129" s="712">
        <v>2022</v>
      </c>
      <c r="F129" s="712">
        <v>2023</v>
      </c>
      <c r="G129" s="713">
        <v>2024</v>
      </c>
      <c r="R129" s="514"/>
    </row>
    <row r="130" spans="2:18" x14ac:dyDescent="0.25">
      <c r="B130" s="617" t="s">
        <v>807</v>
      </c>
      <c r="C130" s="718"/>
      <c r="D130" s="708">
        <v>3605.8330000000001</v>
      </c>
      <c r="E130" s="708">
        <v>2900</v>
      </c>
      <c r="F130" s="708">
        <f>E130*1.02</f>
        <v>2958</v>
      </c>
      <c r="G130" s="709">
        <f>F130*1.06</f>
        <v>3135.48</v>
      </c>
    </row>
    <row r="131" spans="2:18" x14ac:dyDescent="0.25">
      <c r="B131" s="617" t="s">
        <v>810</v>
      </c>
      <c r="C131" s="710"/>
      <c r="D131" s="707">
        <f>AVERAGE(Medicare!L10:O10)</f>
        <v>862.99999999999989</v>
      </c>
      <c r="E131" s="707">
        <f>AVERAGE(Medicare!P10:S10)</f>
        <v>921</v>
      </c>
      <c r="F131" s="707">
        <f>AVERAGE(Medicare!T10:W10)</f>
        <v>990.32499999999993</v>
      </c>
      <c r="G131" s="716">
        <f>AVERAGE(Medicare!X10:AA10)</f>
        <v>1060.45</v>
      </c>
    </row>
    <row r="132" spans="2:18" ht="13.35" customHeight="1" x14ac:dyDescent="0.25">
      <c r="B132" s="617" t="s">
        <v>808</v>
      </c>
      <c r="C132" s="710"/>
      <c r="D132" s="707">
        <f>D130-D131</f>
        <v>2742.8330000000001</v>
      </c>
      <c r="E132" s="707">
        <f t="shared" ref="E132:G132" si="40">E130-E131</f>
        <v>1979</v>
      </c>
      <c r="F132" s="707">
        <f t="shared" si="40"/>
        <v>1967.6750000000002</v>
      </c>
      <c r="G132" s="716">
        <f t="shared" si="40"/>
        <v>2075.0299999999997</v>
      </c>
    </row>
    <row r="133" spans="2:18" x14ac:dyDescent="0.25">
      <c r="B133" s="617" t="s">
        <v>811</v>
      </c>
      <c r="C133" s="710"/>
      <c r="D133" s="707">
        <f>AVERAGE(L12:O12)</f>
        <v>3637.2999999999997</v>
      </c>
      <c r="E133" s="707">
        <f>AVERAGE(P12:S12)</f>
        <v>2967.5250000000001</v>
      </c>
      <c r="F133" s="707">
        <f>AVERAGE(T12:W12)</f>
        <v>3086.4962499999997</v>
      </c>
      <c r="G133" s="716">
        <f>AVERAGE(X12:AA12)</f>
        <v>3320.0816585250004</v>
      </c>
    </row>
    <row r="134" spans="2:18" x14ac:dyDescent="0.25">
      <c r="B134" s="617" t="s">
        <v>810</v>
      </c>
      <c r="C134" s="710"/>
      <c r="D134" s="707">
        <f>AVERAGE(Medicare!L10:O10)</f>
        <v>862.99999999999989</v>
      </c>
      <c r="E134" s="707">
        <f>AVERAGE(Medicare!P10:S10)</f>
        <v>921</v>
      </c>
      <c r="F134" s="707">
        <f>AVERAGE(Medicare!T10:W10)</f>
        <v>990.32499999999993</v>
      </c>
      <c r="G134" s="716">
        <f>AVERAGE(Medicare!X10:AA10)</f>
        <v>1060.45</v>
      </c>
    </row>
    <row r="135" spans="2:18" x14ac:dyDescent="0.25">
      <c r="B135" s="617" t="s">
        <v>530</v>
      </c>
      <c r="C135" s="710"/>
      <c r="D135" s="707">
        <f>AVERAGE(L39:O39)</f>
        <v>1585.7822500000004</v>
      </c>
      <c r="E135" s="707">
        <f>AVERAGE(P39:S39)</f>
        <v>1670.9233400000005</v>
      </c>
      <c r="F135" s="707">
        <f>AVERAGE(T39:W39)</f>
        <v>1795.6717597500008</v>
      </c>
      <c r="G135" s="716">
        <f>AVERAGE(X39:AA39)</f>
        <v>1881.1116315250006</v>
      </c>
    </row>
    <row r="136" spans="2:18" ht="27.6" customHeight="1" x14ac:dyDescent="0.25">
      <c r="B136" s="711" t="s">
        <v>809</v>
      </c>
      <c r="C136" s="547"/>
      <c r="D136" s="609"/>
      <c r="E136" s="714">
        <v>1.157</v>
      </c>
      <c r="F136" s="714">
        <v>1.0109999999999999</v>
      </c>
      <c r="G136" s="717">
        <v>1.0529999999999999</v>
      </c>
    </row>
    <row r="137" spans="2:18" x14ac:dyDescent="0.25">
      <c r="B137" s="238" t="s">
        <v>812</v>
      </c>
      <c r="D137" s="715">
        <f>D133-D130</f>
        <v>31.466999999999643</v>
      </c>
      <c r="E137" s="715">
        <f>E133-E130</f>
        <v>67.525000000000091</v>
      </c>
      <c r="F137" s="715">
        <f>F133-F130</f>
        <v>128.49624999999969</v>
      </c>
      <c r="G137" s="715">
        <f t="shared" ref="G137" si="41">G133-G130</f>
        <v>184.6016585250004</v>
      </c>
    </row>
    <row r="139" spans="2:18" x14ac:dyDescent="0.25">
      <c r="B139" t="s">
        <v>807</v>
      </c>
      <c r="D139">
        <v>3605.8330000000001</v>
      </c>
      <c r="E139">
        <v>2832.5949999999998</v>
      </c>
      <c r="F139">
        <v>2833.72</v>
      </c>
      <c r="G139">
        <v>2976.7339999999999</v>
      </c>
    </row>
  </sheetData>
  <mergeCells count="33">
    <mergeCell ref="B93:C95"/>
    <mergeCell ref="D93:V93"/>
    <mergeCell ref="W93:AG93"/>
    <mergeCell ref="E94:H94"/>
    <mergeCell ref="I94:L94"/>
    <mergeCell ref="M94:P94"/>
    <mergeCell ref="Q94:T94"/>
    <mergeCell ref="Y94:AB94"/>
    <mergeCell ref="AC94:AF94"/>
    <mergeCell ref="B82:C84"/>
    <mergeCell ref="D82:V82"/>
    <mergeCell ref="W82:AG82"/>
    <mergeCell ref="E83:H83"/>
    <mergeCell ref="I83:L83"/>
    <mergeCell ref="M83:P83"/>
    <mergeCell ref="Q83:T83"/>
    <mergeCell ref="Y83:AB83"/>
    <mergeCell ref="AC83:AF8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M1:AA37"/>
  <sheetViews>
    <sheetView workbookViewId="0">
      <selection activeCell="N25" sqref="N25"/>
    </sheetView>
  </sheetViews>
  <sheetFormatPr defaultColWidth="10.85546875" defaultRowHeight="15" x14ac:dyDescent="0.25"/>
  <sheetData>
    <row r="1" spans="13:27" x14ac:dyDescent="0.25">
      <c r="M1" s="69" t="s">
        <v>1852</v>
      </c>
      <c r="S1" s="69" t="s">
        <v>1853</v>
      </c>
      <c r="Z1" t="s">
        <v>1884</v>
      </c>
      <c r="AA1" t="s">
        <v>1885</v>
      </c>
    </row>
    <row r="2" spans="13:27" x14ac:dyDescent="0.25">
      <c r="M2" t="s">
        <v>1854</v>
      </c>
      <c r="Q2">
        <v>2952.3</v>
      </c>
      <c r="S2" t="s">
        <v>1854</v>
      </c>
      <c r="X2">
        <v>2952.3</v>
      </c>
      <c r="Z2">
        <v>2917.6753774795288</v>
      </c>
      <c r="AA2" s="653">
        <v>2928.3</v>
      </c>
    </row>
    <row r="3" spans="13:27" x14ac:dyDescent="0.25">
      <c r="M3" t="s">
        <v>1855</v>
      </c>
      <c r="P3" t="s">
        <v>1856</v>
      </c>
      <c r="Q3">
        <v>23.1</v>
      </c>
      <c r="S3" t="s">
        <v>1855</v>
      </c>
      <c r="W3" t="s">
        <v>1856</v>
      </c>
      <c r="X3">
        <v>23.1</v>
      </c>
      <c r="Z3">
        <v>22.62857142857143</v>
      </c>
      <c r="AA3">
        <v>22.62857142857143</v>
      </c>
    </row>
    <row r="4" spans="13:27" x14ac:dyDescent="0.25">
      <c r="M4" t="s">
        <v>55</v>
      </c>
      <c r="P4" t="s">
        <v>1856</v>
      </c>
      <c r="Q4">
        <v>967.3</v>
      </c>
      <c r="S4" t="s">
        <v>55</v>
      </c>
      <c r="W4" t="s">
        <v>1856</v>
      </c>
      <c r="X4">
        <v>967.3</v>
      </c>
      <c r="Z4">
        <v>944.50347271762462</v>
      </c>
      <c r="AA4">
        <v>946.3</v>
      </c>
    </row>
    <row r="5" spans="13:27" x14ac:dyDescent="0.25">
      <c r="M5" t="s">
        <v>56</v>
      </c>
      <c r="P5" t="s">
        <v>1856</v>
      </c>
      <c r="Q5">
        <v>0</v>
      </c>
      <c r="S5" t="s">
        <v>56</v>
      </c>
      <c r="W5" t="s">
        <v>1856</v>
      </c>
      <c r="X5">
        <v>0</v>
      </c>
      <c r="Z5">
        <v>0</v>
      </c>
      <c r="AA5">
        <v>0</v>
      </c>
    </row>
    <row r="6" spans="13:27" x14ac:dyDescent="0.25">
      <c r="M6" t="s">
        <v>1857</v>
      </c>
      <c r="P6" t="s">
        <v>1856</v>
      </c>
      <c r="Q6">
        <v>0</v>
      </c>
      <c r="S6" t="s">
        <v>1857</v>
      </c>
      <c r="W6" t="s">
        <v>1856</v>
      </c>
      <c r="X6">
        <v>0</v>
      </c>
      <c r="Z6">
        <v>0</v>
      </c>
      <c r="AA6">
        <v>0</v>
      </c>
    </row>
    <row r="7" spans="13:27" x14ac:dyDescent="0.25">
      <c r="Q7">
        <f>Q2-SUM(Q3:Q6)</f>
        <v>1961.9</v>
      </c>
      <c r="X7">
        <f>X2-SUM(X3:X6)</f>
        <v>1961.9</v>
      </c>
      <c r="Z7">
        <f>Z2-SUM(Z3:Z6)</f>
        <v>1950.5433333333328</v>
      </c>
      <c r="AA7">
        <f>AA2-SUM(AA3:AA6)</f>
        <v>1959.3714285714289</v>
      </c>
    </row>
    <row r="8" spans="13:27" x14ac:dyDescent="0.25">
      <c r="S8" t="s">
        <v>1858</v>
      </c>
      <c r="W8" t="s">
        <v>1856</v>
      </c>
      <c r="X8">
        <v>34</v>
      </c>
    </row>
    <row r="9" spans="13:27" x14ac:dyDescent="0.25">
      <c r="S9" t="s">
        <v>1858</v>
      </c>
      <c r="W9" t="s">
        <v>1859</v>
      </c>
      <c r="X9">
        <v>34</v>
      </c>
    </row>
    <row r="10" spans="13:27" x14ac:dyDescent="0.25">
      <c r="S10" t="s">
        <v>1860</v>
      </c>
      <c r="W10" t="s">
        <v>1856</v>
      </c>
      <c r="X10">
        <v>37.700000000000003</v>
      </c>
    </row>
    <row r="11" spans="13:27" x14ac:dyDescent="0.25">
      <c r="S11" t="s">
        <v>1860</v>
      </c>
      <c r="W11" t="s">
        <v>1859</v>
      </c>
      <c r="X11">
        <v>37.700000000000003</v>
      </c>
    </row>
    <row r="12" spans="13:27" x14ac:dyDescent="0.25">
      <c r="S12" t="s">
        <v>468</v>
      </c>
      <c r="W12" t="s">
        <v>1856</v>
      </c>
      <c r="X12">
        <v>0</v>
      </c>
    </row>
    <row r="13" spans="13:27" x14ac:dyDescent="0.25">
      <c r="S13" t="s">
        <v>468</v>
      </c>
      <c r="W13" t="s">
        <v>1859</v>
      </c>
      <c r="X13">
        <v>0</v>
      </c>
    </row>
    <row r="14" spans="13:27" x14ac:dyDescent="0.25">
      <c r="S14" t="s">
        <v>1862</v>
      </c>
      <c r="W14" t="s">
        <v>1856</v>
      </c>
      <c r="X14">
        <v>21.9</v>
      </c>
    </row>
    <row r="15" spans="13:27" x14ac:dyDescent="0.25">
      <c r="S15" t="s">
        <v>1862</v>
      </c>
      <c r="W15" t="s">
        <v>1859</v>
      </c>
      <c r="X15">
        <f>X8-X9+X10-X11+X12-X13+X14</f>
        <v>21.9</v>
      </c>
      <c r="Z15">
        <v>21.9</v>
      </c>
      <c r="AA15">
        <v>21.89</v>
      </c>
    </row>
    <row r="16" spans="13:27" x14ac:dyDescent="0.25">
      <c r="X16">
        <f>X7-X8+X9-X10+X11-X12+X13-X14+X15</f>
        <v>1961.9</v>
      </c>
    </row>
    <row r="17" spans="13:27" x14ac:dyDescent="0.25">
      <c r="S17" t="s">
        <v>1861</v>
      </c>
      <c r="W17" t="s">
        <v>1856</v>
      </c>
      <c r="X17">
        <v>12</v>
      </c>
      <c r="Z17">
        <v>12</v>
      </c>
      <c r="AA17">
        <v>12</v>
      </c>
    </row>
    <row r="18" spans="13:27" x14ac:dyDescent="0.25">
      <c r="S18" t="s">
        <v>218</v>
      </c>
      <c r="W18" t="s">
        <v>1856</v>
      </c>
      <c r="X18">
        <v>1.4</v>
      </c>
      <c r="Z18">
        <v>1.4</v>
      </c>
      <c r="AA18">
        <v>1.4</v>
      </c>
    </row>
    <row r="19" spans="13:27" x14ac:dyDescent="0.25">
      <c r="X19">
        <f>X16-X17-X18</f>
        <v>1948.5</v>
      </c>
      <c r="Z19">
        <f>Z7-Z17-Z18+Z15</f>
        <v>1959.0433333333328</v>
      </c>
      <c r="AA19">
        <f>AA7-AA17-AA18+AA15</f>
        <v>1967.8614285714289</v>
      </c>
    </row>
    <row r="21" spans="13:27" x14ac:dyDescent="0.25">
      <c r="M21" s="69" t="s">
        <v>1863</v>
      </c>
    </row>
    <row r="22" spans="13:27" x14ac:dyDescent="0.25">
      <c r="M22" s="739" t="s">
        <v>123</v>
      </c>
      <c r="N22" s="498"/>
      <c r="O22" s="498"/>
      <c r="P22" s="498"/>
      <c r="Q22" s="498"/>
      <c r="R22" s="498"/>
      <c r="S22" s="498"/>
      <c r="T22" s="498"/>
      <c r="U22" s="498"/>
      <c r="V22" s="498"/>
      <c r="W22" s="738"/>
    </row>
    <row r="23" spans="13:27" x14ac:dyDescent="0.25">
      <c r="M23" s="740" t="s">
        <v>1872</v>
      </c>
      <c r="W23" s="228"/>
    </row>
    <row r="24" spans="13:27" x14ac:dyDescent="0.25">
      <c r="M24" s="740" t="s">
        <v>1871</v>
      </c>
      <c r="N24" s="113"/>
      <c r="O24" s="113"/>
      <c r="P24" s="113"/>
      <c r="Q24" s="113"/>
      <c r="R24" s="113"/>
      <c r="S24" s="113"/>
      <c r="T24" s="113"/>
      <c r="U24" s="113"/>
      <c r="V24" s="113"/>
      <c r="W24" s="741"/>
      <c r="X24" s="113"/>
      <c r="Y24" s="113"/>
    </row>
    <row r="25" spans="13:27" x14ac:dyDescent="0.25">
      <c r="M25" s="41" t="s">
        <v>203</v>
      </c>
      <c r="W25" s="228"/>
    </row>
    <row r="26" spans="13:27" x14ac:dyDescent="0.25">
      <c r="M26" s="41" t="s">
        <v>205</v>
      </c>
      <c r="W26" s="228"/>
    </row>
    <row r="27" spans="13:27" x14ac:dyDescent="0.25">
      <c r="M27" s="41" t="s">
        <v>56</v>
      </c>
      <c r="W27" s="228"/>
    </row>
    <row r="28" spans="13:27" x14ac:dyDescent="0.25">
      <c r="M28" s="41" t="s">
        <v>214</v>
      </c>
      <c r="W28" s="228"/>
    </row>
    <row r="29" spans="13:27" x14ac:dyDescent="0.25">
      <c r="M29" s="41" t="s">
        <v>1864</v>
      </c>
      <c r="W29" s="228"/>
    </row>
    <row r="30" spans="13:27" x14ac:dyDescent="0.25">
      <c r="M30" s="742" t="s">
        <v>1865</v>
      </c>
      <c r="N30" s="35"/>
      <c r="O30" s="35"/>
      <c r="P30" s="35"/>
      <c r="Q30" s="35"/>
      <c r="R30" s="35"/>
      <c r="S30" s="35"/>
      <c r="T30" s="35"/>
      <c r="U30" s="35"/>
      <c r="V30" s="35"/>
      <c r="W30" s="229"/>
      <c r="X30" t="s">
        <v>1866</v>
      </c>
    </row>
    <row r="31" spans="13:27" x14ac:dyDescent="0.25">
      <c r="M31" s="743" t="s">
        <v>1861</v>
      </c>
      <c r="N31" s="498"/>
      <c r="O31" s="498"/>
      <c r="P31" s="498"/>
      <c r="Q31" s="498"/>
      <c r="R31" s="498"/>
      <c r="S31" s="498"/>
      <c r="T31" s="498"/>
      <c r="U31" s="498"/>
      <c r="V31" s="498"/>
      <c r="W31" s="738"/>
    </row>
    <row r="32" spans="13:27" x14ac:dyDescent="0.25">
      <c r="M32" s="742" t="s">
        <v>218</v>
      </c>
      <c r="N32" s="35"/>
      <c r="O32" s="35"/>
      <c r="P32" s="35"/>
      <c r="Q32" s="35"/>
      <c r="R32" s="35"/>
      <c r="S32" s="35"/>
      <c r="T32" s="35"/>
      <c r="U32" s="35"/>
      <c r="V32" s="35"/>
      <c r="W32" s="229"/>
      <c r="X32" t="s">
        <v>1867</v>
      </c>
    </row>
    <row r="33" spans="13:24" x14ac:dyDescent="0.25">
      <c r="M33" s="743" t="s">
        <v>135</v>
      </c>
      <c r="N33" s="498"/>
      <c r="O33" s="498"/>
      <c r="P33" s="498"/>
      <c r="Q33" s="498"/>
      <c r="R33" s="498"/>
      <c r="S33" s="498"/>
      <c r="T33" s="498"/>
      <c r="U33" s="498"/>
      <c r="V33" s="498"/>
      <c r="W33" s="738"/>
    </row>
    <row r="34" spans="13:24" x14ac:dyDescent="0.25">
      <c r="M34" s="41" t="s">
        <v>136</v>
      </c>
      <c r="W34" s="228"/>
    </row>
    <row r="35" spans="13:24" x14ac:dyDescent="0.25">
      <c r="M35" s="41" t="s">
        <v>1868</v>
      </c>
      <c r="W35" s="228"/>
    </row>
    <row r="36" spans="13:24" x14ac:dyDescent="0.25">
      <c r="M36" s="41" t="s">
        <v>129</v>
      </c>
      <c r="W36" s="228"/>
    </row>
    <row r="37" spans="13:24" x14ac:dyDescent="0.25">
      <c r="M37" s="742" t="s">
        <v>1869</v>
      </c>
      <c r="N37" s="35"/>
      <c r="O37" s="35"/>
      <c r="P37" s="35"/>
      <c r="Q37" s="35"/>
      <c r="R37" s="35"/>
      <c r="S37" s="35"/>
      <c r="T37" s="35"/>
      <c r="U37" s="35"/>
      <c r="V37" s="35"/>
      <c r="W37" s="229"/>
      <c r="X37" t="s">
        <v>1870</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AN88"/>
  <sheetViews>
    <sheetView topLeftCell="R1" zoomScaleNormal="100" workbookViewId="0">
      <selection activeCell="AJ27" sqref="AJ27"/>
    </sheetView>
  </sheetViews>
  <sheetFormatPr defaultColWidth="10.85546875" defaultRowHeight="15" x14ac:dyDescent="0.25"/>
  <cols>
    <col min="1" max="1" width="17.28515625" customWidth="1"/>
  </cols>
  <sheetData>
    <row r="1" spans="2:40" x14ac:dyDescent="0.25">
      <c r="B1" s="1264" t="s">
        <v>1902</v>
      </c>
      <c r="C1" s="1264"/>
      <c r="D1" s="1264"/>
      <c r="E1" s="1264"/>
      <c r="F1" s="1264"/>
      <c r="G1" s="1264"/>
      <c r="H1" s="1264"/>
      <c r="I1" s="1264"/>
      <c r="J1" s="1264"/>
      <c r="K1" s="1264"/>
      <c r="L1" s="1264"/>
      <c r="M1" s="1264"/>
      <c r="N1" s="1264"/>
      <c r="O1" s="1264"/>
      <c r="P1" s="1264"/>
      <c r="Q1" s="1264"/>
      <c r="R1" s="1264"/>
      <c r="S1" s="1264"/>
      <c r="T1" s="1264"/>
      <c r="U1" s="1264"/>
      <c r="V1" s="1264"/>
      <c r="W1" s="1264"/>
      <c r="X1" s="1264"/>
      <c r="Y1" s="1264"/>
      <c r="Z1" s="1264"/>
      <c r="AA1" s="1264"/>
      <c r="AB1" s="1264"/>
      <c r="AC1" s="1264"/>
    </row>
    <row r="2" spans="2:40" ht="14.25" customHeight="1" x14ac:dyDescent="0.25">
      <c r="B2" s="1348" t="s">
        <v>1903</v>
      </c>
      <c r="C2" s="1348"/>
      <c r="D2" s="1348"/>
      <c r="E2" s="1348"/>
      <c r="F2" s="1348"/>
      <c r="G2" s="1348"/>
      <c r="H2" s="1348"/>
      <c r="I2" s="1348"/>
      <c r="J2" s="1348"/>
      <c r="K2" s="1348"/>
      <c r="L2" s="1348"/>
      <c r="M2" s="1348"/>
      <c r="N2" s="1348"/>
      <c r="O2" s="1348"/>
      <c r="P2" s="1348"/>
      <c r="Q2" s="1348"/>
      <c r="R2" s="1348"/>
      <c r="S2" s="587"/>
      <c r="T2" s="1349"/>
      <c r="U2" s="1349"/>
      <c r="V2" s="1349"/>
      <c r="W2" s="1349"/>
      <c r="X2" s="1349"/>
      <c r="Y2" s="1349"/>
      <c r="Z2" s="1349"/>
      <c r="AA2" s="1349"/>
      <c r="AB2" s="1349"/>
      <c r="AC2" s="1349"/>
    </row>
    <row r="3" spans="2:40" x14ac:dyDescent="0.25">
      <c r="B3" s="1348"/>
      <c r="C3" s="1348"/>
      <c r="D3" s="1348"/>
      <c r="E3" s="1348"/>
      <c r="F3" s="1348"/>
      <c r="G3" s="1348"/>
      <c r="H3" s="1348"/>
      <c r="I3" s="1348"/>
      <c r="J3" s="1348"/>
      <c r="K3" s="1348"/>
      <c r="L3" s="1348"/>
      <c r="M3" s="1348"/>
      <c r="N3" s="1348"/>
      <c r="O3" s="1348"/>
      <c r="P3" s="1348"/>
      <c r="Q3" s="1348"/>
      <c r="R3" s="1348"/>
      <c r="S3" s="587"/>
      <c r="T3" s="1349"/>
      <c r="U3" s="1349"/>
      <c r="V3" s="1349"/>
      <c r="W3" s="1349"/>
      <c r="X3" s="1349"/>
      <c r="Y3" s="1349"/>
      <c r="Z3" s="1349"/>
      <c r="AA3" s="1349"/>
      <c r="AB3" s="1349"/>
      <c r="AC3" s="1349"/>
    </row>
    <row r="4" spans="2:40" ht="21" customHeight="1" x14ac:dyDescent="0.25">
      <c r="B4" s="1348"/>
      <c r="C4" s="1348"/>
      <c r="D4" s="1348"/>
      <c r="E4" s="1348"/>
      <c r="F4" s="1348"/>
      <c r="G4" s="1348"/>
      <c r="H4" s="1348"/>
      <c r="I4" s="1348"/>
      <c r="J4" s="1348"/>
      <c r="K4" s="1348"/>
      <c r="L4" s="1348"/>
      <c r="M4" s="1348"/>
      <c r="N4" s="1348"/>
      <c r="O4" s="1348"/>
      <c r="P4" s="1348"/>
      <c r="Q4" s="1348"/>
      <c r="R4" s="1348"/>
      <c r="S4" s="587"/>
      <c r="T4" s="1349"/>
      <c r="U4" s="1349"/>
      <c r="V4" s="1349"/>
      <c r="W4" s="1349"/>
      <c r="X4" s="1349"/>
      <c r="Y4" s="1349"/>
      <c r="Z4" s="1349"/>
      <c r="AA4" s="1349"/>
      <c r="AB4" s="1349"/>
      <c r="AC4" s="1349"/>
    </row>
    <row r="6" spans="2:40" x14ac:dyDescent="0.25">
      <c r="B6" s="511" t="s">
        <v>332</v>
      </c>
    </row>
    <row r="7" spans="2:40" ht="14.85" customHeight="1" x14ac:dyDescent="0.25">
      <c r="B7" s="1269" t="s">
        <v>1874</v>
      </c>
      <c r="C7" s="1270"/>
      <c r="D7" s="1273" t="s">
        <v>279</v>
      </c>
      <c r="E7" s="1315"/>
      <c r="F7" s="1315"/>
      <c r="G7" s="1315"/>
      <c r="H7" s="1315"/>
      <c r="I7" s="1315"/>
      <c r="J7" s="1315"/>
      <c r="K7" s="1315"/>
      <c r="L7" s="1315"/>
      <c r="M7" s="1315"/>
      <c r="N7" s="1315"/>
      <c r="O7" s="1315"/>
      <c r="P7" s="1315"/>
      <c r="Q7" s="1315"/>
      <c r="R7" s="1315"/>
      <c r="S7" s="1315"/>
      <c r="T7" s="1315"/>
      <c r="U7" s="1314"/>
      <c r="V7" s="1272"/>
      <c r="W7" s="1353" t="s">
        <v>280</v>
      </c>
      <c r="X7" s="1351"/>
      <c r="Y7" s="1351"/>
      <c r="Z7" s="1351"/>
      <c r="AA7" s="1351"/>
      <c r="AB7" s="1351"/>
      <c r="AC7" s="1351"/>
      <c r="AD7" s="1351"/>
      <c r="AE7" s="1351"/>
      <c r="AF7" s="1351"/>
      <c r="AG7" s="1351"/>
      <c r="AH7" s="1351"/>
      <c r="AI7" s="1351"/>
      <c r="AJ7" s="1351"/>
      <c r="AK7" s="1351"/>
      <c r="AL7" s="1351"/>
      <c r="AM7" s="1351"/>
      <c r="AN7" s="1351"/>
    </row>
    <row r="8" spans="2:40" x14ac:dyDescent="0.25">
      <c r="B8" s="1271"/>
      <c r="C8" s="1272"/>
      <c r="D8" s="285">
        <v>2018</v>
      </c>
      <c r="E8" s="1288">
        <v>2019</v>
      </c>
      <c r="F8" s="1289"/>
      <c r="G8" s="1289"/>
      <c r="H8" s="1290"/>
      <c r="I8" s="1288">
        <v>2020</v>
      </c>
      <c r="J8" s="1289"/>
      <c r="K8" s="1289"/>
      <c r="L8" s="1289"/>
      <c r="M8" s="1288">
        <v>2021</v>
      </c>
      <c r="N8" s="1289"/>
      <c r="O8" s="1289"/>
      <c r="P8" s="1300"/>
      <c r="Q8" s="1288">
        <v>2022</v>
      </c>
      <c r="R8" s="1300"/>
      <c r="S8" s="1300"/>
      <c r="T8" s="1300"/>
      <c r="U8" s="441"/>
      <c r="V8" s="291">
        <v>2023</v>
      </c>
      <c r="W8" s="327"/>
      <c r="X8" s="324"/>
      <c r="Y8" s="1276">
        <v>2024</v>
      </c>
      <c r="Z8" s="1281"/>
      <c r="AA8" s="1281"/>
      <c r="AB8" s="1280"/>
      <c r="AC8" s="1275">
        <v>2025</v>
      </c>
      <c r="AD8" s="1281"/>
      <c r="AE8" s="1281"/>
      <c r="AF8" s="1280"/>
      <c r="AG8" s="1275">
        <v>2026</v>
      </c>
      <c r="AH8" s="1281"/>
      <c r="AI8" s="1281"/>
      <c r="AJ8" s="1280"/>
      <c r="AK8" s="1275">
        <v>2027</v>
      </c>
      <c r="AL8" s="1281"/>
      <c r="AM8" s="1281"/>
      <c r="AN8" s="1280"/>
    </row>
    <row r="9" spans="2:40" x14ac:dyDescent="0.25">
      <c r="B9" s="1273"/>
      <c r="C9" s="1274"/>
      <c r="D9" s="214" t="s">
        <v>281</v>
      </c>
      <c r="E9" s="214" t="s">
        <v>282</v>
      </c>
      <c r="F9" s="215" t="s">
        <v>283</v>
      </c>
      <c r="G9" s="215" t="s">
        <v>238</v>
      </c>
      <c r="H9" s="221" t="s">
        <v>281</v>
      </c>
      <c r="I9" s="215" t="s">
        <v>282</v>
      </c>
      <c r="J9" s="215" t="s">
        <v>283</v>
      </c>
      <c r="K9" s="215" t="s">
        <v>238</v>
      </c>
      <c r="L9" s="215" t="s">
        <v>281</v>
      </c>
      <c r="M9" s="214" t="s">
        <v>282</v>
      </c>
      <c r="N9" s="215" t="s">
        <v>283</v>
      </c>
      <c r="O9" s="215" t="s">
        <v>238</v>
      </c>
      <c r="P9" s="215" t="s">
        <v>281</v>
      </c>
      <c r="Q9" s="214" t="s">
        <v>282</v>
      </c>
      <c r="R9" s="215" t="s">
        <v>283</v>
      </c>
      <c r="S9" s="215" t="s">
        <v>238</v>
      </c>
      <c r="T9" s="215" t="s">
        <v>281</v>
      </c>
      <c r="U9" s="275" t="s">
        <v>282</v>
      </c>
      <c r="V9" s="276" t="s">
        <v>283</v>
      </c>
      <c r="W9" s="262" t="s">
        <v>238</v>
      </c>
      <c r="X9" s="290" t="s">
        <v>281</v>
      </c>
      <c r="Y9" s="262" t="s">
        <v>282</v>
      </c>
      <c r="Z9" s="260" t="s">
        <v>283</v>
      </c>
      <c r="AA9" s="262" t="s">
        <v>238</v>
      </c>
      <c r="AB9" s="262" t="s">
        <v>281</v>
      </c>
      <c r="AC9" s="288" t="s">
        <v>282</v>
      </c>
      <c r="AD9" s="260" t="s">
        <v>283</v>
      </c>
      <c r="AE9" s="262" t="s">
        <v>238</v>
      </c>
      <c r="AF9" s="262" t="s">
        <v>281</v>
      </c>
      <c r="AG9" s="288" t="s">
        <v>282</v>
      </c>
      <c r="AH9" s="260" t="s">
        <v>283</v>
      </c>
      <c r="AI9" s="262" t="s">
        <v>238</v>
      </c>
      <c r="AJ9" s="290" t="s">
        <v>281</v>
      </c>
      <c r="AK9" s="288" t="s">
        <v>282</v>
      </c>
      <c r="AL9" s="260" t="s">
        <v>283</v>
      </c>
      <c r="AM9" s="262" t="s">
        <v>238</v>
      </c>
      <c r="AN9" s="290" t="s">
        <v>281</v>
      </c>
    </row>
    <row r="10" spans="2:40" x14ac:dyDescent="0.25">
      <c r="S10" s="754" t="s">
        <v>184</v>
      </c>
      <c r="T10" s="754" t="s">
        <v>185</v>
      </c>
      <c r="U10" s="754" t="s">
        <v>186</v>
      </c>
      <c r="V10" s="754" t="s">
        <v>187</v>
      </c>
      <c r="W10" s="754" t="s">
        <v>188</v>
      </c>
      <c r="X10" s="754" t="s">
        <v>189</v>
      </c>
      <c r="Y10" s="754" t="s">
        <v>190</v>
      </c>
      <c r="Z10" s="754" t="s">
        <v>191</v>
      </c>
      <c r="AA10" s="754" t="s">
        <v>175</v>
      </c>
      <c r="AB10" s="754" t="s">
        <v>176</v>
      </c>
      <c r="AC10" s="754" t="s">
        <v>177</v>
      </c>
      <c r="AD10" s="754" t="s">
        <v>763</v>
      </c>
      <c r="AE10" s="754" t="s">
        <v>764</v>
      </c>
      <c r="AF10" s="754" t="s">
        <v>765</v>
      </c>
      <c r="AG10" s="754" t="s">
        <v>1151</v>
      </c>
      <c r="AH10" s="754" t="s">
        <v>1152</v>
      </c>
      <c r="AI10" s="754" t="s">
        <v>1153</v>
      </c>
      <c r="AJ10" s="754" t="s">
        <v>1154</v>
      </c>
      <c r="AK10" s="754" t="s">
        <v>1155</v>
      </c>
      <c r="AL10" s="754" t="s">
        <v>1156</v>
      </c>
      <c r="AM10" s="754" t="s">
        <v>1157</v>
      </c>
      <c r="AN10" s="754" t="s">
        <v>1158</v>
      </c>
    </row>
    <row r="11" spans="2:40" x14ac:dyDescent="0.25">
      <c r="S11" s="752"/>
      <c r="T11" s="752"/>
      <c r="U11" s="752"/>
      <c r="V11" s="752"/>
      <c r="W11" s="752"/>
      <c r="X11" s="752"/>
      <c r="Y11" s="752"/>
      <c r="Z11" s="752"/>
      <c r="AA11" s="752"/>
      <c r="AB11" s="752"/>
      <c r="AC11" s="752"/>
      <c r="AD11" s="752"/>
      <c r="AE11" s="752"/>
      <c r="AF11" s="752"/>
      <c r="AG11" s="752"/>
      <c r="AH11" s="752"/>
    </row>
    <row r="12" spans="2:40" x14ac:dyDescent="0.25">
      <c r="B12" s="752" t="s">
        <v>1847</v>
      </c>
      <c r="P12" t="s">
        <v>1847</v>
      </c>
      <c r="S12" s="165">
        <v>4.0506371546650453</v>
      </c>
      <c r="T12" s="165">
        <v>6.7510619244417409</v>
      </c>
      <c r="U12" s="165">
        <v>25.428999915397224</v>
      </c>
      <c r="V12" s="165">
        <v>38.481052969317929</v>
      </c>
      <c r="W12" s="165">
        <v>51.308070625757232</v>
      </c>
      <c r="X12" s="165">
        <v>56.236345830599703</v>
      </c>
      <c r="Y12" s="165">
        <v>63.685017487233758</v>
      </c>
      <c r="Z12" s="165">
        <v>69.310902424268548</v>
      </c>
      <c r="AA12" s="165">
        <v>64.357873325703125</v>
      </c>
      <c r="AB12" s="165">
        <v>57.18149450002155</v>
      </c>
      <c r="AC12" s="165">
        <v>59.094295378613374</v>
      </c>
      <c r="AD12" s="165">
        <v>70.233547553942245</v>
      </c>
      <c r="AE12" s="165">
        <v>81.462813888263668</v>
      </c>
      <c r="AF12" s="165">
        <v>86.188557235372897</v>
      </c>
      <c r="AG12" s="165">
        <v>105.31656602129117</v>
      </c>
      <c r="AH12" s="165">
        <v>120.73149074876648</v>
      </c>
      <c r="AI12" s="165">
        <v>126.01869741259176</v>
      </c>
      <c r="AJ12" s="165">
        <v>123.55455981017052</v>
      </c>
      <c r="AK12" s="165">
        <v>112.20152400723433</v>
      </c>
      <c r="AL12" s="165">
        <v>93.984908581115704</v>
      </c>
      <c r="AM12" s="165">
        <v>72.945224093593026</v>
      </c>
      <c r="AN12" s="165">
        <v>47.054901613358936</v>
      </c>
    </row>
    <row r="13" spans="2:40" x14ac:dyDescent="0.25">
      <c r="B13" s="752" t="s">
        <v>1848</v>
      </c>
      <c r="P13" t="s">
        <v>1848</v>
      </c>
      <c r="S13" s="106">
        <f>Deflators!S72</f>
        <v>1.1700921610724198</v>
      </c>
      <c r="T13" s="106">
        <f>Deflators!T72</f>
        <v>1.1816953797963978</v>
      </c>
      <c r="U13" s="106">
        <f>Deflators!U72</f>
        <v>1.1931632087271602</v>
      </c>
      <c r="V13" s="106">
        <f>Deflators!V72</f>
        <v>1.201768659356208</v>
      </c>
      <c r="W13" s="106">
        <f>Deflators!W72</f>
        <v>1.2097758632810751</v>
      </c>
      <c r="X13" s="106">
        <f>Deflators!X72</f>
        <v>1.2147338005500146</v>
      </c>
      <c r="Y13" s="106">
        <f>Deflators!Y72</f>
        <v>1.2250061487428185</v>
      </c>
      <c r="Z13" s="106">
        <f>Deflators!Z72</f>
        <v>1.2326880562148892</v>
      </c>
      <c r="AA13" s="106">
        <f>Deflators!AA72</f>
        <v>1.2372845576913525</v>
      </c>
      <c r="AB13" s="106">
        <f>Deflators!AB72</f>
        <v>1.2447937543552396</v>
      </c>
      <c r="AC13" s="106">
        <f>Deflators!AC72</f>
        <v>1.2519082564303945</v>
      </c>
      <c r="AD13" s="106">
        <f>Deflators!AD72</f>
        <v>1.2585786405872741</v>
      </c>
      <c r="AE13" s="106">
        <f>Deflators!AE72</f>
        <v>1.2654057203904239</v>
      </c>
      <c r="AF13" s="106">
        <f>Deflators!AF72</f>
        <v>1.27231230577623</v>
      </c>
      <c r="AG13" s="106">
        <f>Deflators!AG72</f>
        <v>1.2790868658623309</v>
      </c>
      <c r="AH13" s="753">
        <f>Deflators!AH72</f>
        <v>1.2855539483713756</v>
      </c>
      <c r="AI13" s="753">
        <f>Deflators!AI72</f>
        <v>1.292033226806468</v>
      </c>
      <c r="AJ13" s="753">
        <f>Deflators!AJ72</f>
        <v>1.2985763342395193</v>
      </c>
      <c r="AK13" s="753">
        <f>Deflators!AK72</f>
        <v>1.3051101996236651</v>
      </c>
      <c r="AL13" s="753">
        <f>Deflators!AL72</f>
        <v>1.3116458212540378</v>
      </c>
      <c r="AM13" s="753">
        <f>Deflators!AM72</f>
        <v>1.3181836945304437</v>
      </c>
      <c r="AN13" s="753">
        <f>Deflators!AN72</f>
        <v>1.3247463561647055</v>
      </c>
    </row>
    <row r="14" spans="2:40" x14ac:dyDescent="0.25">
      <c r="B14" s="752" t="s">
        <v>1849</v>
      </c>
      <c r="P14" t="s">
        <v>1849</v>
      </c>
      <c r="S14">
        <f>S12*S13</f>
        <v>4.7396187820222604</v>
      </c>
      <c r="T14">
        <f t="shared" ref="T14:AI14" si="0">T12*T13</f>
        <v>7.9776986848321831</v>
      </c>
      <c r="U14">
        <f t="shared" si="0"/>
        <v>30.340947133778037</v>
      </c>
      <c r="V14">
        <f t="shared" si="0"/>
        <v>46.245323437552436</v>
      </c>
      <c r="W14">
        <f t="shared" si="0"/>
        <v>62.071265434561823</v>
      </c>
      <c r="X14">
        <f t="shared" si="0"/>
        <v>68.312190099849346</v>
      </c>
      <c r="Y14">
        <f t="shared" si="0"/>
        <v>78.014538004655279</v>
      </c>
      <c r="Z14">
        <f t="shared" si="0"/>
        <v>85.438721583871441</v>
      </c>
      <c r="AA14">
        <f t="shared" si="0"/>
        <v>79.629002831748679</v>
      </c>
      <c r="AB14">
        <f t="shared" si="0"/>
        <v>71.179167218325318</v>
      </c>
      <c r="AC14">
        <f t="shared" si="0"/>
        <v>73.980636292422588</v>
      </c>
      <c r="AD14">
        <f t="shared" si="0"/>
        <v>88.394442804062294</v>
      </c>
      <c r="AE14">
        <f t="shared" si="0"/>
        <v>103.08351069330931</v>
      </c>
      <c r="AF14">
        <f t="shared" si="0"/>
        <v>109.65876198766387</v>
      </c>
      <c r="AG14">
        <f>AG12*AG13</f>
        <v>134.70903635555658</v>
      </c>
      <c r="AH14" s="501">
        <f t="shared" si="0"/>
        <v>155.20684462483894</v>
      </c>
      <c r="AI14" s="501">
        <f t="shared" si="0"/>
        <v>162.82034425593883</v>
      </c>
      <c r="AJ14" s="501">
        <f>AJ12*AJ13</f>
        <v>160.44502735686868</v>
      </c>
      <c r="AK14" s="501">
        <f t="shared" ref="AK14:AN14" si="1">AK12*AK13</f>
        <v>146.43535339516106</v>
      </c>
      <c r="AL14" s="501">
        <f t="shared" si="1"/>
        <v>123.27491260136317</v>
      </c>
      <c r="AM14" s="501">
        <f t="shared" si="1"/>
        <v>96.155204994043586</v>
      </c>
      <c r="AN14" s="501">
        <f t="shared" si="1"/>
        <v>62.335809451985973</v>
      </c>
    </row>
    <row r="15" spans="2:40" x14ac:dyDescent="0.25">
      <c r="S15" s="165"/>
      <c r="T15" s="165"/>
      <c r="U15" s="165"/>
      <c r="V15" s="165"/>
      <c r="W15" s="165"/>
      <c r="X15" s="165"/>
      <c r="Y15" s="165"/>
      <c r="Z15" s="165"/>
      <c r="AA15" s="165"/>
      <c r="AB15" s="165"/>
      <c r="AC15" s="165"/>
      <c r="AD15" s="165"/>
      <c r="AE15" s="165"/>
      <c r="AF15" s="165"/>
      <c r="AG15" s="165"/>
      <c r="AH15" s="165"/>
      <c r="AI15" s="165"/>
      <c r="AJ15" s="165"/>
      <c r="AK15" s="165"/>
      <c r="AL15" s="165"/>
      <c r="AM15" s="165"/>
      <c r="AN15" s="165"/>
    </row>
    <row r="16" spans="2:40" x14ac:dyDescent="0.25">
      <c r="S16" s="165">
        <v>4.0506371546650453</v>
      </c>
      <c r="T16" s="165">
        <v>6.7510619244417409</v>
      </c>
      <c r="U16" s="165">
        <v>25.428999915397224</v>
      </c>
      <c r="V16" s="165">
        <v>38.481052969317929</v>
      </c>
      <c r="W16" s="165">
        <v>51.308070625757232</v>
      </c>
      <c r="X16" s="165">
        <v>56.236345830599703</v>
      </c>
      <c r="Y16" s="165">
        <v>63.685017487233758</v>
      </c>
      <c r="Z16" s="165">
        <v>69.310902424268548</v>
      </c>
      <c r="AA16" s="165">
        <v>64.357873325703125</v>
      </c>
      <c r="AB16" s="165">
        <v>57.18149450002155</v>
      </c>
      <c r="AC16" s="165">
        <v>59.094295378613374</v>
      </c>
      <c r="AD16" s="165">
        <v>70.233547553942245</v>
      </c>
      <c r="AE16" s="165">
        <v>81.462813888263668</v>
      </c>
      <c r="AF16" s="165">
        <v>86.188557235372897</v>
      </c>
      <c r="AG16" s="165">
        <v>105.31656602129117</v>
      </c>
      <c r="AH16" s="165">
        <v>120.73149074876648</v>
      </c>
      <c r="AI16" s="165">
        <v>126.01869741259176</v>
      </c>
      <c r="AJ16" s="165">
        <v>123.55455981017052</v>
      </c>
      <c r="AK16" s="165">
        <v>112.20152400723433</v>
      </c>
      <c r="AL16" s="165">
        <v>93.984908581115704</v>
      </c>
      <c r="AM16" s="165">
        <v>72.945224093593026</v>
      </c>
      <c r="AN16" s="165">
        <v>47.054901613358936</v>
      </c>
    </row>
    <row r="18" spans="2:40" x14ac:dyDescent="0.25">
      <c r="P18" t="s">
        <v>1951</v>
      </c>
      <c r="S18" s="752">
        <v>9.676624590017175</v>
      </c>
      <c r="T18" s="752">
        <v>9.6670597070816413</v>
      </c>
      <c r="U18" s="752">
        <v>29.968874069165178</v>
      </c>
      <c r="V18" s="752">
        <v>48.407564583050345</v>
      </c>
      <c r="W18" s="752">
        <v>68.860864510897471</v>
      </c>
      <c r="X18" s="752">
        <v>88.107434654608909</v>
      </c>
      <c r="Y18" s="752">
        <v>101.08174054588757</v>
      </c>
      <c r="Z18" s="752">
        <v>103.56513754278419</v>
      </c>
      <c r="AA18" s="752">
        <v>106.00637033635157</v>
      </c>
      <c r="AB18" s="752">
        <v>108.38917414017335</v>
      </c>
      <c r="AC18" s="752">
        <v>110.69246087615031</v>
      </c>
      <c r="AD18" s="752">
        <v>112.950351679587</v>
      </c>
      <c r="AE18" s="752">
        <v>115.16440141682602</v>
      </c>
      <c r="AF18" s="752">
        <v>117.3462460140392</v>
      </c>
      <c r="AG18" s="752">
        <v>118.525001293339</v>
      </c>
      <c r="AH18" s="501">
        <f>AG18</f>
        <v>118.525001293339</v>
      </c>
      <c r="AI18" s="501">
        <f t="shared" ref="AI18:AN18" si="2">AH18</f>
        <v>118.525001293339</v>
      </c>
      <c r="AJ18" s="501">
        <f t="shared" si="2"/>
        <v>118.525001293339</v>
      </c>
      <c r="AK18" s="501">
        <f t="shared" si="2"/>
        <v>118.525001293339</v>
      </c>
      <c r="AL18" s="501">
        <f t="shared" si="2"/>
        <v>118.525001293339</v>
      </c>
      <c r="AM18" s="501">
        <f t="shared" si="2"/>
        <v>118.525001293339</v>
      </c>
      <c r="AN18" s="501">
        <f t="shared" si="2"/>
        <v>118.525001293339</v>
      </c>
    </row>
    <row r="19" spans="2:40" x14ac:dyDescent="0.25">
      <c r="S19" s="165"/>
    </row>
    <row r="20" spans="2:40" x14ac:dyDescent="0.25">
      <c r="S20" s="165"/>
    </row>
    <row r="21" spans="2:40" x14ac:dyDescent="0.25">
      <c r="S21" s="165"/>
    </row>
    <row r="22" spans="2:40" x14ac:dyDescent="0.25">
      <c r="S22" s="165"/>
    </row>
    <row r="23" spans="2:40" x14ac:dyDescent="0.25">
      <c r="B23" s="622"/>
      <c r="C23" s="622"/>
      <c r="D23" s="622"/>
      <c r="E23" s="622"/>
      <c r="H23" s="622"/>
      <c r="I23" s="622"/>
      <c r="J23" s="622"/>
      <c r="K23" t="s">
        <v>1930</v>
      </c>
      <c r="S23" s="165"/>
    </row>
    <row r="24" spans="2:40" ht="29.1" customHeight="1" x14ac:dyDescent="0.25">
      <c r="B24" s="622"/>
      <c r="C24" s="705" t="s">
        <v>1931</v>
      </c>
      <c r="D24" s="622"/>
      <c r="E24" s="622"/>
      <c r="H24" s="622"/>
      <c r="I24" s="622"/>
      <c r="J24" s="622"/>
      <c r="K24" t="s">
        <v>1932</v>
      </c>
      <c r="S24" s="165"/>
    </row>
    <row r="25" spans="2:40" ht="29.1" customHeight="1" x14ac:dyDescent="0.25">
      <c r="B25" s="622"/>
      <c r="C25" s="705" t="s">
        <v>1933</v>
      </c>
      <c r="D25" s="1363" t="s">
        <v>1934</v>
      </c>
      <c r="E25" s="1363"/>
      <c r="F25" s="1363"/>
      <c r="G25" s="622"/>
      <c r="H25" s="622"/>
      <c r="I25" s="622"/>
      <c r="J25" s="622"/>
      <c r="S25" s="165"/>
    </row>
    <row r="26" spans="2:40" ht="72.599999999999994" customHeight="1" x14ac:dyDescent="0.25">
      <c r="B26" s="745">
        <v>44774</v>
      </c>
      <c r="C26" s="622">
        <v>9</v>
      </c>
      <c r="D26" s="622"/>
      <c r="E26" s="622"/>
      <c r="H26" s="622"/>
      <c r="I26" s="622"/>
      <c r="J26" s="705" t="s">
        <v>1935</v>
      </c>
      <c r="K26" s="14" t="s">
        <v>1936</v>
      </c>
      <c r="L26" s="14" t="s">
        <v>1937</v>
      </c>
      <c r="M26" s="14" t="s">
        <v>1938</v>
      </c>
      <c r="N26" s="705" t="s">
        <v>1939</v>
      </c>
      <c r="S26" s="165"/>
    </row>
    <row r="27" spans="2:40" x14ac:dyDescent="0.25">
      <c r="B27" s="745">
        <f>B26+31</f>
        <v>44805</v>
      </c>
      <c r="C27" s="622">
        <v>9</v>
      </c>
      <c r="D27" s="622">
        <v>2022</v>
      </c>
      <c r="E27" s="622" t="s">
        <v>330</v>
      </c>
      <c r="F27">
        <f>SUM(C26:C27)/3</f>
        <v>6</v>
      </c>
      <c r="H27" s="622">
        <v>2022</v>
      </c>
      <c r="I27" s="622" t="s">
        <v>330</v>
      </c>
      <c r="J27" s="165">
        <v>6</v>
      </c>
      <c r="K27" s="165"/>
      <c r="L27" s="165"/>
      <c r="M27" s="165">
        <f>K27+J27</f>
        <v>6</v>
      </c>
      <c r="N27" s="165">
        <f>M27*F$81</f>
        <v>4.0506371546650453</v>
      </c>
      <c r="S27" s="165"/>
    </row>
    <row r="28" spans="2:40" x14ac:dyDescent="0.25">
      <c r="B28" s="745">
        <f t="shared" ref="B28:B57" si="3">B27+31</f>
        <v>44836</v>
      </c>
      <c r="C28" s="622">
        <v>10</v>
      </c>
      <c r="D28" s="622"/>
      <c r="E28" s="622"/>
      <c r="H28" s="622">
        <v>2022</v>
      </c>
      <c r="I28" s="622" t="s">
        <v>774</v>
      </c>
      <c r="J28" s="165">
        <v>10</v>
      </c>
      <c r="K28" s="165"/>
      <c r="L28" s="165"/>
      <c r="M28" s="165">
        <f t="shared" ref="M28:M48" si="4">K28+J28</f>
        <v>10</v>
      </c>
      <c r="N28" s="165">
        <f t="shared" ref="N28:N48" si="5">M28*F$81</f>
        <v>6.7510619244417409</v>
      </c>
      <c r="S28" s="165"/>
    </row>
    <row r="29" spans="2:40" x14ac:dyDescent="0.25">
      <c r="B29" s="745">
        <f t="shared" si="3"/>
        <v>44867</v>
      </c>
      <c r="C29" s="622">
        <v>10</v>
      </c>
      <c r="D29" s="622"/>
      <c r="E29" s="622"/>
      <c r="H29" s="622">
        <v>2023</v>
      </c>
      <c r="I29" s="622" t="s">
        <v>240</v>
      </c>
      <c r="J29" s="165">
        <v>37.666666666666664</v>
      </c>
      <c r="K29" s="165"/>
      <c r="L29" s="165"/>
      <c r="M29" s="165">
        <f t="shared" si="4"/>
        <v>37.666666666666664</v>
      </c>
      <c r="N29" s="165">
        <f t="shared" si="5"/>
        <v>25.428999915397224</v>
      </c>
      <c r="S29" s="165"/>
    </row>
    <row r="30" spans="2:40" x14ac:dyDescent="0.25">
      <c r="B30" s="745">
        <f t="shared" si="3"/>
        <v>44898</v>
      </c>
      <c r="C30" s="622">
        <v>10</v>
      </c>
      <c r="D30" s="622">
        <v>2022</v>
      </c>
      <c r="E30" s="622" t="s">
        <v>774</v>
      </c>
      <c r="F30">
        <f>AVERAGE(C28:C30)</f>
        <v>10</v>
      </c>
      <c r="H30" s="622">
        <v>2023</v>
      </c>
      <c r="I30" s="622" t="s">
        <v>241</v>
      </c>
      <c r="J30" s="165">
        <v>57</v>
      </c>
      <c r="K30" s="165"/>
      <c r="L30" s="165"/>
      <c r="M30" s="165">
        <f t="shared" si="4"/>
        <v>57</v>
      </c>
      <c r="N30" s="165">
        <f t="shared" si="5"/>
        <v>38.481052969317929</v>
      </c>
      <c r="S30" s="165"/>
    </row>
    <row r="31" spans="2:40" x14ac:dyDescent="0.25">
      <c r="B31" s="745">
        <f t="shared" si="3"/>
        <v>44929</v>
      </c>
      <c r="C31" s="622">
        <v>34</v>
      </c>
      <c r="D31" s="622"/>
      <c r="E31" s="622"/>
      <c r="H31" s="622">
        <v>2023</v>
      </c>
      <c r="I31" s="622" t="s">
        <v>330</v>
      </c>
      <c r="J31" s="165">
        <v>76.666666666666671</v>
      </c>
      <c r="K31" s="165"/>
      <c r="L31" s="165"/>
      <c r="M31" s="165">
        <v>76</v>
      </c>
      <c r="N31" s="165">
        <f t="shared" si="5"/>
        <v>51.308070625757232</v>
      </c>
      <c r="S31" s="165"/>
    </row>
    <row r="32" spans="2:40" x14ac:dyDescent="0.25">
      <c r="B32" s="745">
        <f t="shared" si="3"/>
        <v>44960</v>
      </c>
      <c r="C32" s="622">
        <v>35</v>
      </c>
      <c r="D32" s="622"/>
      <c r="E32" s="622"/>
      <c r="H32" s="622">
        <v>2023</v>
      </c>
      <c r="I32" s="622" t="s">
        <v>774</v>
      </c>
      <c r="J32" s="165">
        <v>84</v>
      </c>
      <c r="K32" s="165"/>
      <c r="L32" s="165"/>
      <c r="M32" s="165">
        <v>83.3</v>
      </c>
      <c r="N32" s="165">
        <f t="shared" si="5"/>
        <v>56.236345830599703</v>
      </c>
      <c r="S32" s="165"/>
    </row>
    <row r="33" spans="2:19" x14ac:dyDescent="0.25">
      <c r="B33" s="745">
        <f t="shared" si="3"/>
        <v>44991</v>
      </c>
      <c r="C33" s="622">
        <v>44</v>
      </c>
      <c r="D33" s="622">
        <v>2023</v>
      </c>
      <c r="E33" s="622" t="s">
        <v>240</v>
      </c>
      <c r="F33">
        <f>AVERAGE(C31:C33)</f>
        <v>37.666666666666664</v>
      </c>
      <c r="H33" s="622">
        <v>2024</v>
      </c>
      <c r="I33" s="622" t="s">
        <v>240</v>
      </c>
      <c r="J33" s="165">
        <v>94.333333333333329</v>
      </c>
      <c r="K33" s="165"/>
      <c r="L33" s="165"/>
      <c r="M33" s="165">
        <f t="shared" si="4"/>
        <v>94.333333333333329</v>
      </c>
      <c r="N33" s="165">
        <f t="shared" si="5"/>
        <v>63.685017487233758</v>
      </c>
      <c r="O33" t="s">
        <v>1950</v>
      </c>
      <c r="S33" s="165"/>
    </row>
    <row r="34" spans="2:19" x14ac:dyDescent="0.25">
      <c r="B34" s="745">
        <f t="shared" si="3"/>
        <v>45022</v>
      </c>
      <c r="C34" s="622">
        <v>49</v>
      </c>
      <c r="D34" s="622"/>
      <c r="E34" s="622"/>
      <c r="H34" s="622">
        <v>2024</v>
      </c>
      <c r="I34" s="622" t="s">
        <v>241</v>
      </c>
      <c r="J34" s="165">
        <v>102.66666666666667</v>
      </c>
      <c r="K34" s="165"/>
      <c r="L34" s="165"/>
      <c r="M34" s="165">
        <f t="shared" si="4"/>
        <v>102.66666666666667</v>
      </c>
      <c r="N34" s="165">
        <f t="shared" si="5"/>
        <v>69.310902424268548</v>
      </c>
      <c r="S34" s="165"/>
    </row>
    <row r="35" spans="2:19" x14ac:dyDescent="0.25">
      <c r="B35" s="745">
        <f t="shared" si="3"/>
        <v>45053</v>
      </c>
      <c r="C35" s="622">
        <v>58</v>
      </c>
      <c r="D35" s="622"/>
      <c r="E35" s="622"/>
      <c r="H35" s="622">
        <v>2024</v>
      </c>
      <c r="I35" s="622" t="s">
        <v>330</v>
      </c>
      <c r="J35" s="165">
        <v>92.33</v>
      </c>
      <c r="K35" s="165">
        <f>(+J27)*0.5</f>
        <v>3</v>
      </c>
      <c r="L35" s="165">
        <f>K35</f>
        <v>3</v>
      </c>
      <c r="M35" s="165">
        <f t="shared" si="4"/>
        <v>95.33</v>
      </c>
      <c r="N35" s="165">
        <f t="shared" si="5"/>
        <v>64.357873325703125</v>
      </c>
      <c r="S35" s="165"/>
    </row>
    <row r="36" spans="2:19" x14ac:dyDescent="0.25">
      <c r="B36" s="745">
        <f t="shared" si="3"/>
        <v>45084</v>
      </c>
      <c r="C36" s="622">
        <v>64</v>
      </c>
      <c r="D36" s="622">
        <v>2023</v>
      </c>
      <c r="E36" s="622" t="s">
        <v>241</v>
      </c>
      <c r="F36">
        <f>AVERAGE(C34:C36)</f>
        <v>57</v>
      </c>
      <c r="H36" s="622">
        <v>2024</v>
      </c>
      <c r="I36" s="622" t="s">
        <v>774</v>
      </c>
      <c r="J36" s="165">
        <v>76.7</v>
      </c>
      <c r="K36" s="165">
        <f>(J27+J28)*0.5</f>
        <v>8</v>
      </c>
      <c r="L36" s="165">
        <f>K36</f>
        <v>8</v>
      </c>
      <c r="M36" s="165">
        <f t="shared" si="4"/>
        <v>84.7</v>
      </c>
      <c r="N36" s="165">
        <f t="shared" si="5"/>
        <v>57.18149450002155</v>
      </c>
      <c r="S36" s="165"/>
    </row>
    <row r="37" spans="2:19" x14ac:dyDescent="0.25">
      <c r="B37" s="745">
        <f t="shared" si="3"/>
        <v>45115</v>
      </c>
      <c r="C37" s="622">
        <v>72</v>
      </c>
      <c r="D37" s="622"/>
      <c r="E37" s="622"/>
      <c r="H37" s="622">
        <v>2025</v>
      </c>
      <c r="I37" s="622" t="s">
        <v>240</v>
      </c>
      <c r="J37" s="165">
        <v>60.7</v>
      </c>
      <c r="K37" s="165">
        <f>(J27+J28+J29)*0.5</f>
        <v>26.833333333333332</v>
      </c>
      <c r="L37" s="165">
        <f>K37-10</f>
        <v>16.833333333333332</v>
      </c>
      <c r="M37" s="165">
        <f t="shared" si="4"/>
        <v>87.533333333333331</v>
      </c>
      <c r="N37" s="165">
        <f t="shared" si="5"/>
        <v>59.094295378613374</v>
      </c>
    </row>
    <row r="38" spans="2:19" x14ac:dyDescent="0.25">
      <c r="B38" s="745">
        <f t="shared" si="3"/>
        <v>45146</v>
      </c>
      <c r="C38" s="622">
        <v>76</v>
      </c>
      <c r="D38" s="622"/>
      <c r="E38" s="622"/>
      <c r="H38" s="622">
        <v>2025</v>
      </c>
      <c r="I38" s="622" t="s">
        <v>241</v>
      </c>
      <c r="J38" s="165">
        <v>48.7</v>
      </c>
      <c r="K38" s="165">
        <f t="shared" ref="K38:K50" si="6">(J27+J28+J29+J30)*0.5</f>
        <v>55.333333333333329</v>
      </c>
      <c r="L38" s="165">
        <f>K38-15</f>
        <v>40.333333333333329</v>
      </c>
      <c r="M38" s="165">
        <f t="shared" si="4"/>
        <v>104.03333333333333</v>
      </c>
      <c r="N38" s="165">
        <f t="shared" si="5"/>
        <v>70.233547553942245</v>
      </c>
    </row>
    <row r="39" spans="2:19" x14ac:dyDescent="0.25">
      <c r="B39" s="745">
        <f t="shared" si="3"/>
        <v>45177</v>
      </c>
      <c r="C39" s="622">
        <v>80</v>
      </c>
      <c r="D39" s="622">
        <v>2023</v>
      </c>
      <c r="E39" s="622" t="s">
        <v>330</v>
      </c>
      <c r="F39">
        <f>AVERAGE(C37:C39)</f>
        <v>76</v>
      </c>
      <c r="H39" s="622">
        <v>2025</v>
      </c>
      <c r="I39" s="622" t="s">
        <v>330</v>
      </c>
      <c r="J39" s="165">
        <v>30</v>
      </c>
      <c r="K39" s="165">
        <f t="shared" si="6"/>
        <v>90.666666666666657</v>
      </c>
      <c r="L39" s="165">
        <f>K39</f>
        <v>90.666666666666657</v>
      </c>
      <c r="M39" s="165">
        <f t="shared" si="4"/>
        <v>120.66666666666666</v>
      </c>
      <c r="N39" s="165">
        <f t="shared" si="5"/>
        <v>81.462813888263668</v>
      </c>
    </row>
    <row r="40" spans="2:19" x14ac:dyDescent="0.25">
      <c r="B40" s="745">
        <f t="shared" si="3"/>
        <v>45208</v>
      </c>
      <c r="C40" s="622">
        <v>82</v>
      </c>
      <c r="D40" s="622"/>
      <c r="E40" s="622"/>
      <c r="H40" s="622">
        <v>2025</v>
      </c>
      <c r="I40" s="622" t="s">
        <v>774</v>
      </c>
      <c r="J40" s="165">
        <v>0</v>
      </c>
      <c r="K40" s="165">
        <f t="shared" si="6"/>
        <v>127.66666666666666</v>
      </c>
      <c r="L40" s="165">
        <f>K40+15</f>
        <v>142.66666666666666</v>
      </c>
      <c r="M40" s="165">
        <f t="shared" si="4"/>
        <v>127.66666666666666</v>
      </c>
      <c r="N40" s="165">
        <f t="shared" si="5"/>
        <v>86.188557235372897</v>
      </c>
    </row>
    <row r="41" spans="2:19" x14ac:dyDescent="0.25">
      <c r="B41" s="745">
        <f t="shared" si="3"/>
        <v>45239</v>
      </c>
      <c r="C41" s="622">
        <v>82</v>
      </c>
      <c r="D41" s="622"/>
      <c r="E41" s="622"/>
      <c r="H41" s="622">
        <v>2026</v>
      </c>
      <c r="I41" s="622" t="s">
        <v>240</v>
      </c>
      <c r="J41" s="165">
        <v>0</v>
      </c>
      <c r="K41" s="165">
        <f t="shared" si="6"/>
        <v>156</v>
      </c>
      <c r="L41" s="165">
        <f>K41+10</f>
        <v>166</v>
      </c>
      <c r="M41" s="165">
        <f t="shared" si="4"/>
        <v>156</v>
      </c>
      <c r="N41" s="165">
        <f t="shared" si="5"/>
        <v>105.31656602129117</v>
      </c>
    </row>
    <row r="42" spans="2:19" x14ac:dyDescent="0.25">
      <c r="B42" s="745">
        <f t="shared" si="3"/>
        <v>45270</v>
      </c>
      <c r="C42" s="622">
        <v>86</v>
      </c>
      <c r="D42" s="622">
        <v>2023</v>
      </c>
      <c r="E42" s="622" t="s">
        <v>774</v>
      </c>
      <c r="F42">
        <f>AVERAGE(C40:C42)</f>
        <v>83.333333333333329</v>
      </c>
      <c r="H42" s="622">
        <v>2027</v>
      </c>
      <c r="I42" s="622" t="s">
        <v>241</v>
      </c>
      <c r="J42" s="165">
        <v>0</v>
      </c>
      <c r="K42" s="165">
        <f t="shared" si="6"/>
        <v>178.83333333333334</v>
      </c>
      <c r="L42" s="165">
        <f>K42</f>
        <v>178.83333333333334</v>
      </c>
      <c r="M42" s="165">
        <f t="shared" si="4"/>
        <v>178.83333333333334</v>
      </c>
      <c r="N42" s="165">
        <f t="shared" si="5"/>
        <v>120.73149074876648</v>
      </c>
    </row>
    <row r="43" spans="2:19" x14ac:dyDescent="0.25">
      <c r="B43" s="745">
        <f t="shared" si="3"/>
        <v>45301</v>
      </c>
      <c r="C43" s="622">
        <v>90</v>
      </c>
      <c r="D43" s="622"/>
      <c r="E43" s="622"/>
      <c r="H43" s="622">
        <v>2027</v>
      </c>
      <c r="I43" s="622" t="s">
        <v>330</v>
      </c>
      <c r="J43" s="165"/>
      <c r="K43" s="165">
        <f t="shared" si="6"/>
        <v>186.66499999999999</v>
      </c>
      <c r="L43" s="165">
        <f t="shared" ref="L43:L51" si="7">K43</f>
        <v>186.66499999999999</v>
      </c>
      <c r="M43" s="165">
        <f t="shared" si="4"/>
        <v>186.66499999999999</v>
      </c>
      <c r="N43" s="165">
        <f t="shared" si="5"/>
        <v>126.01869741259176</v>
      </c>
    </row>
    <row r="44" spans="2:19" x14ac:dyDescent="0.25">
      <c r="B44" s="745">
        <f t="shared" si="3"/>
        <v>45332</v>
      </c>
      <c r="C44" s="622">
        <v>95</v>
      </c>
      <c r="D44" s="622"/>
      <c r="E44" s="622"/>
      <c r="H44" s="622">
        <v>2027</v>
      </c>
      <c r="I44" s="622" t="s">
        <v>774</v>
      </c>
      <c r="J44" s="165"/>
      <c r="K44" s="165">
        <f t="shared" si="6"/>
        <v>183.01499999999999</v>
      </c>
      <c r="L44" s="165">
        <f t="shared" si="7"/>
        <v>183.01499999999999</v>
      </c>
      <c r="M44" s="165">
        <f t="shared" si="4"/>
        <v>183.01499999999999</v>
      </c>
      <c r="N44" s="165">
        <f t="shared" si="5"/>
        <v>123.55455981017052</v>
      </c>
    </row>
    <row r="45" spans="2:19" x14ac:dyDescent="0.25">
      <c r="B45" s="745">
        <f t="shared" si="3"/>
        <v>45363</v>
      </c>
      <c r="C45" s="622">
        <v>98</v>
      </c>
      <c r="D45" s="622">
        <v>2024</v>
      </c>
      <c r="E45" s="622" t="s">
        <v>240</v>
      </c>
      <c r="F45">
        <f>AVERAGE(C43:C45)</f>
        <v>94.333333333333329</v>
      </c>
      <c r="H45" s="622">
        <v>2028</v>
      </c>
      <c r="I45" s="622" t="s">
        <v>240</v>
      </c>
      <c r="J45" s="165"/>
      <c r="K45" s="165">
        <f t="shared" si="6"/>
        <v>166.19833333333332</v>
      </c>
      <c r="L45" s="165">
        <f t="shared" si="7"/>
        <v>166.19833333333332</v>
      </c>
      <c r="M45" s="165">
        <f t="shared" si="4"/>
        <v>166.19833333333332</v>
      </c>
      <c r="N45" s="165">
        <f t="shared" si="5"/>
        <v>112.20152400723433</v>
      </c>
    </row>
    <row r="46" spans="2:19" x14ac:dyDescent="0.25">
      <c r="B46" s="745">
        <f t="shared" si="3"/>
        <v>45394</v>
      </c>
      <c r="C46" s="622">
        <v>98</v>
      </c>
      <c r="D46" s="622"/>
      <c r="E46" s="622"/>
      <c r="H46" s="622">
        <v>2028</v>
      </c>
      <c r="I46" s="622" t="s">
        <v>241</v>
      </c>
      <c r="J46" s="165"/>
      <c r="K46" s="165">
        <f t="shared" si="6"/>
        <v>139.215</v>
      </c>
      <c r="L46" s="165">
        <f t="shared" si="7"/>
        <v>139.215</v>
      </c>
      <c r="M46" s="165">
        <f t="shared" si="4"/>
        <v>139.215</v>
      </c>
      <c r="N46" s="165">
        <f t="shared" si="5"/>
        <v>93.984908581115704</v>
      </c>
    </row>
    <row r="47" spans="2:19" x14ac:dyDescent="0.25">
      <c r="B47" s="745">
        <f t="shared" si="3"/>
        <v>45425</v>
      </c>
      <c r="C47" s="622">
        <v>104</v>
      </c>
      <c r="D47" s="622"/>
      <c r="E47" s="622"/>
      <c r="H47" s="622">
        <v>2028</v>
      </c>
      <c r="I47" s="622" t="s">
        <v>330</v>
      </c>
      <c r="J47" s="165"/>
      <c r="K47" s="165">
        <f t="shared" si="6"/>
        <v>108.05000000000001</v>
      </c>
      <c r="L47" s="165">
        <f t="shared" si="7"/>
        <v>108.05000000000001</v>
      </c>
      <c r="M47" s="165">
        <f t="shared" si="4"/>
        <v>108.05000000000001</v>
      </c>
      <c r="N47" s="165">
        <f t="shared" si="5"/>
        <v>72.945224093593026</v>
      </c>
    </row>
    <row r="48" spans="2:19" x14ac:dyDescent="0.25">
      <c r="B48" s="745">
        <f t="shared" si="3"/>
        <v>45456</v>
      </c>
      <c r="C48" s="622">
        <v>106</v>
      </c>
      <c r="D48" s="622">
        <v>2024</v>
      </c>
      <c r="E48" s="622" t="s">
        <v>241</v>
      </c>
      <c r="F48">
        <f>AVERAGE(C46:C48)</f>
        <v>102.66666666666667</v>
      </c>
      <c r="H48" s="622">
        <v>2028</v>
      </c>
      <c r="I48" s="622" t="s">
        <v>774</v>
      </c>
      <c r="J48" s="165"/>
      <c r="K48" s="165">
        <f t="shared" si="6"/>
        <v>69.7</v>
      </c>
      <c r="L48" s="165">
        <f t="shared" si="7"/>
        <v>69.7</v>
      </c>
      <c r="M48" s="165">
        <f t="shared" si="4"/>
        <v>69.7</v>
      </c>
      <c r="N48" s="165">
        <f t="shared" si="5"/>
        <v>47.054901613358936</v>
      </c>
    </row>
    <row r="49" spans="2:14" x14ac:dyDescent="0.25">
      <c r="B49" s="745">
        <f t="shared" si="3"/>
        <v>45487</v>
      </c>
      <c r="C49" s="622">
        <v>96</v>
      </c>
      <c r="D49" s="622"/>
      <c r="E49" s="622"/>
      <c r="H49" s="622" t="s">
        <v>322</v>
      </c>
      <c r="I49" s="622" t="s">
        <v>322</v>
      </c>
      <c r="J49" s="622"/>
      <c r="K49" s="165">
        <f t="shared" si="6"/>
        <v>39.35</v>
      </c>
      <c r="L49" s="165">
        <f t="shared" si="7"/>
        <v>39.35</v>
      </c>
      <c r="M49" s="165"/>
      <c r="N49" s="165"/>
    </row>
    <row r="50" spans="2:14" x14ac:dyDescent="0.25">
      <c r="B50" s="745">
        <f t="shared" si="3"/>
        <v>45518</v>
      </c>
      <c r="C50" s="622">
        <v>93</v>
      </c>
      <c r="D50" s="622"/>
      <c r="E50" s="622"/>
      <c r="H50" s="622" t="s">
        <v>322</v>
      </c>
      <c r="I50" s="622" t="s">
        <v>322</v>
      </c>
      <c r="J50" s="622"/>
      <c r="K50" s="165">
        <f t="shared" si="6"/>
        <v>15</v>
      </c>
      <c r="L50" s="165">
        <f t="shared" si="7"/>
        <v>15</v>
      </c>
      <c r="M50" s="165"/>
      <c r="N50" s="165"/>
    </row>
    <row r="51" spans="2:14" x14ac:dyDescent="0.25">
      <c r="B51" s="745">
        <f t="shared" si="3"/>
        <v>45549</v>
      </c>
      <c r="C51" s="622">
        <v>88</v>
      </c>
      <c r="D51" s="622">
        <v>2024</v>
      </c>
      <c r="E51" s="622" t="s">
        <v>330</v>
      </c>
      <c r="F51">
        <f>AVERAGE(C49:C51)</f>
        <v>92.333333333333329</v>
      </c>
      <c r="H51" s="622" t="s">
        <v>322</v>
      </c>
      <c r="I51" s="622" t="s">
        <v>322</v>
      </c>
      <c r="J51" s="622"/>
      <c r="K51" s="165">
        <f t="shared" ref="K51" si="8">J41+J42+J43</f>
        <v>0</v>
      </c>
      <c r="L51" s="165">
        <f t="shared" si="7"/>
        <v>0</v>
      </c>
      <c r="M51" s="165"/>
      <c r="N51" s="165"/>
    </row>
    <row r="52" spans="2:14" x14ac:dyDescent="0.25">
      <c r="B52" s="745">
        <f t="shared" si="3"/>
        <v>45580</v>
      </c>
      <c r="C52" s="622">
        <v>80</v>
      </c>
      <c r="D52" s="622"/>
      <c r="E52" s="622"/>
      <c r="H52" s="622" t="s">
        <v>322</v>
      </c>
      <c r="I52" s="622" t="s">
        <v>322</v>
      </c>
      <c r="J52" s="622">
        <f>SUM(J27:J51)</f>
        <v>776.76333333333343</v>
      </c>
      <c r="K52">
        <f>SUM(K27:K51)</f>
        <v>1553.5266666666664</v>
      </c>
      <c r="L52">
        <f>SUM(L27:L51)</f>
        <v>1553.5266666666664</v>
      </c>
    </row>
    <row r="53" spans="2:14" x14ac:dyDescent="0.25">
      <c r="B53" s="745">
        <f t="shared" si="3"/>
        <v>45611</v>
      </c>
      <c r="C53" s="622">
        <v>76</v>
      </c>
      <c r="D53" s="622"/>
      <c r="E53" s="622"/>
      <c r="H53" s="622"/>
      <c r="I53" s="622"/>
      <c r="J53" s="622"/>
    </row>
    <row r="54" spans="2:14" x14ac:dyDescent="0.25">
      <c r="B54" s="745">
        <f t="shared" si="3"/>
        <v>45642</v>
      </c>
      <c r="C54" s="622">
        <v>74</v>
      </c>
      <c r="D54" s="622">
        <v>2024</v>
      </c>
      <c r="E54" s="622" t="s">
        <v>774</v>
      </c>
      <c r="F54">
        <f>AVERAGE(C52:C54)</f>
        <v>76.666666666666671</v>
      </c>
      <c r="H54" s="622"/>
      <c r="I54" s="622"/>
      <c r="J54" s="622"/>
    </row>
    <row r="55" spans="2:14" x14ac:dyDescent="0.25">
      <c r="B55" s="745">
        <f t="shared" si="3"/>
        <v>45673</v>
      </c>
      <c r="C55" s="622">
        <v>66</v>
      </c>
      <c r="D55" s="622"/>
      <c r="E55" s="622"/>
      <c r="H55" s="622"/>
      <c r="I55" s="622"/>
      <c r="J55" s="622"/>
    </row>
    <row r="56" spans="2:14" x14ac:dyDescent="0.25">
      <c r="B56" s="745">
        <f t="shared" si="3"/>
        <v>45704</v>
      </c>
      <c r="C56" s="622">
        <v>58</v>
      </c>
      <c r="D56" s="622"/>
      <c r="E56" s="622"/>
      <c r="H56" s="622"/>
      <c r="I56" s="622"/>
      <c r="J56" s="622"/>
    </row>
    <row r="57" spans="2:14" x14ac:dyDescent="0.25">
      <c r="B57" s="745">
        <f t="shared" si="3"/>
        <v>45735</v>
      </c>
      <c r="C57" s="622">
        <v>58</v>
      </c>
      <c r="D57" s="622">
        <v>2025</v>
      </c>
      <c r="E57" s="622" t="s">
        <v>240</v>
      </c>
      <c r="F57">
        <f>AVERAGE(C55:C57)</f>
        <v>60.666666666666664</v>
      </c>
      <c r="H57" s="622"/>
      <c r="I57" s="622"/>
      <c r="J57" s="622"/>
    </row>
    <row r="58" spans="2:14" x14ac:dyDescent="0.25">
      <c r="B58" s="745"/>
      <c r="C58" s="746">
        <v>50</v>
      </c>
      <c r="D58" s="622"/>
      <c r="E58" s="622"/>
      <c r="H58" s="622"/>
      <c r="I58" s="622"/>
      <c r="J58" s="622"/>
    </row>
    <row r="59" spans="2:14" x14ac:dyDescent="0.25">
      <c r="B59" s="745"/>
      <c r="C59" s="746">
        <v>48</v>
      </c>
      <c r="D59" s="622"/>
      <c r="E59" s="622"/>
      <c r="H59" s="622"/>
      <c r="I59" s="622"/>
      <c r="J59" s="622"/>
    </row>
    <row r="60" spans="2:14" x14ac:dyDescent="0.25">
      <c r="B60" s="622"/>
      <c r="C60" s="746">
        <v>48</v>
      </c>
      <c r="D60" s="622">
        <v>2025</v>
      </c>
      <c r="E60" s="622" t="s">
        <v>241</v>
      </c>
      <c r="F60">
        <f>AVERAGE(C58:C60)</f>
        <v>48.666666666666664</v>
      </c>
      <c r="H60" s="622"/>
      <c r="I60" s="622"/>
      <c r="J60" s="622"/>
    </row>
    <row r="61" spans="2:14" x14ac:dyDescent="0.25">
      <c r="B61" s="622"/>
      <c r="C61" s="622">
        <v>40</v>
      </c>
      <c r="D61" s="622"/>
      <c r="E61" s="622"/>
      <c r="H61" s="622"/>
      <c r="I61" s="622"/>
      <c r="J61" s="622"/>
    </row>
    <row r="62" spans="2:14" x14ac:dyDescent="0.25">
      <c r="B62" s="622"/>
      <c r="C62" s="746">
        <v>30</v>
      </c>
      <c r="D62" s="622"/>
      <c r="E62" s="622"/>
      <c r="H62" s="622"/>
      <c r="I62" s="622"/>
      <c r="J62" s="622"/>
    </row>
    <row r="63" spans="2:14" x14ac:dyDescent="0.25">
      <c r="B63" s="622"/>
      <c r="C63" s="746">
        <v>20</v>
      </c>
      <c r="D63" s="622"/>
      <c r="E63" s="622"/>
      <c r="F63">
        <f>AVERAGE(C61:C63)</f>
        <v>30</v>
      </c>
      <c r="H63" s="622"/>
      <c r="I63" s="622"/>
      <c r="J63" s="622"/>
    </row>
    <row r="64" spans="2:14" x14ac:dyDescent="0.25">
      <c r="B64" s="622"/>
      <c r="C64" s="622"/>
      <c r="D64" s="622"/>
      <c r="E64" s="622"/>
      <c r="H64" s="622"/>
      <c r="I64" s="622"/>
      <c r="J64" s="622"/>
    </row>
    <row r="65" spans="2:10" x14ac:dyDescent="0.25">
      <c r="B65" s="622"/>
      <c r="C65" s="705"/>
      <c r="D65" s="747"/>
      <c r="E65" s="705"/>
      <c r="H65" s="622"/>
      <c r="I65" s="622"/>
      <c r="J65" s="622"/>
    </row>
    <row r="66" spans="2:10" x14ac:dyDescent="0.25">
      <c r="B66" s="622"/>
      <c r="C66" s="622"/>
      <c r="D66" s="622"/>
      <c r="E66" s="622"/>
      <c r="F66" t="e">
        <f>AVERAGE(C64:C66)</f>
        <v>#DIV/0!</v>
      </c>
      <c r="H66" s="622"/>
      <c r="I66" s="622"/>
      <c r="J66" s="622"/>
    </row>
    <row r="67" spans="2:10" x14ac:dyDescent="0.25">
      <c r="B67" s="622"/>
      <c r="C67" s="622"/>
      <c r="D67" s="744"/>
      <c r="E67" s="622"/>
      <c r="H67" s="622"/>
      <c r="I67" s="622"/>
      <c r="J67" s="622"/>
    </row>
    <row r="68" spans="2:10" x14ac:dyDescent="0.25">
      <c r="B68" s="622"/>
      <c r="C68" s="622"/>
      <c r="D68" s="744"/>
      <c r="E68" s="744"/>
      <c r="H68" s="622"/>
      <c r="I68" s="622"/>
      <c r="J68" s="622"/>
    </row>
    <row r="69" spans="2:10" x14ac:dyDescent="0.25">
      <c r="B69" s="748"/>
      <c r="C69" s="749"/>
      <c r="D69" s="750"/>
      <c r="E69" s="622"/>
      <c r="H69" s="622"/>
      <c r="I69" s="622"/>
      <c r="J69" s="622"/>
    </row>
    <row r="70" spans="2:10" x14ac:dyDescent="0.25">
      <c r="B70" s="744" t="s">
        <v>1940</v>
      </c>
      <c r="C70" s="744"/>
      <c r="D70" s="750"/>
      <c r="E70" s="622"/>
      <c r="H70" s="622"/>
      <c r="I70" s="622"/>
      <c r="J70" s="622"/>
    </row>
    <row r="71" spans="2:10" x14ac:dyDescent="0.25">
      <c r="B71" s="744" t="s">
        <v>1941</v>
      </c>
      <c r="C71" s="744"/>
      <c r="D71" s="750"/>
      <c r="E71" s="622"/>
      <c r="H71" s="622"/>
      <c r="I71" s="622"/>
      <c r="J71" s="622"/>
    </row>
    <row r="72" spans="2:10" x14ac:dyDescent="0.25">
      <c r="B72" s="744" t="s">
        <v>1942</v>
      </c>
      <c r="C72" s="744"/>
      <c r="D72" s="750"/>
      <c r="E72" s="622"/>
      <c r="H72" s="622"/>
      <c r="I72" s="622"/>
      <c r="J72" s="622"/>
    </row>
    <row r="73" spans="2:10" x14ac:dyDescent="0.25">
      <c r="B73" s="744" t="s">
        <v>1943</v>
      </c>
      <c r="C73" s="744"/>
      <c r="D73" s="750"/>
      <c r="E73" s="622"/>
      <c r="H73" s="622" t="s">
        <v>1944</v>
      </c>
      <c r="I73" s="622"/>
      <c r="J73" s="622"/>
    </row>
    <row r="74" spans="2:10" x14ac:dyDescent="0.25">
      <c r="B74" s="744" t="s">
        <v>1945</v>
      </c>
      <c r="C74" s="744"/>
      <c r="D74" s="750"/>
      <c r="E74" s="622"/>
      <c r="H74" s="622" t="s">
        <v>1946</v>
      </c>
      <c r="I74" s="622"/>
      <c r="J74" s="622"/>
    </row>
    <row r="75" spans="2:10" x14ac:dyDescent="0.25">
      <c r="B75" s="744" t="s">
        <v>1850</v>
      </c>
      <c r="C75" s="744"/>
      <c r="D75" s="622"/>
      <c r="E75" s="622"/>
      <c r="H75" s="622"/>
      <c r="I75" s="622"/>
      <c r="J75" s="622"/>
    </row>
    <row r="76" spans="2:10" x14ac:dyDescent="0.25">
      <c r="B76" s="622"/>
      <c r="C76" s="622"/>
      <c r="D76" s="622"/>
      <c r="E76" s="622"/>
      <c r="H76" s="622"/>
      <c r="I76" s="622"/>
      <c r="J76" s="622"/>
    </row>
    <row r="77" spans="2:10" x14ac:dyDescent="0.25">
      <c r="B77" s="744" t="s">
        <v>1947</v>
      </c>
      <c r="C77" s="744" t="s">
        <v>1948</v>
      </c>
      <c r="D77" s="622"/>
      <c r="E77" s="622"/>
      <c r="H77" s="622"/>
      <c r="I77" s="622"/>
      <c r="J77" s="622"/>
    </row>
    <row r="78" spans="2:10" x14ac:dyDescent="0.25">
      <c r="B78" s="622"/>
      <c r="C78" s="622"/>
      <c r="D78" s="622"/>
      <c r="E78" s="622"/>
      <c r="H78" s="622"/>
      <c r="I78" s="622"/>
      <c r="J78" s="622"/>
    </row>
    <row r="79" spans="2:10" x14ac:dyDescent="0.25">
      <c r="B79" s="744" t="s">
        <v>1949</v>
      </c>
      <c r="C79" s="744"/>
      <c r="D79" s="622"/>
      <c r="E79" s="622"/>
      <c r="H79" s="622"/>
      <c r="I79" s="622"/>
      <c r="J79" s="622"/>
    </row>
    <row r="80" spans="2:10" x14ac:dyDescent="0.25">
      <c r="B80" s="744" t="s">
        <v>1851</v>
      </c>
      <c r="C80" s="744" t="s">
        <v>1947</v>
      </c>
      <c r="D80" s="622"/>
      <c r="E80" s="622"/>
      <c r="H80" s="622"/>
      <c r="I80" s="622"/>
      <c r="J80" s="622"/>
    </row>
    <row r="81" spans="2:10" x14ac:dyDescent="0.25">
      <c r="B81" s="751">
        <v>42736</v>
      </c>
      <c r="C81" s="750">
        <v>234.95833333333334</v>
      </c>
      <c r="D81" s="622"/>
      <c r="E81" s="622"/>
      <c r="F81">
        <f>C81/C86</f>
        <v>0.67510619244417414</v>
      </c>
      <c r="H81" s="622"/>
      <c r="I81" s="622"/>
      <c r="J81" s="622"/>
    </row>
    <row r="82" spans="2:10" x14ac:dyDescent="0.25">
      <c r="B82" s="751">
        <v>43101</v>
      </c>
      <c r="C82" s="750">
        <v>247.02500000000001</v>
      </c>
      <c r="D82" s="622"/>
      <c r="E82" s="622"/>
      <c r="H82" s="622"/>
      <c r="I82" s="622"/>
      <c r="J82" s="622"/>
    </row>
    <row r="83" spans="2:10" x14ac:dyDescent="0.25">
      <c r="B83" s="751">
        <v>43466</v>
      </c>
      <c r="C83" s="750">
        <v>251.27500000000001</v>
      </c>
      <c r="D83" s="622"/>
      <c r="E83" s="622"/>
      <c r="H83" s="622"/>
      <c r="I83" s="622"/>
      <c r="J83" s="622"/>
    </row>
    <row r="84" spans="2:10" x14ac:dyDescent="0.25">
      <c r="B84" s="751">
        <v>43831</v>
      </c>
      <c r="C84" s="750">
        <v>256.94166666666666</v>
      </c>
      <c r="D84" s="622"/>
      <c r="E84" s="622"/>
      <c r="H84" s="622"/>
      <c r="I84" s="622"/>
      <c r="J84" s="622"/>
    </row>
    <row r="85" spans="2:10" x14ac:dyDescent="0.25">
      <c r="B85" s="751">
        <v>44197</v>
      </c>
      <c r="C85" s="750">
        <v>298.95841666666666</v>
      </c>
      <c r="D85" s="622"/>
      <c r="E85" s="622"/>
      <c r="H85" s="622"/>
      <c r="I85" s="622"/>
      <c r="J85" s="622"/>
    </row>
    <row r="86" spans="2:10" x14ac:dyDescent="0.25">
      <c r="B86" s="751">
        <v>44562</v>
      </c>
      <c r="C86" s="750">
        <v>348.03166666666669</v>
      </c>
      <c r="D86" s="622"/>
      <c r="E86" s="622"/>
      <c r="H86" s="622"/>
      <c r="I86" s="622"/>
      <c r="J86" s="622"/>
    </row>
    <row r="87" spans="2:10" x14ac:dyDescent="0.25">
      <c r="B87" s="751">
        <v>44927</v>
      </c>
      <c r="C87" s="750">
        <v>351.04091666666665</v>
      </c>
      <c r="D87" s="622"/>
      <c r="E87" s="622"/>
      <c r="H87" s="622"/>
      <c r="I87" s="622"/>
      <c r="J87" s="622"/>
    </row>
    <row r="88" spans="2:10" x14ac:dyDescent="0.25">
      <c r="B88" s="751">
        <v>45292</v>
      </c>
      <c r="C88" s="744">
        <v>0</v>
      </c>
      <c r="D88" s="622"/>
      <c r="E88" s="622"/>
      <c r="H88" s="622"/>
      <c r="I88" s="622"/>
      <c r="J88" s="622"/>
    </row>
  </sheetData>
  <mergeCells count="15">
    <mergeCell ref="AK8:AN8"/>
    <mergeCell ref="W7:AN7"/>
    <mergeCell ref="D25:F25"/>
    <mergeCell ref="Y8:AB8"/>
    <mergeCell ref="AC8:AF8"/>
    <mergeCell ref="AG8:AJ8"/>
    <mergeCell ref="B1:AC1"/>
    <mergeCell ref="B2:R4"/>
    <mergeCell ref="T2:AC4"/>
    <mergeCell ref="B7:C9"/>
    <mergeCell ref="D7:V7"/>
    <mergeCell ref="E8:H8"/>
    <mergeCell ref="I8:L8"/>
    <mergeCell ref="M8:P8"/>
    <mergeCell ref="Q8:T8"/>
  </mergeCells>
  <pageMargins left="0.7" right="0.7" top="0.75" bottom="0.75" header="0.3" footer="0.3"/>
  <pageSetup paperSize="9" orientation="portrait" horizontalDpi="300" verticalDpi="300"/>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C1:BT149"/>
  <sheetViews>
    <sheetView topLeftCell="C1" zoomScale="85" zoomScaleNormal="85" workbookViewId="0">
      <pane xSplit="2" ySplit="3" topLeftCell="N4" activePane="bottomRight" state="frozen"/>
      <selection activeCell="C1" sqref="C1"/>
      <selection pane="topRight" activeCell="E1" sqref="E1"/>
      <selection pane="bottomLeft" activeCell="C4" sqref="C4"/>
      <selection pane="bottomRight" activeCell="N23" sqref="N23"/>
    </sheetView>
  </sheetViews>
  <sheetFormatPr defaultColWidth="10.85546875" defaultRowHeight="15" x14ac:dyDescent="0.25"/>
  <cols>
    <col min="1" max="2" width="0" hidden="1" customWidth="1"/>
    <col min="3" max="3" width="18" customWidth="1"/>
    <col min="4" max="4" width="45.140625" customWidth="1"/>
    <col min="5" max="5" width="11.140625" customWidth="1"/>
    <col min="11" max="11" width="15.42578125" customWidth="1"/>
    <col min="12" max="12" width="15.7109375" customWidth="1"/>
    <col min="13" max="13" width="12.42578125" customWidth="1"/>
    <col min="14" max="15" width="13.42578125" customWidth="1"/>
    <col min="16" max="16" width="11.140625" customWidth="1"/>
    <col min="19" max="19" width="12" customWidth="1"/>
    <col min="31" max="31" width="17.85546875" customWidth="1"/>
  </cols>
  <sheetData>
    <row r="1" spans="4:57" x14ac:dyDescent="0.25">
      <c r="D1" s="1264" t="s">
        <v>58</v>
      </c>
      <c r="E1" s="1264"/>
      <c r="F1" s="1264"/>
      <c r="G1" s="1264"/>
      <c r="H1" s="1264"/>
      <c r="I1" s="1264"/>
      <c r="J1" s="1264"/>
      <c r="K1" s="1264"/>
      <c r="L1" s="1264"/>
      <c r="M1" s="1264"/>
      <c r="N1" s="1264"/>
      <c r="O1" s="1264"/>
      <c r="P1" s="1264"/>
      <c r="Q1" s="1264"/>
      <c r="R1" s="1264"/>
      <c r="S1" s="1264"/>
      <c r="T1" s="1264"/>
      <c r="U1" s="1264"/>
      <c r="V1" s="1264"/>
      <c r="W1" s="1264"/>
      <c r="X1" s="1264"/>
      <c r="Y1" s="1264"/>
      <c r="Z1" s="1264"/>
      <c r="AA1" s="1264"/>
      <c r="AB1" s="1264"/>
      <c r="AC1" s="1264"/>
    </row>
    <row r="2" spans="4:57" ht="14.25" customHeight="1" x14ac:dyDescent="0.25">
      <c r="D2" s="1306" t="s">
        <v>906</v>
      </c>
      <c r="E2" s="1306"/>
      <c r="F2" s="1306"/>
      <c r="G2" s="1306"/>
      <c r="H2" s="1306"/>
      <c r="I2" s="1306"/>
      <c r="J2" s="1306"/>
      <c r="K2" s="1306"/>
      <c r="L2" s="1306"/>
      <c r="M2" s="1306"/>
      <c r="N2" s="1306"/>
      <c r="O2" s="1306"/>
      <c r="P2" s="1306"/>
      <c r="Q2" s="1306"/>
      <c r="R2" s="1306"/>
      <c r="S2" s="1306"/>
      <c r="T2" s="1306"/>
      <c r="U2" s="1306"/>
      <c r="V2" s="1306"/>
      <c r="W2" s="1306"/>
      <c r="X2" s="1306"/>
      <c r="Y2" s="1306"/>
      <c r="Z2" s="1306"/>
      <c r="AA2" s="1306"/>
      <c r="AB2" s="1306"/>
      <c r="AC2" s="1306"/>
    </row>
    <row r="3" spans="4:57" ht="84.75" customHeight="1" x14ac:dyDescent="0.25">
      <c r="D3" s="1306"/>
      <c r="E3" s="1306"/>
      <c r="F3" s="1306"/>
      <c r="G3" s="1306"/>
      <c r="H3" s="1306"/>
      <c r="I3" s="1306"/>
      <c r="J3" s="1306"/>
      <c r="K3" s="1306"/>
      <c r="L3" s="1306"/>
      <c r="M3" s="1306"/>
      <c r="N3" s="1306"/>
      <c r="O3" s="1306"/>
      <c r="P3" s="1306"/>
      <c r="Q3" s="1306"/>
      <c r="R3" s="1306"/>
      <c r="S3" s="1306"/>
      <c r="T3" s="1306"/>
      <c r="U3" s="1306"/>
      <c r="V3" s="1306"/>
      <c r="W3" s="1306"/>
      <c r="X3" s="1306"/>
      <c r="Y3" s="1306"/>
      <c r="Z3" s="1306"/>
      <c r="AA3" s="1306"/>
      <c r="AB3" s="1306"/>
      <c r="AC3" s="1306"/>
    </row>
    <row r="4" spans="4:57" x14ac:dyDescent="0.25">
      <c r="D4" s="876" t="s">
        <v>332</v>
      </c>
      <c r="W4" s="56"/>
    </row>
    <row r="5" spans="4:57" x14ac:dyDescent="0.25">
      <c r="D5" s="1269" t="s">
        <v>402</v>
      </c>
      <c r="E5" s="1270"/>
      <c r="F5" s="1364" t="s">
        <v>279</v>
      </c>
      <c r="G5" s="1365"/>
      <c r="H5" s="1365"/>
      <c r="I5" s="1365"/>
      <c r="J5" s="1365"/>
      <c r="K5" s="1365"/>
      <c r="L5" s="1365"/>
      <c r="M5" s="1365"/>
      <c r="N5" s="1365"/>
      <c r="O5" s="1365"/>
      <c r="P5" s="1365"/>
      <c r="Q5" s="1365"/>
      <c r="R5" s="1365"/>
      <c r="S5" s="1365"/>
      <c r="T5" s="1365"/>
      <c r="U5" s="1365"/>
      <c r="V5" s="1365"/>
      <c r="W5" s="1365"/>
      <c r="X5" s="1365"/>
      <c r="Y5" s="1365"/>
      <c r="Z5" s="1365"/>
      <c r="AA5" s="1365"/>
      <c r="AB5" s="1366"/>
      <c r="AC5" s="1296" t="s">
        <v>280</v>
      </c>
      <c r="AD5" s="1277"/>
      <c r="AE5" s="1277"/>
      <c r="AF5" s="1277"/>
      <c r="AG5" s="1277"/>
      <c r="AH5" s="1277"/>
      <c r="AI5" s="1277"/>
      <c r="AJ5" s="1277"/>
      <c r="AK5" s="1277"/>
      <c r="AL5" s="1277"/>
      <c r="AM5" s="1277"/>
      <c r="AN5" s="1278"/>
      <c r="AO5" s="802"/>
      <c r="AP5" s="802"/>
      <c r="AQ5" s="802"/>
      <c r="AR5" s="802"/>
      <c r="AS5" s="802"/>
      <c r="AT5" s="802"/>
      <c r="AU5" s="802"/>
      <c r="AV5" s="802"/>
      <c r="AW5" s="802"/>
      <c r="AX5" s="802"/>
      <c r="AY5" s="802"/>
      <c r="AZ5" s="802"/>
      <c r="BA5" s="802"/>
      <c r="BB5" s="802"/>
      <c r="BC5" s="802"/>
      <c r="BD5" s="802"/>
      <c r="BE5" s="802"/>
    </row>
    <row r="6" spans="4:57" x14ac:dyDescent="0.25">
      <c r="D6" s="1271"/>
      <c r="E6" s="1314"/>
      <c r="F6" s="1266">
        <v>2019</v>
      </c>
      <c r="G6" s="1267"/>
      <c r="H6" s="1328"/>
      <c r="I6" s="1267">
        <v>2020</v>
      </c>
      <c r="J6" s="1267"/>
      <c r="K6" s="1267"/>
      <c r="L6" s="1267"/>
      <c r="M6" s="1288">
        <v>2021</v>
      </c>
      <c r="N6" s="1289"/>
      <c r="O6" s="1289"/>
      <c r="P6" s="1289"/>
      <c r="Q6" s="1288">
        <v>2022</v>
      </c>
      <c r="R6" s="1300"/>
      <c r="S6" s="1300"/>
      <c r="T6" s="1290"/>
      <c r="U6" s="1288">
        <v>2023</v>
      </c>
      <c r="V6" s="1300"/>
      <c r="W6" s="1300"/>
      <c r="X6" s="1290"/>
      <c r="Y6" s="441"/>
      <c r="Z6" s="431"/>
      <c r="AA6" s="431">
        <v>2024</v>
      </c>
      <c r="AB6" s="298"/>
      <c r="AC6" s="1275">
        <v>2025</v>
      </c>
      <c r="AD6" s="1281"/>
      <c r="AE6" s="1281"/>
      <c r="AF6" s="1280"/>
      <c r="AG6" s="1275">
        <v>2026</v>
      </c>
      <c r="AH6" s="1281"/>
      <c r="AI6" s="1281"/>
      <c r="AJ6" s="1280"/>
      <c r="AK6" s="1275">
        <v>2027</v>
      </c>
      <c r="AL6" s="1281"/>
      <c r="AM6" s="1281"/>
      <c r="AN6" s="1280"/>
      <c r="AO6" s="803"/>
      <c r="AP6" s="803"/>
      <c r="AQ6" s="803"/>
      <c r="AR6" s="803"/>
      <c r="AS6" s="803"/>
      <c r="AT6" s="803"/>
      <c r="AU6" s="803"/>
      <c r="AV6" s="803"/>
      <c r="AW6" s="803"/>
      <c r="AX6" s="803"/>
      <c r="AY6" s="803"/>
      <c r="AZ6" s="803"/>
      <c r="BA6" s="803"/>
      <c r="BB6" s="803"/>
      <c r="BC6" s="803"/>
      <c r="BD6" s="803"/>
    </row>
    <row r="7" spans="4:57" x14ac:dyDescent="0.25">
      <c r="D7" s="1273"/>
      <c r="E7" s="1315"/>
      <c r="F7" s="214" t="s">
        <v>283</v>
      </c>
      <c r="G7" s="215" t="s">
        <v>238</v>
      </c>
      <c r="H7" s="221" t="s">
        <v>281</v>
      </c>
      <c r="I7" s="215" t="s">
        <v>282</v>
      </c>
      <c r="J7" s="215" t="s">
        <v>283</v>
      </c>
      <c r="K7" s="215" t="s">
        <v>238</v>
      </c>
      <c r="L7" s="215" t="s">
        <v>281</v>
      </c>
      <c r="M7" s="214" t="s">
        <v>282</v>
      </c>
      <c r="N7" s="215" t="s">
        <v>283</v>
      </c>
      <c r="O7" s="215" t="s">
        <v>238</v>
      </c>
      <c r="P7" s="215" t="s">
        <v>281</v>
      </c>
      <c r="Q7" s="214" t="s">
        <v>282</v>
      </c>
      <c r="R7" s="215" t="s">
        <v>283</v>
      </c>
      <c r="S7" s="215" t="s">
        <v>238</v>
      </c>
      <c r="T7" s="221" t="s">
        <v>281</v>
      </c>
      <c r="U7" s="215" t="s">
        <v>282</v>
      </c>
      <c r="V7" s="276" t="s">
        <v>283</v>
      </c>
      <c r="W7" s="215" t="s">
        <v>238</v>
      </c>
      <c r="X7" s="221" t="s">
        <v>281</v>
      </c>
      <c r="Y7" s="214" t="s">
        <v>282</v>
      </c>
      <c r="Z7" s="295" t="s">
        <v>283</v>
      </c>
      <c r="AA7" s="215" t="s">
        <v>238</v>
      </c>
      <c r="AB7" s="215" t="s">
        <v>281</v>
      </c>
      <c r="AC7" s="275" t="s">
        <v>282</v>
      </c>
      <c r="AD7" s="260" t="s">
        <v>283</v>
      </c>
      <c r="AE7" s="262" t="s">
        <v>238</v>
      </c>
      <c r="AF7" s="262" t="s">
        <v>281</v>
      </c>
      <c r="AG7" s="288" t="s">
        <v>282</v>
      </c>
      <c r="AH7" s="260" t="s">
        <v>283</v>
      </c>
      <c r="AI7" s="262" t="s">
        <v>238</v>
      </c>
      <c r="AJ7" s="290" t="s">
        <v>281</v>
      </c>
      <c r="AK7" s="288" t="s">
        <v>282</v>
      </c>
      <c r="AL7" s="260" t="s">
        <v>283</v>
      </c>
      <c r="AM7" s="262" t="s">
        <v>238</v>
      </c>
      <c r="AN7" s="290" t="s">
        <v>281</v>
      </c>
      <c r="AO7" s="781"/>
      <c r="AP7" s="781"/>
      <c r="AQ7" s="781"/>
      <c r="AR7" s="781"/>
      <c r="AS7" s="781"/>
      <c r="AT7" s="781"/>
      <c r="AU7" s="781"/>
      <c r="AV7" s="781"/>
      <c r="AW7" s="781"/>
      <c r="AX7" s="781"/>
      <c r="AY7" s="781"/>
      <c r="AZ7" s="781"/>
      <c r="BA7" s="781"/>
      <c r="BB7" s="781"/>
      <c r="BC7" s="781"/>
      <c r="BD7" s="781"/>
    </row>
    <row r="8" spans="4:57" x14ac:dyDescent="0.25">
      <c r="D8" s="891" t="s">
        <v>464</v>
      </c>
      <c r="E8" s="55"/>
      <c r="F8" s="885"/>
      <c r="G8" s="886"/>
      <c r="H8" s="886"/>
      <c r="I8" s="886"/>
      <c r="J8" s="886"/>
      <c r="K8" s="886"/>
      <c r="L8" s="886"/>
      <c r="M8" s="886"/>
      <c r="N8" s="886"/>
      <c r="O8" s="886"/>
      <c r="P8" s="886"/>
      <c r="Q8" s="886"/>
      <c r="R8" s="886"/>
      <c r="S8" s="886"/>
      <c r="T8" s="886"/>
      <c r="U8" s="780"/>
      <c r="V8" s="780"/>
      <c r="W8" s="780"/>
      <c r="X8" s="886"/>
      <c r="Y8" s="887"/>
      <c r="Z8" s="887"/>
      <c r="AA8" s="887"/>
      <c r="AB8" s="887"/>
      <c r="AC8" s="821"/>
      <c r="AD8" s="821"/>
      <c r="AE8" s="821"/>
      <c r="AF8" s="821"/>
      <c r="AG8" s="847"/>
      <c r="AH8" s="847"/>
      <c r="AI8" s="847"/>
      <c r="AJ8" s="847"/>
      <c r="AK8" s="847"/>
      <c r="AL8" s="847"/>
      <c r="AM8" s="847"/>
      <c r="AN8" s="847"/>
      <c r="AO8" s="673"/>
      <c r="AP8" s="673"/>
      <c r="AQ8" s="673"/>
      <c r="AR8" s="673"/>
      <c r="AS8" s="673"/>
      <c r="AT8" s="673"/>
      <c r="AU8" s="673"/>
      <c r="AV8" s="673"/>
      <c r="AW8" s="673"/>
      <c r="AX8" s="673"/>
      <c r="AY8" s="673"/>
      <c r="AZ8" s="673"/>
      <c r="BA8" s="673"/>
      <c r="BB8" s="673"/>
      <c r="BC8" s="673"/>
      <c r="BD8" s="673"/>
    </row>
    <row r="9" spans="4:57" ht="14.85" customHeight="1" x14ac:dyDescent="0.25">
      <c r="D9" s="487" t="s">
        <v>479</v>
      </c>
      <c r="E9" s="890"/>
      <c r="F9" s="842">
        <f t="shared" ref="F9:S9" si="0">SUM(F10:F14)</f>
        <v>3259.3999999999996</v>
      </c>
      <c r="G9" s="777">
        <f t="shared" si="0"/>
        <v>3286.9</v>
      </c>
      <c r="H9" s="777">
        <f t="shared" si="0"/>
        <v>3343.2000000000003</v>
      </c>
      <c r="I9" s="777">
        <f t="shared" si="0"/>
        <v>3392.5</v>
      </c>
      <c r="J9" s="777">
        <f t="shared" si="0"/>
        <v>3135.1000000000004</v>
      </c>
      <c r="K9" s="777">
        <f t="shared" si="0"/>
        <v>3318.9</v>
      </c>
      <c r="L9" s="777">
        <f t="shared" si="0"/>
        <v>3478.3</v>
      </c>
      <c r="M9" s="777">
        <f t="shared" si="0"/>
        <v>3638.1</v>
      </c>
      <c r="N9" s="777">
        <f t="shared" si="0"/>
        <v>3792.5</v>
      </c>
      <c r="O9" s="777">
        <f t="shared" si="0"/>
        <v>3916.4</v>
      </c>
      <c r="P9" s="777">
        <f t="shared" si="0"/>
        <v>4047.3</v>
      </c>
      <c r="Q9" s="777">
        <f t="shared" si="0"/>
        <v>4447.4000000000005</v>
      </c>
      <c r="R9" s="777">
        <f t="shared" si="0"/>
        <v>4479.2000000000007</v>
      </c>
      <c r="S9" s="777">
        <f t="shared" si="0"/>
        <v>4541.8</v>
      </c>
      <c r="T9" s="777">
        <f t="shared" ref="T9:AG9" si="1">SUM(T10,T12,T14)</f>
        <v>4515.6000000000004</v>
      </c>
      <c r="U9" s="777">
        <f t="shared" si="1"/>
        <v>4197.2</v>
      </c>
      <c r="V9" s="777">
        <f t="shared" si="1"/>
        <v>4212.5</v>
      </c>
      <c r="W9" s="777">
        <f t="shared" si="1"/>
        <v>4250.7</v>
      </c>
      <c r="X9" s="777">
        <f t="shared" si="1"/>
        <v>4287.7</v>
      </c>
      <c r="Y9" s="813">
        <f t="shared" si="1"/>
        <v>4397.3999999999996</v>
      </c>
      <c r="Z9" s="813">
        <f t="shared" si="1"/>
        <v>4417.2</v>
      </c>
      <c r="AA9" s="813">
        <f t="shared" si="1"/>
        <v>4456.5</v>
      </c>
      <c r="AB9" s="813">
        <f t="shared" si="1"/>
        <v>4514.3999999999996</v>
      </c>
      <c r="AC9" s="813">
        <f t="shared" si="1"/>
        <v>4610.4000000000005</v>
      </c>
      <c r="AD9" s="813">
        <f t="shared" si="1"/>
        <v>4663.3480681024839</v>
      </c>
      <c r="AE9" s="813">
        <f t="shared" si="1"/>
        <v>4686.6621707686754</v>
      </c>
      <c r="AF9" s="813">
        <f t="shared" si="1"/>
        <v>4710.1942189707024</v>
      </c>
      <c r="AG9" s="813">
        <f t="shared" si="1"/>
        <v>4798.7621704165776</v>
      </c>
      <c r="AH9" s="813">
        <f>SUM(AH10,AH12,AH14)</f>
        <v>4831.4605855356285</v>
      </c>
      <c r="AI9" s="813">
        <f>SUM(AI10,AI12,AI14)</f>
        <v>4864.535151296147</v>
      </c>
      <c r="AJ9" s="813">
        <f>SUM(AJ10,AJ12,AJ14)</f>
        <v>4897.9882467823263</v>
      </c>
      <c r="AK9" s="813">
        <f>SUM(AK10,AK12,AK14)</f>
        <v>5064.6188779027389</v>
      </c>
      <c r="AL9" s="813">
        <f t="shared" ref="AL9:AN9" si="2">SUM(AL10,AL12,AL14)</f>
        <v>5090.7159653236231</v>
      </c>
      <c r="AM9" s="813">
        <f t="shared" si="2"/>
        <v>5117.0389962978024</v>
      </c>
      <c r="AN9" s="813">
        <f t="shared" si="2"/>
        <v>5143.5882525793268</v>
      </c>
      <c r="AO9" s="769"/>
      <c r="AP9" s="769"/>
      <c r="AV9" s="805"/>
      <c r="AW9" s="805"/>
      <c r="AX9" s="805"/>
      <c r="AY9" s="805"/>
      <c r="AZ9" s="805"/>
      <c r="BA9" s="805"/>
      <c r="BB9" s="805"/>
      <c r="BC9" s="805"/>
      <c r="BD9" s="805"/>
    </row>
    <row r="10" spans="4:57" x14ac:dyDescent="0.25">
      <c r="D10" s="517" t="s">
        <v>480</v>
      </c>
      <c r="E10" s="39" t="s">
        <v>115</v>
      </c>
      <c r="F10" s="772">
        <f>'Haver Pivoted'!GQ27</f>
        <v>1686.7</v>
      </c>
      <c r="G10" s="854">
        <f>'Haver Pivoted'!GR27</f>
        <v>1699.8</v>
      </c>
      <c r="H10" s="854">
        <f>'Haver Pivoted'!GS27</f>
        <v>1736.2</v>
      </c>
      <c r="I10" s="854">
        <f>'Haver Pivoted'!GT27</f>
        <v>1755.2</v>
      </c>
      <c r="J10" s="854">
        <f>'Haver Pivoted'!GU27</f>
        <v>1622.1</v>
      </c>
      <c r="K10" s="854">
        <f>'Haver Pivoted'!GV27</f>
        <v>1736.6</v>
      </c>
      <c r="L10" s="854">
        <f>'Haver Pivoted'!GW27</f>
        <v>1849.4</v>
      </c>
      <c r="M10" s="854">
        <f>'Haver Pivoted'!GX27</f>
        <v>1988.7</v>
      </c>
      <c r="N10" s="854">
        <f>'Haver Pivoted'!GY27</f>
        <v>2089.5</v>
      </c>
      <c r="O10" s="854">
        <f>'Haver Pivoted'!GZ27</f>
        <v>2173.6</v>
      </c>
      <c r="P10" s="854">
        <f>'Haver Pivoted'!HA27</f>
        <v>2248</v>
      </c>
      <c r="Q10" s="854">
        <f>'Haver Pivoted'!HB27</f>
        <v>2597.4</v>
      </c>
      <c r="R10" s="854">
        <f>'Haver Pivoted'!HC27</f>
        <v>2604.3000000000002</v>
      </c>
      <c r="S10" s="854">
        <f>'Haver Pivoted'!HD27</f>
        <v>2628.3</v>
      </c>
      <c r="T10" s="812">
        <f>'Haver Pivoted'!HE27</f>
        <v>2595.6999999999998</v>
      </c>
      <c r="U10" s="812">
        <f>'Haver Pivoted'!HF27</f>
        <v>2256.3000000000002</v>
      </c>
      <c r="V10" s="812">
        <f>'Haver Pivoted'!HG27</f>
        <v>2246.8000000000002</v>
      </c>
      <c r="W10" s="812">
        <f>'Haver Pivoted'!HH27</f>
        <v>2260.5</v>
      </c>
      <c r="X10" s="812">
        <f>'Haver Pivoted'!HI27</f>
        <v>2282.1999999999998</v>
      </c>
      <c r="Y10" s="812">
        <f>'Haver Pivoted'!HJ27</f>
        <v>2356.1</v>
      </c>
      <c r="Z10" s="812">
        <f>'Haver Pivoted'!HK27</f>
        <v>2375.4</v>
      </c>
      <c r="AA10" s="812">
        <f>'Haver Pivoted'!HL27</f>
        <v>2398.6999999999998</v>
      </c>
      <c r="AB10" s="812">
        <f>'Haver Pivoted'!HM27</f>
        <v>2435</v>
      </c>
      <c r="AC10" s="812">
        <f>'Haver Pivoted'!HN27</f>
        <v>2493.3000000000002</v>
      </c>
      <c r="AD10" s="814">
        <f>AC10*(1.02)^0.25+AD11</f>
        <v>2535.6740772914691</v>
      </c>
      <c r="AE10" s="814">
        <f>AD10*(1.02)^0.25+AE11</f>
        <v>2548.2584542290133</v>
      </c>
      <c r="AF10" s="814">
        <f>AE10*(1.02)^0.25+AF11</f>
        <v>2560.9052865681901</v>
      </c>
      <c r="AG10" s="776">
        <f>AC10*(1+$M36-0.01)+AG11</f>
        <v>2630.137374640165</v>
      </c>
      <c r="AH10" s="814">
        <f>AG10*(1.02)^0.25+AH11</f>
        <v>2643.1905664586302</v>
      </c>
      <c r="AI10" s="814">
        <f>AH10*(1.02)^0.25+AI11</f>
        <v>2656.3085403749023</v>
      </c>
      <c r="AJ10" s="814">
        <f>AI10*(1.02)^0.25+AJ11</f>
        <v>2669.4916178980998</v>
      </c>
      <c r="AK10" s="776">
        <f>AG10*(1+$L36-0.01)+AK11</f>
        <v>2815.5366982911801</v>
      </c>
      <c r="AL10" s="814">
        <f>AK10*(1.02)^0.25+AL11</f>
        <v>2829.5100142666433</v>
      </c>
      <c r="AM10" s="814">
        <f t="shared" ref="AM10:AN10" si="3">AL10*(1.02)^0.25+AM11</f>
        <v>2843.5526788531438</v>
      </c>
      <c r="AN10" s="814">
        <f t="shared" si="3"/>
        <v>2857.6650362230926</v>
      </c>
      <c r="AO10" s="769"/>
      <c r="AP10" s="769"/>
      <c r="AV10" s="673"/>
      <c r="AW10" s="673"/>
      <c r="AX10" s="673"/>
      <c r="AY10" s="673"/>
      <c r="AZ10" s="673"/>
      <c r="BA10" s="673"/>
      <c r="BB10" s="673"/>
      <c r="BC10" s="673"/>
      <c r="BD10" s="673"/>
    </row>
    <row r="11" spans="4:57" x14ac:dyDescent="0.25">
      <c r="D11" s="517" t="s">
        <v>1745</v>
      </c>
      <c r="E11" s="39"/>
      <c r="F11" s="889"/>
      <c r="G11" s="888"/>
      <c r="H11" s="888"/>
      <c r="I11" s="888"/>
      <c r="J11" s="888"/>
      <c r="K11" s="888"/>
      <c r="L11" s="888"/>
      <c r="M11" s="888"/>
      <c r="N11" s="888"/>
      <c r="O11" s="888"/>
      <c r="P11" s="888"/>
      <c r="Q11" s="888"/>
      <c r="R11" s="888"/>
      <c r="S11" s="778"/>
      <c r="T11" s="778">
        <v>46</v>
      </c>
      <c r="U11" s="778">
        <v>-5</v>
      </c>
      <c r="V11" s="778">
        <v>12</v>
      </c>
      <c r="W11" s="778">
        <v>67</v>
      </c>
      <c r="X11" s="778">
        <v>7</v>
      </c>
      <c r="Y11" s="884">
        <v>-205</v>
      </c>
      <c r="Z11" s="884">
        <v>47</v>
      </c>
      <c r="AA11" s="884">
        <v>17</v>
      </c>
      <c r="AB11" s="884">
        <v>10</v>
      </c>
      <c r="AC11" s="884">
        <v>-32</v>
      </c>
      <c r="AD11" s="884">
        <v>30</v>
      </c>
      <c r="AE11" s="884">
        <v>0</v>
      </c>
      <c r="AF11" s="884">
        <v>0</v>
      </c>
      <c r="AG11" s="884">
        <v>0</v>
      </c>
      <c r="AH11" s="884">
        <v>0</v>
      </c>
      <c r="AI11" s="884">
        <v>0</v>
      </c>
      <c r="AJ11" s="884">
        <v>0</v>
      </c>
      <c r="AK11" s="884">
        <v>0</v>
      </c>
      <c r="AL11" s="884">
        <v>0</v>
      </c>
      <c r="AM11" s="884">
        <v>0</v>
      </c>
      <c r="AN11" s="884">
        <v>0</v>
      </c>
      <c r="AO11" s="769"/>
      <c r="AP11" s="769"/>
      <c r="AV11" s="673"/>
      <c r="AW11" s="673"/>
      <c r="AX11" s="673"/>
      <c r="AY11" s="673"/>
      <c r="AZ11" s="673"/>
      <c r="BA11" s="673"/>
      <c r="BB11" s="673"/>
      <c r="BC11" s="673"/>
      <c r="BD11" s="673"/>
    </row>
    <row r="12" spans="4:57" x14ac:dyDescent="0.25">
      <c r="D12" s="517" t="s">
        <v>481</v>
      </c>
      <c r="E12" s="36" t="s">
        <v>121</v>
      </c>
      <c r="F12" s="772">
        <f>'Haver Pivoted'!GQ30</f>
        <v>1403.5</v>
      </c>
      <c r="G12" s="854">
        <f>'Haver Pivoted'!GR30</f>
        <v>1410.3</v>
      </c>
      <c r="H12" s="854">
        <f>'Haver Pivoted'!GS30</f>
        <v>1428.2</v>
      </c>
      <c r="I12" s="854">
        <f>'Haver Pivoted'!GT30</f>
        <v>1453.2</v>
      </c>
      <c r="J12" s="854">
        <f>'Haver Pivoted'!GU30</f>
        <v>1383.7</v>
      </c>
      <c r="K12" s="854">
        <f>'Haver Pivoted'!GV30</f>
        <v>1433</v>
      </c>
      <c r="L12" s="854">
        <f>'Haver Pivoted'!GW30</f>
        <v>1470.2</v>
      </c>
      <c r="M12" s="854">
        <f>'Haver Pivoted'!GX30</f>
        <v>1487.2</v>
      </c>
      <c r="N12" s="854">
        <f>'Haver Pivoted'!GY30</f>
        <v>1522.5</v>
      </c>
      <c r="O12" s="854">
        <f>'Haver Pivoted'!GZ30</f>
        <v>1559</v>
      </c>
      <c r="P12" s="854">
        <f>'Haver Pivoted'!HA30</f>
        <v>1603.5</v>
      </c>
      <c r="Q12" s="854">
        <f>'Haver Pivoted'!HB30</f>
        <v>1642.9</v>
      </c>
      <c r="R12" s="854">
        <f>'Haver Pivoted'!HC30</f>
        <v>1665.9</v>
      </c>
      <c r="S12" s="854">
        <f>'Haver Pivoted'!HD30</f>
        <v>1713.2</v>
      </c>
      <c r="T12" s="812">
        <f>'Haver Pivoted'!HE30</f>
        <v>1729.9</v>
      </c>
      <c r="U12" s="812">
        <f>'Haver Pivoted'!HF30</f>
        <v>1761.2</v>
      </c>
      <c r="V12" s="812">
        <f>'Haver Pivoted'!HG30</f>
        <v>1789.9</v>
      </c>
      <c r="W12" s="812">
        <f>'Haver Pivoted'!HH30</f>
        <v>1818</v>
      </c>
      <c r="X12" s="812">
        <f>'Haver Pivoted'!HI30</f>
        <v>1836.2</v>
      </c>
      <c r="Y12" s="812">
        <f>'Haver Pivoted'!HJ30</f>
        <v>1864.1</v>
      </c>
      <c r="Z12" s="812">
        <f>'Haver Pivoted'!HK30</f>
        <v>1869.4</v>
      </c>
      <c r="AA12" s="812">
        <f>'Haver Pivoted'!HL30</f>
        <v>1876.4</v>
      </c>
      <c r="AB12" s="812">
        <f>'Haver Pivoted'!HM30</f>
        <v>1896.9</v>
      </c>
      <c r="AC12" s="812">
        <f>'Haver Pivoted'!HN30</f>
        <v>1925.8</v>
      </c>
      <c r="AD12" s="814">
        <f>AC12*(1+$L38)^0.25+AD13</f>
        <v>1939.6505481451836</v>
      </c>
      <c r="AE12" s="814">
        <f>AD12*(1+$L38)^0.25+AE13</f>
        <v>1953.6007108318161</v>
      </c>
      <c r="AF12" s="814">
        <f>AE12*(1+$L38)^0.25+AF13</f>
        <v>1967.6512044977424</v>
      </c>
      <c r="AG12" s="776">
        <f>AF12*(1+$M38)^0.25+AG13</f>
        <v>1990.0981312774361</v>
      </c>
      <c r="AH12" s="814">
        <f>AG12*(1+$M38)^0.25+AH13</f>
        <v>2012.8011321624901</v>
      </c>
      <c r="AI12" s="814">
        <f>AH12*(1+$M38)^0.25+AI13</f>
        <v>2035.7631284413321</v>
      </c>
      <c r="AJ12" s="814">
        <f>AI12*(1+$M38)^0.25+AJ13</f>
        <v>2058.9870747283912</v>
      </c>
      <c r="AK12" s="776">
        <f>AJ12*(1+$M38)^0.25+AK13</f>
        <v>2082.4759593442809</v>
      </c>
      <c r="AL12" s="814">
        <f>AK12*(1+$L38)^0.25+AL13</f>
        <v>2097.4533368165448</v>
      </c>
      <c r="AM12" s="814">
        <f>AL12*(1+$L38)^0.25+AM13</f>
        <v>2112.5384331006103</v>
      </c>
      <c r="AN12" s="814">
        <f>AM12*(1+$L38)^0.25+AN13</f>
        <v>2127.7320229210541</v>
      </c>
      <c r="AO12" s="769"/>
      <c r="AP12" s="769"/>
      <c r="AV12" s="673"/>
      <c r="AW12" s="673"/>
      <c r="AX12" s="673"/>
      <c r="AY12" s="673"/>
      <c r="AZ12" s="673"/>
      <c r="BA12" s="673"/>
      <c r="BB12" s="673"/>
      <c r="BC12" s="673"/>
      <c r="BD12" s="673"/>
    </row>
    <row r="13" spans="4:57" x14ac:dyDescent="0.25">
      <c r="D13" s="517" t="s">
        <v>1728</v>
      </c>
      <c r="E13" s="36"/>
      <c r="F13" s="889"/>
      <c r="G13" s="888"/>
      <c r="H13" s="888"/>
      <c r="I13" s="888"/>
      <c r="J13" s="888"/>
      <c r="K13" s="888"/>
      <c r="L13" s="888"/>
      <c r="M13" s="888"/>
      <c r="N13" s="888"/>
      <c r="O13" s="888"/>
      <c r="P13" s="888"/>
      <c r="Q13" s="888"/>
      <c r="R13" s="888"/>
      <c r="S13" s="888"/>
      <c r="T13" s="778"/>
      <c r="U13" s="778">
        <v>8</v>
      </c>
      <c r="V13" s="778">
        <v>-10</v>
      </c>
      <c r="W13" s="778">
        <v>-5</v>
      </c>
      <c r="X13" s="778">
        <v>-6</v>
      </c>
      <c r="Y13" s="884">
        <v>21</v>
      </c>
      <c r="Z13" s="884">
        <v>5</v>
      </c>
      <c r="AA13" s="884">
        <v>-10</v>
      </c>
      <c r="AB13" s="884"/>
      <c r="AC13" s="884">
        <v>5</v>
      </c>
      <c r="AD13" s="884"/>
      <c r="AE13" s="884"/>
      <c r="AF13" s="884"/>
      <c r="AG13" s="884"/>
      <c r="AH13" s="814"/>
      <c r="AI13" s="814"/>
      <c r="AJ13" s="814"/>
      <c r="AK13" s="814"/>
      <c r="AL13" s="814"/>
      <c r="AM13" s="814"/>
      <c r="AN13" s="814"/>
      <c r="AO13" s="769"/>
      <c r="AP13" s="769"/>
      <c r="AV13" s="673"/>
      <c r="AW13" s="673"/>
      <c r="AX13" s="673"/>
      <c r="AY13" s="673"/>
      <c r="AZ13" s="673"/>
      <c r="BA13" s="673"/>
      <c r="BB13" s="673"/>
      <c r="BC13" s="673"/>
      <c r="BD13" s="673"/>
    </row>
    <row r="14" spans="4:57" x14ac:dyDescent="0.25">
      <c r="D14" s="517" t="s">
        <v>482</v>
      </c>
      <c r="E14" s="39" t="s">
        <v>117</v>
      </c>
      <c r="F14" s="772">
        <f>'Haver Pivoted'!GQ28</f>
        <v>169.2</v>
      </c>
      <c r="G14" s="854">
        <f>'Haver Pivoted'!GR28</f>
        <v>176.8</v>
      </c>
      <c r="H14" s="854">
        <f>'Haver Pivoted'!GS28</f>
        <v>178.8</v>
      </c>
      <c r="I14" s="854">
        <f>'Haver Pivoted'!GT28</f>
        <v>184.1</v>
      </c>
      <c r="J14" s="854">
        <f>'Haver Pivoted'!GU28</f>
        <v>129.30000000000001</v>
      </c>
      <c r="K14" s="854">
        <f>'Haver Pivoted'!GV28</f>
        <v>149.30000000000001</v>
      </c>
      <c r="L14" s="854">
        <f>'Haver Pivoted'!GW28</f>
        <v>158.69999999999999</v>
      </c>
      <c r="M14" s="854">
        <f>'Haver Pivoted'!GX28</f>
        <v>162.19999999999999</v>
      </c>
      <c r="N14" s="854">
        <f>'Haver Pivoted'!GY28</f>
        <v>180.5</v>
      </c>
      <c r="O14" s="854">
        <f>'Haver Pivoted'!GZ28</f>
        <v>183.8</v>
      </c>
      <c r="P14" s="854">
        <f>'Haver Pivoted'!HA28</f>
        <v>195.8</v>
      </c>
      <c r="Q14" s="854">
        <f>'Haver Pivoted'!HB28</f>
        <v>207.1</v>
      </c>
      <c r="R14" s="854">
        <f>'Haver Pivoted'!HC28</f>
        <v>209</v>
      </c>
      <c r="S14" s="854">
        <f>'Haver Pivoted'!HD28</f>
        <v>200.3</v>
      </c>
      <c r="T14" s="812">
        <f>'Haver Pivoted'!HE28</f>
        <v>190</v>
      </c>
      <c r="U14" s="812">
        <f>'Haver Pivoted'!HF28</f>
        <v>179.7</v>
      </c>
      <c r="V14" s="812">
        <f>'Haver Pivoted'!HG28</f>
        <v>175.8</v>
      </c>
      <c r="W14" s="812">
        <f>'Haver Pivoted'!HH28</f>
        <v>172.2</v>
      </c>
      <c r="X14" s="812">
        <f>'Haver Pivoted'!HI28</f>
        <v>169.3</v>
      </c>
      <c r="Y14" s="812">
        <f>'Haver Pivoted'!HJ28</f>
        <v>177.2</v>
      </c>
      <c r="Z14" s="812">
        <f>'Haver Pivoted'!HK28</f>
        <v>172.4</v>
      </c>
      <c r="AA14" s="812">
        <f>'Haver Pivoted'!HL28</f>
        <v>181.4</v>
      </c>
      <c r="AB14" s="812">
        <f>'Haver Pivoted'!HM28</f>
        <v>182.5</v>
      </c>
      <c r="AC14" s="812">
        <f>'Haver Pivoted'!HN28</f>
        <v>191.3</v>
      </c>
      <c r="AD14" s="814">
        <f>AC14*(1+$L39)^0.25</f>
        <v>188.02344266583088</v>
      </c>
      <c r="AE14" s="814">
        <f>AD14*(1+$L39)^0.25</f>
        <v>184.80300570784627</v>
      </c>
      <c r="AF14" s="814">
        <f>AE14*(1+$L39)^0.25</f>
        <v>181.63772790476972</v>
      </c>
      <c r="AG14" s="814">
        <f>AF14*(1+$L39)^0.25</f>
        <v>178.52666449897677</v>
      </c>
      <c r="AH14" s="814">
        <f>AG14*(1+$L39)^0.25</f>
        <v>175.468886914508</v>
      </c>
      <c r="AI14" s="814">
        <f>AH14*(1+$L39)^0.25</f>
        <v>172.46348247991193</v>
      </c>
      <c r="AJ14" s="814">
        <f>AI14*(1+$L39)^0.25</f>
        <v>169.50955415583505</v>
      </c>
      <c r="AK14" s="814">
        <f>AJ14*(1+$L39)^0.25</f>
        <v>166.60622026727759</v>
      </c>
      <c r="AL14" s="814">
        <f>AK14*(1+$L39)^0.25</f>
        <v>163.75261424043521</v>
      </c>
      <c r="AM14" s="814">
        <f>AL14*(1+$L39)^0.25</f>
        <v>160.94788434404802</v>
      </c>
      <c r="AN14" s="814">
        <f>AM14*(1+$L39)^0.25</f>
        <v>158.19119343517977</v>
      </c>
      <c r="AO14" s="769"/>
      <c r="AP14" s="769"/>
      <c r="AV14" s="673"/>
      <c r="AW14" s="673"/>
      <c r="AX14" s="673"/>
      <c r="AY14" s="673"/>
      <c r="AZ14" s="673"/>
      <c r="BA14" s="673"/>
      <c r="BB14" s="673"/>
      <c r="BC14" s="673"/>
      <c r="BD14" s="673"/>
    </row>
    <row r="15" spans="4:57" x14ac:dyDescent="0.25">
      <c r="D15" s="798" t="s">
        <v>1424</v>
      </c>
      <c r="E15" s="799"/>
      <c r="F15" s="889"/>
      <c r="G15" s="888"/>
      <c r="H15" s="888"/>
      <c r="I15" s="888"/>
      <c r="J15" s="888"/>
      <c r="K15" s="888"/>
      <c r="L15" s="888"/>
      <c r="M15" s="888"/>
      <c r="N15" s="888"/>
      <c r="O15" s="888"/>
      <c r="P15" s="888"/>
      <c r="Q15" s="888"/>
      <c r="R15" s="888"/>
      <c r="S15" s="778"/>
      <c r="T15" s="778"/>
      <c r="U15" s="778">
        <v>0</v>
      </c>
      <c r="V15" s="778">
        <v>0</v>
      </c>
      <c r="W15" s="778">
        <v>0</v>
      </c>
      <c r="X15" s="778">
        <v>0</v>
      </c>
      <c r="Y15" s="884">
        <v>0</v>
      </c>
      <c r="Z15" s="884">
        <v>0</v>
      </c>
      <c r="AA15" s="884">
        <v>0</v>
      </c>
      <c r="AB15" s="884">
        <v>0</v>
      </c>
      <c r="AC15" s="884">
        <v>0</v>
      </c>
      <c r="AD15" s="884">
        <v>0</v>
      </c>
      <c r="AE15" s="884">
        <v>0</v>
      </c>
      <c r="AF15" s="884">
        <v>0</v>
      </c>
      <c r="AG15" s="884">
        <v>0</v>
      </c>
      <c r="AH15" s="884">
        <v>0</v>
      </c>
      <c r="AI15" s="884">
        <v>0</v>
      </c>
      <c r="AJ15" s="884">
        <v>0</v>
      </c>
      <c r="AK15" s="884">
        <v>0</v>
      </c>
      <c r="AL15" s="884">
        <v>0</v>
      </c>
      <c r="AM15" s="884">
        <v>0</v>
      </c>
      <c r="AN15" s="884">
        <v>0</v>
      </c>
      <c r="AO15" s="769"/>
      <c r="AP15" s="769"/>
      <c r="AV15" s="673"/>
      <c r="AW15" s="673"/>
      <c r="AX15" s="673"/>
      <c r="AY15" s="673"/>
      <c r="AZ15" s="673"/>
      <c r="BA15" s="673"/>
      <c r="BB15" s="673"/>
      <c r="BC15" s="673"/>
      <c r="BD15" s="673"/>
    </row>
    <row r="16" spans="4:57" ht="14.85" customHeight="1" x14ac:dyDescent="0.25">
      <c r="D16" s="420" t="s">
        <v>1873</v>
      </c>
      <c r="E16" s="795" t="s">
        <v>119</v>
      </c>
      <c r="F16" s="877">
        <f>'Haver Pivoted'!GQ29</f>
        <v>205.6</v>
      </c>
      <c r="G16" s="779">
        <f>'Haver Pivoted'!GR29</f>
        <v>206.9</v>
      </c>
      <c r="H16" s="779">
        <f>'Haver Pivoted'!GS29</f>
        <v>231.9</v>
      </c>
      <c r="I16" s="779">
        <f>'Haver Pivoted'!GT29</f>
        <v>191.5</v>
      </c>
      <c r="J16" s="779">
        <f>'Haver Pivoted'!GU29</f>
        <v>199.6</v>
      </c>
      <c r="K16" s="779">
        <f>'Haver Pivoted'!GV29</f>
        <v>258.60000000000002</v>
      </c>
      <c r="L16" s="779">
        <f>'Haver Pivoted'!GW29</f>
        <v>251.2</v>
      </c>
      <c r="M16" s="779">
        <f>'Haver Pivoted'!GX29</f>
        <v>289.89999999999998</v>
      </c>
      <c r="N16" s="779">
        <f>'Haver Pivoted'!GY29</f>
        <v>343.9</v>
      </c>
      <c r="O16" s="779">
        <f>'Haver Pivoted'!GZ29</f>
        <v>344.5</v>
      </c>
      <c r="P16" s="779">
        <f>'Haver Pivoted'!HA29</f>
        <v>357.9</v>
      </c>
      <c r="Q16" s="779">
        <f>'Haver Pivoted'!HB29</f>
        <v>379.6</v>
      </c>
      <c r="R16" s="779">
        <f>'Haver Pivoted'!HC29</f>
        <v>417.1</v>
      </c>
      <c r="S16" s="779">
        <f>'Haver Pivoted'!HD29</f>
        <v>402.2</v>
      </c>
      <c r="T16" s="775">
        <f>'Haver Pivoted'!HE29</f>
        <v>406.9</v>
      </c>
      <c r="U16" s="775">
        <f>'Haver Pivoted'!HF29</f>
        <v>434.3</v>
      </c>
      <c r="V16" s="775">
        <f>'Haver Pivoted'!HG29</f>
        <v>429.4</v>
      </c>
      <c r="W16" s="775">
        <f>'Haver Pivoted'!HH29</f>
        <v>451.9</v>
      </c>
      <c r="X16" s="775">
        <f>'Haver Pivoted'!HI29</f>
        <v>464.8</v>
      </c>
      <c r="Y16" s="775">
        <f>'Haver Pivoted'!HJ29</f>
        <v>459.9</v>
      </c>
      <c r="Z16" s="775">
        <f>'Haver Pivoted'!HK29</f>
        <v>493.4</v>
      </c>
      <c r="AA16" s="775">
        <f>'Haver Pivoted'!HL29</f>
        <v>493.1</v>
      </c>
      <c r="AB16" s="775">
        <f>'Haver Pivoted'!HM29</f>
        <v>512.1</v>
      </c>
      <c r="AC16" s="814">
        <f>AB16*(1+$L40)^0.25</f>
        <v>528.95823142687641</v>
      </c>
      <c r="AD16" s="814">
        <f>AC16*(1+$L40)^0.25</f>
        <v>546.37143252147803</v>
      </c>
      <c r="AE16" s="814">
        <f>AD16*(1+$L40)^0.25</f>
        <v>564.35787277627401</v>
      </c>
      <c r="AF16" s="814">
        <f>AE16*(1+$M40)^0.25</f>
        <v>560.87077630489205</v>
      </c>
      <c r="AG16" s="814">
        <f>AF16*(1+$M40)^0.25</f>
        <v>557.40522616499095</v>
      </c>
      <c r="AH16" s="814">
        <f>AG16*(1+$M40)^0.25</f>
        <v>553.96108922449264</v>
      </c>
      <c r="AI16" s="814">
        <f>AH16*(1+$M40)^0.25</f>
        <v>550.53823317392516</v>
      </c>
      <c r="AJ16" s="814">
        <f>AI16*(1+$M40)^0.25</f>
        <v>547.13652652134033</v>
      </c>
      <c r="AK16" s="814">
        <f>AJ16*(1+$M40)^0.25</f>
        <v>543.75583858726213</v>
      </c>
      <c r="AL16" s="814">
        <f>AK16*(1+$M40)^0.25</f>
        <v>540.3960394996667</v>
      </c>
      <c r="AM16" s="814">
        <f>AL16*(1+$M40)^0.25</f>
        <v>537.05700018899313</v>
      </c>
      <c r="AN16" s="814">
        <f>AM16*(1+$M40)^0.25</f>
        <v>533.73859238318505</v>
      </c>
      <c r="AO16" s="769"/>
      <c r="AP16" s="769"/>
      <c r="AV16" s="805"/>
      <c r="AW16" s="805"/>
      <c r="AX16" s="805"/>
      <c r="AY16" s="805"/>
      <c r="AZ16" s="805"/>
      <c r="BA16" s="805"/>
      <c r="BB16" s="805"/>
      <c r="BC16" s="805"/>
      <c r="BD16" s="805"/>
    </row>
    <row r="17" spans="4:56" ht="14.85" customHeight="1" x14ac:dyDescent="0.25">
      <c r="D17" s="420"/>
      <c r="E17" s="795"/>
      <c r="F17" s="877"/>
      <c r="G17" s="779"/>
      <c r="H17" s="779"/>
      <c r="I17" s="779"/>
      <c r="J17" s="779"/>
      <c r="K17" s="779"/>
      <c r="L17" s="779"/>
      <c r="M17" s="779"/>
      <c r="N17" s="779"/>
      <c r="O17" s="779"/>
      <c r="P17" s="779"/>
      <c r="Q17" s="779"/>
      <c r="R17" s="779"/>
      <c r="S17" s="779"/>
      <c r="T17" s="779"/>
      <c r="U17" s="779"/>
      <c r="V17" s="779"/>
      <c r="W17" s="779"/>
      <c r="X17" s="810"/>
      <c r="Y17" s="810"/>
      <c r="Z17" s="810"/>
      <c r="AA17" s="810"/>
      <c r="AB17" s="810"/>
      <c r="AC17" s="810"/>
      <c r="AD17" s="810"/>
      <c r="AE17" s="810"/>
      <c r="AF17" s="810"/>
      <c r="AG17" s="810"/>
      <c r="AH17" s="810"/>
      <c r="AI17" s="810"/>
      <c r="AJ17" s="810"/>
      <c r="AK17" s="769"/>
      <c r="AL17" s="769"/>
      <c r="AM17" s="769"/>
      <c r="AN17" s="769"/>
      <c r="AO17" s="769"/>
      <c r="AP17" s="769"/>
      <c r="AV17" s="805"/>
      <c r="AW17" s="805"/>
      <c r="AX17" s="805"/>
      <c r="AY17" s="805"/>
      <c r="AZ17" s="805"/>
      <c r="BA17" s="805"/>
      <c r="BB17" s="805"/>
      <c r="BC17" s="805"/>
      <c r="BD17" s="805"/>
    </row>
    <row r="18" spans="4:56" x14ac:dyDescent="0.25">
      <c r="D18" s="883" t="s">
        <v>471</v>
      </c>
      <c r="E18" s="844"/>
      <c r="F18" s="827"/>
      <c r="G18" s="822"/>
      <c r="H18" s="822"/>
      <c r="I18" s="822"/>
      <c r="J18" s="822"/>
      <c r="K18" s="822"/>
      <c r="L18" s="822"/>
      <c r="M18" s="822"/>
      <c r="N18" s="822"/>
      <c r="O18" s="822"/>
      <c r="P18" s="822"/>
      <c r="Q18" s="822"/>
      <c r="R18" s="822"/>
      <c r="S18" s="822"/>
      <c r="T18" s="822"/>
      <c r="U18" s="886"/>
      <c r="V18" s="822"/>
      <c r="W18" s="822"/>
      <c r="X18" s="822"/>
      <c r="Y18" s="822"/>
      <c r="Z18" s="822"/>
      <c r="AA18" s="822"/>
      <c r="AB18" s="822"/>
      <c r="AC18" s="822"/>
      <c r="AF18" s="769"/>
      <c r="AG18" s="769"/>
      <c r="AH18" s="769"/>
      <c r="AI18" s="769"/>
      <c r="AJ18" s="769"/>
      <c r="AK18" s="769"/>
      <c r="AL18" s="769"/>
      <c r="AM18" s="769"/>
      <c r="AN18" s="769"/>
      <c r="AO18" s="769"/>
      <c r="AP18" s="769"/>
    </row>
    <row r="19" spans="4:56" ht="14.85" customHeight="1" x14ac:dyDescent="0.25">
      <c r="D19" s="804" t="s">
        <v>479</v>
      </c>
      <c r="E19" s="796"/>
      <c r="F19" s="877">
        <f t="shared" ref="F19:P19" si="4">SUM(F21:F24)</f>
        <v>1902.8</v>
      </c>
      <c r="G19" s="779">
        <f t="shared" si="4"/>
        <v>1893</v>
      </c>
      <c r="H19" s="779">
        <f t="shared" si="4"/>
        <v>1884.1999999999998</v>
      </c>
      <c r="I19" s="779">
        <f t="shared" si="4"/>
        <v>1885.8999999999999</v>
      </c>
      <c r="J19" s="779">
        <f t="shared" si="4"/>
        <v>1793.2</v>
      </c>
      <c r="K19" s="779">
        <f t="shared" si="4"/>
        <v>1921.7</v>
      </c>
      <c r="L19" s="779">
        <f t="shared" si="4"/>
        <v>1960.7</v>
      </c>
      <c r="M19" s="779">
        <f t="shared" si="4"/>
        <v>2016.5</v>
      </c>
      <c r="N19" s="779">
        <f t="shared" si="4"/>
        <v>2132.4</v>
      </c>
      <c r="O19" s="779">
        <f t="shared" si="4"/>
        <v>2137.3000000000002</v>
      </c>
      <c r="P19" s="779">
        <f t="shared" si="4"/>
        <v>2201.5</v>
      </c>
      <c r="Q19" s="779">
        <f>SUM(Q20:Q24)</f>
        <v>2285.4</v>
      </c>
      <c r="R19" s="779">
        <f>SUM(R20:R24)</f>
        <v>2360.4</v>
      </c>
      <c r="S19" s="779">
        <f>SUM(S20:S24)</f>
        <v>2287.5</v>
      </c>
      <c r="T19" s="779">
        <f>SUM(T20:T24)</f>
        <v>2306.3000000000002</v>
      </c>
      <c r="U19" s="779">
        <f>SUM(U21:U24)</f>
        <v>2296.6</v>
      </c>
      <c r="V19" s="779">
        <f>SUM(V20:V24)</f>
        <v>2311.5</v>
      </c>
      <c r="W19" s="779">
        <f>SUM(W20,W21,W23,W24)</f>
        <v>2350.6999999999998</v>
      </c>
      <c r="X19" s="779">
        <f>SUM(X20,X21,X23,X24)</f>
        <v>2379.1999999999998</v>
      </c>
      <c r="Y19" s="816">
        <f>SUM(Y20,Y21,Y23,Y24)</f>
        <v>2395.3000000000002</v>
      </c>
      <c r="Z19" s="816">
        <f>SUM(Z20,Z21,Z23,Z24)</f>
        <v>2439</v>
      </c>
      <c r="AA19" s="816">
        <f>SUM(AA20,AA21,AA23,AA24)</f>
        <v>2477.5</v>
      </c>
      <c r="AB19" s="816">
        <f>SUM(AB20,AB21,AB23,AB24)</f>
        <v>2519.8000000000002</v>
      </c>
      <c r="AC19" s="816">
        <f>SUM(AC20,AC21,AC23,AC24)</f>
        <v>2542.3000000000002</v>
      </c>
      <c r="AD19" s="816">
        <f>SUM(AD20,AD21,AD23,AD24)</f>
        <v>2562.7511787268172</v>
      </c>
      <c r="AE19" s="816">
        <f>SUM(AE20,AE21,AE23,AE24)</f>
        <v>2589.7593229745835</v>
      </c>
      <c r="AF19" s="816">
        <f>SUM(AF20,AF21,AF23,AF24)</f>
        <v>2616.3584221483529</v>
      </c>
      <c r="AG19" s="816">
        <f>SUM(AG20,AG21,AG23,AG24)</f>
        <v>2640.8190011756606</v>
      </c>
      <c r="AH19" s="816">
        <f>SUM(AH20,AH21,AH23,AH24)</f>
        <v>2666.2743895213348</v>
      </c>
      <c r="AI19" s="816">
        <f>SUM(AI20,AI21,AI23,AI24)</f>
        <v>2689.5030919242104</v>
      </c>
      <c r="AJ19" s="816">
        <f>SUM(AJ20,AJ21,AJ23,AJ24)</f>
        <v>2714.6720416715066</v>
      </c>
      <c r="AK19" s="816">
        <f>SUM(AK20,AK21,AK23,AK24)</f>
        <v>2741.2709284302364</v>
      </c>
      <c r="AL19" s="816">
        <f>SUM(AL20,AL21,AL23,AL24)</f>
        <v>2765.8260316476894</v>
      </c>
      <c r="AM19" s="816">
        <f>SUM(AM20,AM21,AM23,AM24)</f>
        <v>2790.6179197634838</v>
      </c>
      <c r="AN19" s="816">
        <f>SUM(AN20,AN21,AN23,AN24)</f>
        <v>2816.8005099510847</v>
      </c>
      <c r="AO19" s="769"/>
      <c r="AP19" s="769"/>
    </row>
    <row r="20" spans="4:56" ht="42" customHeight="1" x14ac:dyDescent="0.25">
      <c r="D20" s="801" t="s">
        <v>825</v>
      </c>
      <c r="E20" s="796"/>
      <c r="F20" s="877"/>
      <c r="G20" s="779"/>
      <c r="H20" s="779"/>
      <c r="I20" s="779"/>
      <c r="J20" s="779"/>
      <c r="K20" s="779"/>
      <c r="L20" s="779"/>
      <c r="M20" s="779"/>
      <c r="N20" s="779"/>
      <c r="O20" s="779"/>
      <c r="P20" s="779"/>
      <c r="Q20" s="400"/>
      <c r="R20" s="400"/>
      <c r="S20" s="400"/>
      <c r="T20" s="400"/>
      <c r="U20" s="400">
        <v>0</v>
      </c>
      <c r="V20" s="400"/>
      <c r="W20" s="400"/>
      <c r="X20" s="400"/>
      <c r="Y20" s="350"/>
      <c r="Z20" s="350"/>
      <c r="AA20" s="350"/>
      <c r="AB20" s="350"/>
      <c r="AC20" s="350"/>
      <c r="AD20" s="350"/>
      <c r="AE20" s="350"/>
      <c r="AF20" s="350"/>
      <c r="AG20" s="350"/>
      <c r="AH20" s="350"/>
      <c r="AI20" s="350"/>
      <c r="AJ20" s="350"/>
      <c r="AK20" s="350"/>
      <c r="AL20" s="350"/>
      <c r="AM20" s="350"/>
      <c r="AN20" s="350"/>
      <c r="AO20" s="769"/>
      <c r="AP20" s="769"/>
    </row>
    <row r="21" spans="4:56" x14ac:dyDescent="0.25">
      <c r="D21" s="517" t="s">
        <v>484</v>
      </c>
      <c r="E21" s="36" t="s">
        <v>485</v>
      </c>
      <c r="F21" s="772">
        <f>'Haver Pivoted'!GQ33</f>
        <v>531</v>
      </c>
      <c r="G21" s="854">
        <f>'Haver Pivoted'!GR33</f>
        <v>495.6</v>
      </c>
      <c r="H21" s="854">
        <f>'Haver Pivoted'!GS33</f>
        <v>490.1</v>
      </c>
      <c r="I21" s="854">
        <f>'Haver Pivoted'!GT33</f>
        <v>492.5</v>
      </c>
      <c r="J21" s="854">
        <f>'Haver Pivoted'!GU33</f>
        <v>485.2</v>
      </c>
      <c r="K21" s="854">
        <f>'Haver Pivoted'!GV33</f>
        <v>511.6</v>
      </c>
      <c r="L21" s="854">
        <f>'Haver Pivoted'!GW33</f>
        <v>528.4</v>
      </c>
      <c r="M21" s="854">
        <f>'Haver Pivoted'!GX33</f>
        <v>559</v>
      </c>
      <c r="N21" s="854">
        <f>'Haver Pivoted'!GY33</f>
        <v>586.1</v>
      </c>
      <c r="O21" s="854">
        <f>'Haver Pivoted'!GZ33</f>
        <v>576.4</v>
      </c>
      <c r="P21" s="854">
        <f>'Haver Pivoted'!HA33</f>
        <v>599.1</v>
      </c>
      <c r="Q21" s="854">
        <f>'Haver Pivoted'!HB33</f>
        <v>656.7</v>
      </c>
      <c r="R21" s="854">
        <f>'Haver Pivoted'!HC33</f>
        <v>693.1</v>
      </c>
      <c r="S21" s="854">
        <f>'Haver Pivoted'!HD33</f>
        <v>596.6</v>
      </c>
      <c r="T21" s="812">
        <f>'Haver Pivoted'!HE33</f>
        <v>607.6</v>
      </c>
      <c r="U21" s="812">
        <f>'Haver Pivoted'!HF33</f>
        <v>578</v>
      </c>
      <c r="V21" s="812">
        <f>'Haver Pivoted'!HG33</f>
        <v>581.6</v>
      </c>
      <c r="W21" s="812">
        <f>'Haver Pivoted'!HH33</f>
        <v>605.5</v>
      </c>
      <c r="X21" s="812">
        <f>'Haver Pivoted'!HI33</f>
        <v>612.1</v>
      </c>
      <c r="Y21" s="812">
        <f>'Haver Pivoted'!HJ33</f>
        <v>609.5</v>
      </c>
      <c r="Z21" s="812">
        <f>'Haver Pivoted'!HK33</f>
        <v>630</v>
      </c>
      <c r="AA21" s="812">
        <f>'Haver Pivoted'!HL33</f>
        <v>655.5</v>
      </c>
      <c r="AB21" s="812">
        <f>'Haver Pivoted'!HM33</f>
        <v>670.5</v>
      </c>
      <c r="AC21" s="812">
        <f>'Haver Pivoted'!HN33</f>
        <v>668.8</v>
      </c>
      <c r="AD21" s="1207">
        <f>$AC121*AD130*(AD103/$AC103)+AD20+AD22</f>
        <v>667.27385273315417</v>
      </c>
      <c r="AE21" s="1207">
        <f t="shared" ref="AE21:AN21" si="5">$AC121*AE130*(AE103/$AC103)+AE20+AE22</f>
        <v>675.43096661001152</v>
      </c>
      <c r="AF21" s="1207">
        <f t="shared" si="5"/>
        <v>683.8247601293931</v>
      </c>
      <c r="AG21" s="1207">
        <f t="shared" si="5"/>
        <v>691.67185700970447</v>
      </c>
      <c r="AH21" s="1207">
        <f t="shared" si="5"/>
        <v>699.21227040956194</v>
      </c>
      <c r="AI21" s="1207">
        <f t="shared" si="5"/>
        <v>706.74601677723547</v>
      </c>
      <c r="AJ21" s="1207">
        <f t="shared" si="5"/>
        <v>714.1797576621525</v>
      </c>
      <c r="AK21" s="1207">
        <f t="shared" si="5"/>
        <v>721.92351554361539</v>
      </c>
      <c r="AL21" s="1207">
        <f t="shared" si="5"/>
        <v>729.62060419979173</v>
      </c>
      <c r="AM21" s="1207">
        <f t="shared" si="5"/>
        <v>737.50436975711398</v>
      </c>
      <c r="AN21" s="1207">
        <f t="shared" si="5"/>
        <v>745.58147924776586</v>
      </c>
      <c r="AO21" s="769"/>
      <c r="AP21" s="769"/>
    </row>
    <row r="22" spans="4:56" x14ac:dyDescent="0.25">
      <c r="D22" s="517" t="s">
        <v>1881</v>
      </c>
      <c r="E22" s="36"/>
      <c r="F22" s="772"/>
      <c r="G22" s="854"/>
      <c r="H22" s="854"/>
      <c r="I22" s="854"/>
      <c r="J22" s="854"/>
      <c r="K22" s="854"/>
      <c r="L22" s="854"/>
      <c r="M22" s="854"/>
      <c r="N22" s="854"/>
      <c r="O22" s="854"/>
      <c r="P22" s="854"/>
      <c r="Q22" s="854"/>
      <c r="R22" s="854"/>
      <c r="S22" s="854"/>
      <c r="T22" s="854"/>
      <c r="U22" s="854"/>
      <c r="V22" s="854"/>
      <c r="W22" s="854">
        <v>20</v>
      </c>
      <c r="X22" s="854">
        <v>20</v>
      </c>
      <c r="Y22" s="1207">
        <v>0</v>
      </c>
      <c r="Z22" s="1207">
        <f>-24</f>
        <v>-24</v>
      </c>
      <c r="AA22" s="1207">
        <f>-11</f>
        <v>-11</v>
      </c>
      <c r="AB22" s="1207">
        <f>-11</f>
        <v>-11</v>
      </c>
      <c r="AC22" s="1207">
        <f t="shared" ref="AC22:AN22" si="6">-11</f>
        <v>-11</v>
      </c>
      <c r="AD22" s="1207">
        <f t="shared" si="6"/>
        <v>-11</v>
      </c>
      <c r="AE22" s="1207">
        <f t="shared" si="6"/>
        <v>-11</v>
      </c>
      <c r="AF22" s="1207">
        <f t="shared" si="6"/>
        <v>-11</v>
      </c>
      <c r="AG22" s="1207">
        <f>-11</f>
        <v>-11</v>
      </c>
      <c r="AH22" s="1207">
        <f t="shared" si="6"/>
        <v>-11</v>
      </c>
      <c r="AI22" s="1207">
        <f t="shared" si="6"/>
        <v>-11</v>
      </c>
      <c r="AJ22" s="1207">
        <f t="shared" si="6"/>
        <v>-11</v>
      </c>
      <c r="AK22" s="1207">
        <f t="shared" si="6"/>
        <v>-11</v>
      </c>
      <c r="AL22" s="1207">
        <f t="shared" si="6"/>
        <v>-11</v>
      </c>
      <c r="AM22" s="1207">
        <f t="shared" si="6"/>
        <v>-11</v>
      </c>
      <c r="AN22" s="1207">
        <f t="shared" si="6"/>
        <v>-11</v>
      </c>
      <c r="AO22" s="769"/>
      <c r="AP22" s="769"/>
    </row>
    <row r="23" spans="4:56" x14ac:dyDescent="0.25">
      <c r="D23" s="517" t="s">
        <v>481</v>
      </c>
      <c r="E23" s="36" t="s">
        <v>486</v>
      </c>
      <c r="F23" s="772">
        <f>'Haver Pivoted'!GQ36</f>
        <v>20.8</v>
      </c>
      <c r="G23" s="854">
        <f>'Haver Pivoted'!GR36</f>
        <v>20.6</v>
      </c>
      <c r="H23" s="854">
        <f>'Haver Pivoted'!GS36</f>
        <v>20.5</v>
      </c>
      <c r="I23" s="854">
        <f>'Haver Pivoted'!GT36</f>
        <v>20.3</v>
      </c>
      <c r="J23" s="854">
        <f>'Haver Pivoted'!GU36</f>
        <v>19.3</v>
      </c>
      <c r="K23" s="854">
        <f>'Haver Pivoted'!GV36</f>
        <v>19.899999999999999</v>
      </c>
      <c r="L23" s="854">
        <f>'Haver Pivoted'!GW36</f>
        <v>20.6</v>
      </c>
      <c r="M23" s="854">
        <f>'Haver Pivoted'!GX36</f>
        <v>21.3</v>
      </c>
      <c r="N23" s="854">
        <f>'Haver Pivoted'!GY36</f>
        <v>22</v>
      </c>
      <c r="O23" s="854">
        <f>'Haver Pivoted'!GZ36</f>
        <v>22.6</v>
      </c>
      <c r="P23" s="854">
        <f>'Haver Pivoted'!HA36</f>
        <v>23.1</v>
      </c>
      <c r="Q23" s="854">
        <f>'Haver Pivoted'!HB36</f>
        <v>23.4</v>
      </c>
      <c r="R23" s="854">
        <f>'Haver Pivoted'!HC36</f>
        <v>23.1</v>
      </c>
      <c r="S23" s="854">
        <f>'Haver Pivoted'!HD36</f>
        <v>22.7</v>
      </c>
      <c r="T23" s="812">
        <f>'Haver Pivoted'!HE36</f>
        <v>21.8</v>
      </c>
      <c r="U23" s="812">
        <f>'Haver Pivoted'!HF36</f>
        <v>20.8</v>
      </c>
      <c r="V23" s="812">
        <f>'Haver Pivoted'!HG36</f>
        <v>20.5</v>
      </c>
      <c r="W23" s="812">
        <f>'Haver Pivoted'!HH36</f>
        <v>21.2</v>
      </c>
      <c r="X23" s="812">
        <f>'Haver Pivoted'!HI36</f>
        <v>22.8</v>
      </c>
      <c r="Y23" s="812">
        <f>'Haver Pivoted'!HJ36</f>
        <v>25</v>
      </c>
      <c r="Z23" s="812">
        <f>'Haver Pivoted'!HK36</f>
        <v>26.7</v>
      </c>
      <c r="AA23" s="812">
        <f>'Haver Pivoted'!HL36</f>
        <v>27.5</v>
      </c>
      <c r="AB23" s="812">
        <f>'Haver Pivoted'!HM36</f>
        <v>27.6</v>
      </c>
      <c r="AC23" s="812">
        <f>'Haver Pivoted'!HN36</f>
        <v>27</v>
      </c>
      <c r="AD23" s="1207">
        <f>$AC122*AD131*(AD104/$AC104)</f>
        <v>27.338548062858347</v>
      </c>
      <c r="AE23" s="1207">
        <f t="shared" ref="AE23:AN23" si="7">$AC122*AE131*(AE104/$AC104)</f>
        <v>27.673083391347198</v>
      </c>
      <c r="AF23" s="1207">
        <f t="shared" si="7"/>
        <v>28.004450771649598</v>
      </c>
      <c r="AG23" s="1207">
        <f t="shared" si="7"/>
        <v>28.318711231745187</v>
      </c>
      <c r="AH23" s="1207">
        <f t="shared" si="7"/>
        <v>28.622200668006847</v>
      </c>
      <c r="AI23" s="1207">
        <f t="shared" si="7"/>
        <v>28.922944549173593</v>
      </c>
      <c r="AJ23" s="1207">
        <f t="shared" si="7"/>
        <v>29.21861971324202</v>
      </c>
      <c r="AK23" s="1207">
        <f t="shared" si="7"/>
        <v>29.521053166774866</v>
      </c>
      <c r="AL23" s="1207">
        <f t="shared" si="7"/>
        <v>29.8264433719484</v>
      </c>
      <c r="AM23" s="1207">
        <f t="shared" si="7"/>
        <v>30.13669109767449</v>
      </c>
      <c r="AN23" s="1207">
        <f t="shared" si="7"/>
        <v>30.449684378495501</v>
      </c>
      <c r="AO23" s="769"/>
      <c r="AP23" s="769"/>
    </row>
    <row r="24" spans="4:56" x14ac:dyDescent="0.25">
      <c r="D24" s="517" t="s">
        <v>482</v>
      </c>
      <c r="E24" s="36" t="s">
        <v>487</v>
      </c>
      <c r="F24" s="772">
        <f>'Haver Pivoted'!GQ34</f>
        <v>1351</v>
      </c>
      <c r="G24" s="854">
        <f>'Haver Pivoted'!GR34</f>
        <v>1376.8</v>
      </c>
      <c r="H24" s="854">
        <f>'Haver Pivoted'!GS34</f>
        <v>1373.6</v>
      </c>
      <c r="I24" s="854">
        <f>'Haver Pivoted'!GT34</f>
        <v>1373.1</v>
      </c>
      <c r="J24" s="854">
        <f>'Haver Pivoted'!GU34</f>
        <v>1288.7</v>
      </c>
      <c r="K24" s="854">
        <f>'Haver Pivoted'!GV34</f>
        <v>1390.2</v>
      </c>
      <c r="L24" s="854">
        <f>'Haver Pivoted'!GW34</f>
        <v>1411.7</v>
      </c>
      <c r="M24" s="854">
        <f>'Haver Pivoted'!GX34</f>
        <v>1436.2</v>
      </c>
      <c r="N24" s="854">
        <f>'Haver Pivoted'!GY34</f>
        <v>1524.3</v>
      </c>
      <c r="O24" s="854">
        <f>'Haver Pivoted'!GZ34</f>
        <v>1538.3</v>
      </c>
      <c r="P24" s="854">
        <f>'Haver Pivoted'!HA34</f>
        <v>1579.3</v>
      </c>
      <c r="Q24" s="854">
        <f>'Haver Pivoted'!HB34</f>
        <v>1605.3</v>
      </c>
      <c r="R24" s="854">
        <f>'Haver Pivoted'!HC34</f>
        <v>1644.2</v>
      </c>
      <c r="S24" s="854">
        <f>'Haver Pivoted'!HD34</f>
        <v>1668.2</v>
      </c>
      <c r="T24" s="812">
        <f>'Haver Pivoted'!HE34</f>
        <v>1676.9</v>
      </c>
      <c r="U24" s="812">
        <f>'Haver Pivoted'!HF34</f>
        <v>1697.8</v>
      </c>
      <c r="V24" s="812">
        <f>'Haver Pivoted'!HG34</f>
        <v>1709.4</v>
      </c>
      <c r="W24" s="812">
        <f>'Haver Pivoted'!HH34</f>
        <v>1724</v>
      </c>
      <c r="X24" s="812">
        <f>'Haver Pivoted'!HI34</f>
        <v>1744.3</v>
      </c>
      <c r="Y24" s="812">
        <f>'Haver Pivoted'!HJ34</f>
        <v>1760.8</v>
      </c>
      <c r="Z24" s="812">
        <f>'Haver Pivoted'!HK34</f>
        <v>1782.3</v>
      </c>
      <c r="AA24" s="812">
        <f>'Haver Pivoted'!HL34</f>
        <v>1794.5</v>
      </c>
      <c r="AB24" s="812">
        <f>'Haver Pivoted'!HM34</f>
        <v>1821.7</v>
      </c>
      <c r="AC24" s="812">
        <f>'Haver Pivoted'!HN34</f>
        <v>1846.5</v>
      </c>
      <c r="AD24" s="1207">
        <f>$AC127*AD132*(AD106/$AC106)</f>
        <v>1868.1387779308047</v>
      </c>
      <c r="AE24" s="1207">
        <f t="shared" ref="AE24:AN24" si="8">$AC127*AE132*(AE106/$AC106)</f>
        <v>1886.655272973225</v>
      </c>
      <c r="AF24" s="1207">
        <f t="shared" si="8"/>
        <v>1904.5292112473103</v>
      </c>
      <c r="AG24" s="1207">
        <f t="shared" si="8"/>
        <v>1920.8284329342112</v>
      </c>
      <c r="AH24" s="1207">
        <f t="shared" si="8"/>
        <v>1938.4399184437661</v>
      </c>
      <c r="AI24" s="1207">
        <f t="shared" si="8"/>
        <v>1953.8341305978013</v>
      </c>
      <c r="AJ24" s="1207">
        <f t="shared" si="8"/>
        <v>1971.2736642961122</v>
      </c>
      <c r="AK24" s="1207">
        <f t="shared" si="8"/>
        <v>1989.8263597198463</v>
      </c>
      <c r="AL24" s="1207">
        <f t="shared" si="8"/>
        <v>2006.3789840759493</v>
      </c>
      <c r="AM24" s="1207">
        <f t="shared" si="8"/>
        <v>2022.9768589086952</v>
      </c>
      <c r="AN24" s="1207">
        <f t="shared" si="8"/>
        <v>2040.7693463248233</v>
      </c>
      <c r="AO24" s="769"/>
      <c r="AP24" s="769"/>
    </row>
    <row r="25" spans="4:56" ht="14.85" customHeight="1" x14ac:dyDescent="0.25">
      <c r="D25" s="806" t="s">
        <v>483</v>
      </c>
      <c r="E25" s="828" t="s">
        <v>488</v>
      </c>
      <c r="F25" s="878">
        <f>'Haver Pivoted'!GQ35</f>
        <v>76.8</v>
      </c>
      <c r="G25" s="892">
        <f>'Haver Pivoted'!GR35</f>
        <v>74.099999999999994</v>
      </c>
      <c r="H25" s="892">
        <f>'Haver Pivoted'!GS35</f>
        <v>70.3</v>
      </c>
      <c r="I25" s="892">
        <f>'Haver Pivoted'!GT35</f>
        <v>64.5</v>
      </c>
      <c r="J25" s="892">
        <f>'Haver Pivoted'!GU35</f>
        <v>66.400000000000006</v>
      </c>
      <c r="K25" s="892">
        <f>'Haver Pivoted'!GV35</f>
        <v>81.5</v>
      </c>
      <c r="L25" s="892">
        <f>'Haver Pivoted'!GW35</f>
        <v>82.4</v>
      </c>
      <c r="M25" s="892">
        <f>'Haver Pivoted'!GX35</f>
        <v>83.1</v>
      </c>
      <c r="N25" s="892">
        <f>'Haver Pivoted'!GY35</f>
        <v>93.7</v>
      </c>
      <c r="O25" s="892">
        <f>'Haver Pivoted'!GZ35</f>
        <v>119.3</v>
      </c>
      <c r="P25" s="892">
        <f>'Haver Pivoted'!HA35</f>
        <v>168.1</v>
      </c>
      <c r="Q25" s="892">
        <f>'Haver Pivoted'!HB35</f>
        <v>170.8</v>
      </c>
      <c r="R25" s="892">
        <f>'Haver Pivoted'!HC35</f>
        <v>157.6</v>
      </c>
      <c r="S25" s="892">
        <f>'Haver Pivoted'!HD35</f>
        <v>159.1</v>
      </c>
      <c r="T25" s="894">
        <f>'Haver Pivoted'!HE35</f>
        <v>162.19999999999999</v>
      </c>
      <c r="U25" s="815">
        <f>'Haver Pivoted'!HF35</f>
        <v>158.69999999999999</v>
      </c>
      <c r="V25" s="815">
        <f>'Haver Pivoted'!HG35</f>
        <v>162.4</v>
      </c>
      <c r="W25" s="815">
        <f>'Haver Pivoted'!HH35</f>
        <v>165.9</v>
      </c>
      <c r="X25" s="815">
        <f>'Haver Pivoted'!HI35</f>
        <v>166.9</v>
      </c>
      <c r="Y25" s="815">
        <f>'Haver Pivoted'!HJ35</f>
        <v>170.4</v>
      </c>
      <c r="Z25" s="815">
        <f>'Haver Pivoted'!HK35</f>
        <v>164</v>
      </c>
      <c r="AA25" s="815">
        <f>'Haver Pivoted'!HL35</f>
        <v>162.6</v>
      </c>
      <c r="AB25" s="815">
        <f>'Haver Pivoted'!HM35</f>
        <v>164.2</v>
      </c>
      <c r="AC25" s="893">
        <f>$Y128*AC133*(AC107/$Y107)</f>
        <v>159.5627788290613</v>
      </c>
      <c r="AD25" s="893">
        <f t="shared" ref="AD25:AJ25" si="9">$Y128*AD133*(AD107/$Y107)</f>
        <v>159.49686908653018</v>
      </c>
      <c r="AE25" s="893">
        <f t="shared" si="9"/>
        <v>159.63339641034463</v>
      </c>
      <c r="AF25" s="893">
        <f t="shared" si="9"/>
        <v>159.55336315155685</v>
      </c>
      <c r="AG25" s="893">
        <f t="shared" si="9"/>
        <v>159.74638454039797</v>
      </c>
      <c r="AH25" s="893">
        <f t="shared" si="9"/>
        <v>160.06180973679682</v>
      </c>
      <c r="AI25" s="893">
        <f t="shared" si="9"/>
        <v>159.90174321922129</v>
      </c>
      <c r="AJ25" s="893">
        <f t="shared" si="9"/>
        <v>160.09476460806238</v>
      </c>
      <c r="AK25" s="893">
        <f t="shared" ref="AK25:AN25" si="10">$Y128*AK133*(AK107/$Y107)</f>
        <v>159.78875508916795</v>
      </c>
      <c r="AL25" s="893">
        <f t="shared" si="10"/>
        <v>159.2002752451402</v>
      </c>
      <c r="AM25" s="893">
        <f t="shared" si="10"/>
        <v>158.50822294856357</v>
      </c>
      <c r="AN25" s="893">
        <f t="shared" si="10"/>
        <v>158.63533459487357</v>
      </c>
      <c r="AO25" s="769"/>
      <c r="AP25" s="769"/>
    </row>
    <row r="26" spans="4:56" ht="14.85" customHeight="1" x14ac:dyDescent="0.25">
      <c r="D26" s="846" t="s">
        <v>1883</v>
      </c>
      <c r="E26" s="796"/>
      <c r="F26" s="491">
        <f>F9+F19</f>
        <v>5162.2</v>
      </c>
      <c r="G26" s="491">
        <f>G9+G19</f>
        <v>5179.8999999999996</v>
      </c>
      <c r="H26" s="491">
        <f>H9+H19</f>
        <v>5227.3999999999996</v>
      </c>
      <c r="I26" s="491">
        <f>I9+I19</f>
        <v>5278.4</v>
      </c>
      <c r="J26" s="491">
        <f>J9+J19</f>
        <v>4928.3</v>
      </c>
      <c r="K26" s="491">
        <f>K9+K19</f>
        <v>5240.6000000000004</v>
      </c>
      <c r="L26" s="491">
        <f>L9+L19</f>
        <v>5439</v>
      </c>
      <c r="M26" s="491">
        <f>M9+M19</f>
        <v>5654.6</v>
      </c>
      <c r="N26" s="491">
        <f>N9+N19</f>
        <v>5924.9</v>
      </c>
      <c r="O26" s="491">
        <f>O9+O19</f>
        <v>6053.7000000000007</v>
      </c>
      <c r="P26" s="491">
        <f>P9+P19</f>
        <v>6248.8</v>
      </c>
      <c r="Q26" s="491">
        <f>Q9+Q19</f>
        <v>6732.8000000000011</v>
      </c>
      <c r="R26" s="491">
        <f>R9+R19</f>
        <v>6839.6</v>
      </c>
      <c r="S26" s="491">
        <f>S9+S19</f>
        <v>6829.3</v>
      </c>
      <c r="T26" s="491">
        <f>T9+T19</f>
        <v>6821.9000000000005</v>
      </c>
      <c r="U26" s="491">
        <f>U9+U19</f>
        <v>6493.7999999999993</v>
      </c>
      <c r="V26" s="491">
        <f>V9+V19</f>
        <v>6524</v>
      </c>
      <c r="W26" s="491">
        <f>W9+W19</f>
        <v>6601.4</v>
      </c>
      <c r="X26" s="491">
        <f>X9+X19</f>
        <v>6666.9</v>
      </c>
      <c r="Y26" s="653">
        <f>Y9+Y19</f>
        <v>6792.7</v>
      </c>
      <c r="Z26" s="653">
        <f>Z9+Z19</f>
        <v>6856.2</v>
      </c>
      <c r="AA26" s="653">
        <f>AA9+AA19</f>
        <v>6934</v>
      </c>
      <c r="AB26" s="653">
        <f>AB9+AB19</f>
        <v>7034.2</v>
      </c>
      <c r="AC26" s="653">
        <f>AC9+AC19</f>
        <v>7152.7000000000007</v>
      </c>
      <c r="AD26" s="653">
        <f>AD9+AD19</f>
        <v>7226.0992468293007</v>
      </c>
      <c r="AE26" s="653">
        <f>AE9+AE19</f>
        <v>7276.4214937432589</v>
      </c>
      <c r="AF26" s="653">
        <f>AF9+AF19</f>
        <v>7326.5526411190549</v>
      </c>
      <c r="AG26" s="653">
        <f>AG9+AG19</f>
        <v>7439.5811715922382</v>
      </c>
      <c r="AH26" s="653">
        <f>AH9+AH19</f>
        <v>7497.7349750569629</v>
      </c>
      <c r="AI26" s="653">
        <f>AI9+AI19</f>
        <v>7554.0382432203569</v>
      </c>
      <c r="AJ26" s="653">
        <f>AJ9+AJ19</f>
        <v>7612.6602884538333</v>
      </c>
      <c r="AK26" s="653">
        <f>AK9+AK19</f>
        <v>7805.8898063329752</v>
      </c>
      <c r="AL26" s="653">
        <f>AL9+AL19</f>
        <v>7856.541996971313</v>
      </c>
      <c r="AM26" s="653">
        <f>AM9+AM19</f>
        <v>7907.6569160612862</v>
      </c>
      <c r="AN26" s="653">
        <f>AN9+AN19</f>
        <v>7960.3887625304114</v>
      </c>
    </row>
    <row r="27" spans="4:56" ht="14.85" customHeight="1" x14ac:dyDescent="0.25">
      <c r="D27" s="846" t="s">
        <v>1900</v>
      </c>
      <c r="E27" s="796"/>
      <c r="F27" s="491">
        <f>F10+F21</f>
        <v>2217.6999999999998</v>
      </c>
      <c r="G27" s="491">
        <f>G10+G21</f>
        <v>2195.4</v>
      </c>
      <c r="H27" s="491">
        <f>H10+H21</f>
        <v>2226.3000000000002</v>
      </c>
      <c r="I27" s="491">
        <f>I10+I21</f>
        <v>2247.6999999999998</v>
      </c>
      <c r="J27" s="491">
        <f>J10+J21</f>
        <v>2107.2999999999997</v>
      </c>
      <c r="K27" s="491">
        <f>K10+K21</f>
        <v>2248.1999999999998</v>
      </c>
      <c r="L27" s="491">
        <f>L10+L21</f>
        <v>2377.8000000000002</v>
      </c>
      <c r="M27" s="491">
        <f>M10+M21</f>
        <v>2547.6999999999998</v>
      </c>
      <c r="N27" s="491">
        <f>N10+N21</f>
        <v>2675.6</v>
      </c>
      <c r="O27" s="491">
        <f>O10+O21</f>
        <v>2750</v>
      </c>
      <c r="P27" s="491">
        <f>P10+P21</f>
        <v>2847.1</v>
      </c>
      <c r="Q27" s="491">
        <f>Q10+Q21</f>
        <v>3254.1000000000004</v>
      </c>
      <c r="R27" s="491">
        <f>R10+R21</f>
        <v>3297.4</v>
      </c>
      <c r="S27" s="491">
        <f>S10+S21</f>
        <v>3224.9</v>
      </c>
      <c r="T27" s="491">
        <f>T10+T21</f>
        <v>3203.2999999999997</v>
      </c>
      <c r="U27" s="491">
        <f>U10+U21</f>
        <v>2834.3</v>
      </c>
      <c r="V27" s="491">
        <f>V10+V21</f>
        <v>2828.4</v>
      </c>
      <c r="W27" s="491">
        <f>W10+W21</f>
        <v>2866</v>
      </c>
      <c r="X27" s="491">
        <f>X10+X21</f>
        <v>2894.2999999999997</v>
      </c>
      <c r="Y27" s="491">
        <f>Y10+Y21</f>
        <v>2965.6</v>
      </c>
      <c r="Z27" s="491">
        <f>Z10+Z21</f>
        <v>3005.4</v>
      </c>
      <c r="AA27" s="491">
        <f>AA10+AA21</f>
        <v>3054.2</v>
      </c>
      <c r="AB27" s="491">
        <f>AB10+AB21</f>
        <v>3105.5</v>
      </c>
      <c r="AC27" s="491">
        <f>AC10+AC21</f>
        <v>3162.1000000000004</v>
      </c>
      <c r="AD27" s="491">
        <f>AD10+AD21</f>
        <v>3202.947930024623</v>
      </c>
      <c r="AE27" s="491">
        <f>AE10+AE21</f>
        <v>3223.6894208390249</v>
      </c>
      <c r="AF27" s="491">
        <f>AF10+AF21</f>
        <v>3244.730046697583</v>
      </c>
      <c r="AG27" s="491">
        <f>AG10+AG21</f>
        <v>3321.8092316498696</v>
      </c>
      <c r="AH27" s="491">
        <f>AH10+AH21</f>
        <v>3342.402836868192</v>
      </c>
      <c r="AI27" s="491">
        <f>AI10+AI21</f>
        <v>3363.0545571521379</v>
      </c>
      <c r="AJ27" s="491">
        <f>AJ10+AJ21</f>
        <v>3383.6713755602523</v>
      </c>
      <c r="AK27" s="491">
        <f>AK10+AK21</f>
        <v>3537.4602138347955</v>
      </c>
      <c r="AL27" s="491">
        <f>AL10+AL21</f>
        <v>3559.130618466435</v>
      </c>
      <c r="AM27" s="491">
        <f>AM10+AM21</f>
        <v>3581.0570486102579</v>
      </c>
      <c r="AN27" s="491">
        <f>AN10+AN21</f>
        <v>3603.2465154708584</v>
      </c>
    </row>
    <row r="28" spans="4:56" ht="14.85" customHeight="1" x14ac:dyDescent="0.25">
      <c r="D28" s="846" t="s">
        <v>1901</v>
      </c>
      <c r="E28" s="796"/>
      <c r="F28" s="491">
        <f>F12+F23</f>
        <v>1424.3</v>
      </c>
      <c r="G28" s="491">
        <f>G12+G23</f>
        <v>1430.8999999999999</v>
      </c>
      <c r="H28" s="491">
        <f>H12+H23</f>
        <v>1448.7</v>
      </c>
      <c r="I28" s="491">
        <f>I12+I23</f>
        <v>1473.5</v>
      </c>
      <c r="J28" s="491">
        <f>J12+J23</f>
        <v>1403</v>
      </c>
      <c r="K28" s="491">
        <f>K12+K23</f>
        <v>1452.9</v>
      </c>
      <c r="L28" s="491">
        <f>L12+L23</f>
        <v>1490.8</v>
      </c>
      <c r="M28" s="491">
        <f>M12+M23</f>
        <v>1508.5</v>
      </c>
      <c r="N28" s="491">
        <f>N12+N23</f>
        <v>1544.5</v>
      </c>
      <c r="O28" s="491">
        <f>O12+O23</f>
        <v>1581.6</v>
      </c>
      <c r="P28" s="491">
        <f>P12+P23</f>
        <v>1626.6</v>
      </c>
      <c r="Q28" s="491">
        <f>Q12+Q23</f>
        <v>1666.3000000000002</v>
      </c>
      <c r="R28" s="491">
        <f>R12+R23</f>
        <v>1689</v>
      </c>
      <c r="S28" s="491">
        <f>S12+S23</f>
        <v>1735.9</v>
      </c>
      <c r="T28" s="491">
        <f>T12+T23</f>
        <v>1751.7</v>
      </c>
      <c r="U28" s="491">
        <f>U12+U23</f>
        <v>1782</v>
      </c>
      <c r="V28" s="491">
        <f>V12+V23</f>
        <v>1810.4</v>
      </c>
      <c r="W28" s="491">
        <f>W12+W23</f>
        <v>1839.2</v>
      </c>
      <c r="X28" s="491">
        <f>X12+X23</f>
        <v>1859</v>
      </c>
      <c r="Y28" s="491">
        <f>Y12+Y23</f>
        <v>1889.1</v>
      </c>
      <c r="Z28" s="491">
        <f>Z12+Z23</f>
        <v>1896.1000000000001</v>
      </c>
      <c r="AA28" s="491">
        <f>AA12+AA23</f>
        <v>1903.9</v>
      </c>
      <c r="AB28" s="491">
        <f>AB12+AB23</f>
        <v>1924.5</v>
      </c>
      <c r="AC28" s="491">
        <f>AC12+AC23</f>
        <v>1952.8</v>
      </c>
      <c r="AD28" s="491">
        <f>AD12+AD23</f>
        <v>1966.9890962080419</v>
      </c>
      <c r="AE28" s="491">
        <f>AE12+AE23</f>
        <v>1981.2737942231633</v>
      </c>
      <c r="AF28" s="491">
        <f>AF12+AF23</f>
        <v>1995.6556552693919</v>
      </c>
      <c r="AG28" s="491">
        <f>AG12+AG23</f>
        <v>2018.4168425091814</v>
      </c>
      <c r="AH28" s="491">
        <f>AH12+AH23</f>
        <v>2041.423332830497</v>
      </c>
      <c r="AI28" s="491">
        <f>AI12+AI23</f>
        <v>2064.6860729905056</v>
      </c>
      <c r="AJ28" s="491">
        <f>AJ12+AJ23</f>
        <v>2088.2056944416331</v>
      </c>
      <c r="AK28" s="491">
        <f>AK12+AK23</f>
        <v>2111.9970125110558</v>
      </c>
      <c r="AL28" s="491">
        <f>AL12+AL23</f>
        <v>2127.2797801884931</v>
      </c>
      <c r="AM28" s="491">
        <f>AM12+AM23</f>
        <v>2142.6751241982847</v>
      </c>
      <c r="AN28" s="491">
        <f>AN12+AN23</f>
        <v>2158.1817072995495</v>
      </c>
    </row>
    <row r="29" spans="4:56" ht="14.25" customHeight="1" x14ac:dyDescent="0.25"/>
    <row r="30" spans="4:56" ht="14.85" customHeight="1" x14ac:dyDescent="0.25">
      <c r="D30" s="511"/>
      <c r="E30" s="320"/>
      <c r="F30" s="320"/>
      <c r="G30" s="320"/>
      <c r="H30" s="320"/>
      <c r="I30" s="320"/>
      <c r="J30" s="320"/>
      <c r="K30" s="320"/>
      <c r="L30" s="320"/>
      <c r="AI30" s="256"/>
      <c r="AJ30" s="256"/>
      <c r="AK30" s="256"/>
      <c r="AL30" s="256"/>
      <c r="AM30" s="256"/>
      <c r="AN30" s="256"/>
      <c r="AO30" s="256"/>
    </row>
    <row r="31" spans="4:56" ht="14.85" customHeight="1" x14ac:dyDescent="0.25">
      <c r="D31" s="1374" t="s">
        <v>912</v>
      </c>
      <c r="E31" s="1375"/>
      <c r="F31" s="1376"/>
      <c r="G31" s="315">
        <v>2020</v>
      </c>
      <c r="H31" s="316">
        <v>2021</v>
      </c>
      <c r="I31" s="315">
        <v>2022</v>
      </c>
      <c r="J31" s="829">
        <v>2023</v>
      </c>
      <c r="K31" s="829">
        <v>2024</v>
      </c>
      <c r="L31" s="830">
        <v>2025</v>
      </c>
      <c r="M31" s="830">
        <v>2026</v>
      </c>
      <c r="N31" s="830">
        <v>2027</v>
      </c>
      <c r="AI31" s="256"/>
      <c r="AJ31" s="256"/>
      <c r="AK31" s="256"/>
      <c r="AL31" s="256"/>
      <c r="AM31" s="256"/>
      <c r="AN31" s="256"/>
      <c r="AO31" s="256"/>
    </row>
    <row r="32" spans="4:56" ht="14.85" customHeight="1" x14ac:dyDescent="0.25">
      <c r="D32" s="800" t="s">
        <v>489</v>
      </c>
      <c r="E32" s="277"/>
      <c r="F32" s="309"/>
      <c r="G32" s="868">
        <f>AVERAGE(H10:K10)</f>
        <v>1712.5250000000001</v>
      </c>
      <c r="H32" s="460">
        <f>AVERAGE(L10:O10)</f>
        <v>2025.3000000000002</v>
      </c>
      <c r="I32" s="460">
        <f>AVERAGE(P10:S10)</f>
        <v>2519.5</v>
      </c>
      <c r="J32" s="460">
        <f t="shared" ref="J32:K32" si="11">I32*J56/I56</f>
        <v>2083.336548518414</v>
      </c>
      <c r="K32" s="460">
        <f t="shared" si="11"/>
        <v>2322.2412923680117</v>
      </c>
      <c r="L32" s="460">
        <f t="shared" ref="L32:N32" si="12">K32*L56/K56</f>
        <v>2509.1593240493971</v>
      </c>
      <c r="M32" s="460">
        <f t="shared" si="12"/>
        <v>2671.958683887096</v>
      </c>
      <c r="N32" s="460">
        <f t="shared" si="12"/>
        <v>3113.682534016933</v>
      </c>
      <c r="O32" t="s">
        <v>1906</v>
      </c>
    </row>
    <row r="33" spans="3:36" ht="14.85" customHeight="1" x14ac:dyDescent="0.25">
      <c r="D33" s="823" t="s">
        <v>494</v>
      </c>
      <c r="E33" s="222"/>
      <c r="F33" s="222"/>
      <c r="G33" s="869">
        <f>AVERAGE(H12:K12)</f>
        <v>1424.5250000000001</v>
      </c>
      <c r="H33" s="235">
        <f>AVERAGE(L12:O12)</f>
        <v>1509.7249999999999</v>
      </c>
      <c r="I33" s="235">
        <f>AVERAGE(P12:S12)</f>
        <v>1656.375</v>
      </c>
      <c r="J33" s="235">
        <f t="shared" ref="J33:N34" si="13">I33*J58/I58</f>
        <v>1802.5599531117082</v>
      </c>
      <c r="K33" s="235">
        <f t="shared" si="13"/>
        <v>1908.0368684134958</v>
      </c>
      <c r="L33" s="235">
        <f t="shared" si="13"/>
        <v>1963.5230627909452</v>
      </c>
      <c r="M33" s="235">
        <f t="shared" si="13"/>
        <v>2054.6673099258119</v>
      </c>
      <c r="N33" s="235">
        <f t="shared" si="13"/>
        <v>2138.5117997594916</v>
      </c>
    </row>
    <row r="34" spans="3:36" ht="14.85" customHeight="1" x14ac:dyDescent="0.25">
      <c r="D34" s="823" t="s">
        <v>105</v>
      </c>
      <c r="E34" s="222"/>
      <c r="F34" s="222"/>
      <c r="G34" s="869">
        <f>AVERAGE(H14:K14)</f>
        <v>160.375</v>
      </c>
      <c r="H34" s="235">
        <f>AVERAGE(L14:O14)</f>
        <v>171.3</v>
      </c>
      <c r="I34" s="235">
        <f>AVERAGE(P14:S14)</f>
        <v>203.05</v>
      </c>
      <c r="J34" s="235">
        <f t="shared" si="13"/>
        <v>168.63950531914898</v>
      </c>
      <c r="K34" s="235">
        <f t="shared" si="13"/>
        <v>112.9368420212766</v>
      </c>
      <c r="L34" s="235">
        <f t="shared" si="13"/>
        <v>105.39591063829786</v>
      </c>
      <c r="M34" s="235">
        <f t="shared" si="13"/>
        <v>113.12153111702128</v>
      </c>
      <c r="N34" s="235">
        <f t="shared" si="13"/>
        <v>114.05037686170213</v>
      </c>
    </row>
    <row r="35" spans="3:36" ht="14.85" customHeight="1" x14ac:dyDescent="0.25">
      <c r="D35" s="823" t="s">
        <v>257</v>
      </c>
      <c r="E35" s="222"/>
      <c r="F35" s="222"/>
      <c r="G35" s="869">
        <f>AVERAGE(H16:K16)</f>
        <v>220.4</v>
      </c>
      <c r="H35" s="235">
        <f>AVERAGE(L16:O16)</f>
        <v>307.375</v>
      </c>
      <c r="I35" s="235">
        <f>AVERAGE(P16:S16)</f>
        <v>389.2</v>
      </c>
      <c r="J35" s="235">
        <f>I35*J62/I62</f>
        <v>384.36050058018151</v>
      </c>
      <c r="K35" s="235">
        <f>J35*K62/J62</f>
        <v>485.38539448815737</v>
      </c>
      <c r="L35" s="235">
        <f>K35*L62/K62</f>
        <v>479.71870067574088</v>
      </c>
      <c r="M35" s="235">
        <f>L35*M62/L62</f>
        <v>453.58009071074002</v>
      </c>
      <c r="N35" s="235">
        <f>M35*N62/M62</f>
        <v>429.60702619878685</v>
      </c>
    </row>
    <row r="36" spans="3:36" ht="14.85" customHeight="1" x14ac:dyDescent="0.25">
      <c r="C36" s="56"/>
      <c r="D36" s="823" t="s">
        <v>908</v>
      </c>
      <c r="E36" s="56"/>
      <c r="F36" s="238"/>
      <c r="G36" s="548"/>
      <c r="H36" s="867">
        <f>H32/G32-1+0.021</f>
        <v>0.2036396694938761</v>
      </c>
      <c r="I36" s="867">
        <f>I32/H32-1.05</f>
        <v>0.1940132326075148</v>
      </c>
      <c r="J36" s="867">
        <f>J32/I32-1</f>
        <v>-0.17311508294565825</v>
      </c>
      <c r="K36" s="867">
        <f>K32/J32-1+K37</f>
        <v>0.16967410007254818</v>
      </c>
      <c r="L36" s="867">
        <f>L32/K32-1+L37</f>
        <v>8.0490357438603333E-2</v>
      </c>
      <c r="M36" s="867">
        <f>M32/L32-1+M37</f>
        <v>6.4882033706399111E-2</v>
      </c>
      <c r="N36" s="867">
        <f>N32/M32-1+N37</f>
        <v>0.16531836842897163</v>
      </c>
      <c r="O36" t="s">
        <v>896</v>
      </c>
    </row>
    <row r="37" spans="3:36" ht="14.85" customHeight="1" x14ac:dyDescent="0.25">
      <c r="C37" s="56"/>
      <c r="D37" s="823" t="s">
        <v>1882</v>
      </c>
      <c r="E37" s="56"/>
      <c r="F37" s="238"/>
      <c r="G37" s="548"/>
      <c r="H37" s="867"/>
      <c r="I37" s="867"/>
      <c r="J37" s="867"/>
      <c r="K37" s="867">
        <v>5.5E-2</v>
      </c>
      <c r="L37" s="867"/>
      <c r="M37" s="867"/>
      <c r="N37" s="867"/>
    </row>
    <row r="38" spans="3:36" ht="14.85" customHeight="1" x14ac:dyDescent="0.25">
      <c r="C38" s="56"/>
      <c r="D38" s="823" t="s">
        <v>909</v>
      </c>
      <c r="E38" s="56"/>
      <c r="F38" s="238"/>
      <c r="G38" s="548"/>
      <c r="H38" s="867">
        <f>H33/G33-1.03</f>
        <v>2.9809410154261862E-2</v>
      </c>
      <c r="I38" s="867">
        <f>I33/H33-1.013</f>
        <v>8.413689579228012E-2</v>
      </c>
      <c r="J38" s="781">
        <f>J33/I33-1</f>
        <v>8.8255952372927826E-2</v>
      </c>
      <c r="K38" s="781">
        <f>K33/J33-1</f>
        <v>5.851506637529913E-2</v>
      </c>
      <c r="L38" s="781">
        <f>L33/K33-1</f>
        <v>2.9080252743536095E-2</v>
      </c>
      <c r="M38" s="781">
        <f>M33/L33-1</f>
        <v>4.6418730119377694E-2</v>
      </c>
      <c r="N38" s="781">
        <f>N33/M33-1</f>
        <v>4.0806844703587197E-2</v>
      </c>
      <c r="O38" t="s">
        <v>897</v>
      </c>
    </row>
    <row r="39" spans="3:36" ht="14.85" customHeight="1" x14ac:dyDescent="0.25">
      <c r="C39" s="56"/>
      <c r="D39" s="823" t="s">
        <v>910</v>
      </c>
      <c r="E39" s="56"/>
      <c r="F39" s="238"/>
      <c r="G39" s="548"/>
      <c r="H39" s="867">
        <f>H34/G34-1</f>
        <v>6.8121590023382694E-2</v>
      </c>
      <c r="I39" s="867">
        <f>I34/H34-1.01</f>
        <v>0.17534734384121431</v>
      </c>
      <c r="J39" s="867">
        <f>J34/I34-1</f>
        <v>-0.16946808510638278</v>
      </c>
      <c r="K39" s="867">
        <f t="shared" ref="K39" si="14">K34/J34-1</f>
        <v>-0.3303061355194058</v>
      </c>
      <c r="L39" s="867">
        <f>L34/K34-1</f>
        <v>-6.677122582866335E-2</v>
      </c>
      <c r="M39" s="867">
        <f>M34/L34-1</f>
        <v>7.3300950975569767E-2</v>
      </c>
      <c r="N39" s="867">
        <f>N34/M34-1</f>
        <v>8.2110428979254024E-3</v>
      </c>
    </row>
    <row r="40" spans="3:36" ht="14.85" customHeight="1" x14ac:dyDescent="0.25">
      <c r="C40" s="56"/>
      <c r="D40" s="782" t="s">
        <v>911</v>
      </c>
      <c r="E40" s="35"/>
      <c r="F40" s="359"/>
      <c r="G40" s="547"/>
      <c r="H40" s="783">
        <f>H35/G35-1</f>
        <v>0.39462341197822148</v>
      </c>
      <c r="I40" s="783">
        <f>I35/H35-1.103</f>
        <v>0.16320577470516473</v>
      </c>
      <c r="J40" s="783">
        <f>J35/I35-1</f>
        <v>-1.2434479495936457E-2</v>
      </c>
      <c r="K40" s="783">
        <f>K35/J35-1-0.15</f>
        <v>0.11283890710799263</v>
      </c>
      <c r="L40" s="783">
        <f>L35/K35-1+0.15</f>
        <v>0.13832537221604688</v>
      </c>
      <c r="M40" s="783">
        <f>M35/L35-1+0.03</f>
        <v>-2.4487369219047511E-2</v>
      </c>
      <c r="N40" s="783">
        <f>N35/M35-1+0.03</f>
        <v>-2.2852991131926542E-2</v>
      </c>
    </row>
    <row r="41" spans="3:36" ht="14.85" customHeight="1" x14ac:dyDescent="0.25">
      <c r="D41" s="797"/>
      <c r="E41" s="796"/>
      <c r="F41" s="808"/>
      <c r="G41" s="808"/>
      <c r="H41" s="779"/>
      <c r="I41" s="779"/>
      <c r="J41" s="779"/>
      <c r="K41" s="779"/>
      <c r="L41" s="779"/>
    </row>
    <row r="42" spans="3:36" ht="14.85" customHeight="1" x14ac:dyDescent="0.25">
      <c r="D42" s="797"/>
      <c r="E42" s="796"/>
      <c r="F42" s="808"/>
      <c r="G42" s="808"/>
      <c r="H42" s="779"/>
      <c r="I42" s="779"/>
      <c r="J42" s="779"/>
      <c r="K42" s="779"/>
      <c r="L42" s="779"/>
    </row>
    <row r="43" spans="3:36" ht="14.85" customHeight="1" x14ac:dyDescent="0.25">
      <c r="D43" s="797"/>
      <c r="E43" s="796"/>
      <c r="F43" s="1364" t="s">
        <v>279</v>
      </c>
      <c r="G43" s="1365"/>
      <c r="H43" s="1365"/>
      <c r="I43" s="1365"/>
      <c r="J43" s="1365"/>
      <c r="K43" s="1365"/>
      <c r="L43" s="1365"/>
      <c r="M43" s="1365"/>
      <c r="N43" s="1365"/>
      <c r="O43" s="1365"/>
      <c r="P43" s="1365"/>
      <c r="Q43" s="1365"/>
      <c r="R43" s="1365"/>
      <c r="S43" s="1365"/>
      <c r="T43" s="1365"/>
      <c r="U43" s="1365"/>
      <c r="V43" s="1366"/>
      <c r="W43" s="1296" t="s">
        <v>280</v>
      </c>
      <c r="X43" s="1277"/>
      <c r="Y43" s="1277"/>
      <c r="Z43" s="1277"/>
      <c r="AA43" s="1277"/>
      <c r="AB43" s="1277"/>
      <c r="AC43" s="1277"/>
      <c r="AD43" s="1277"/>
      <c r="AE43" s="1277"/>
      <c r="AF43" s="1277"/>
      <c r="AG43" s="1277"/>
      <c r="AH43" s="1278"/>
      <c r="AJ43" s="843" t="s">
        <v>1955</v>
      </c>
    </row>
    <row r="44" spans="3:36" ht="14.85" customHeight="1" x14ac:dyDescent="0.25">
      <c r="D44" s="797"/>
      <c r="E44" s="796"/>
      <c r="F44" s="1288">
        <v>2019</v>
      </c>
      <c r="G44" s="1300"/>
      <c r="H44" s="1290"/>
      <c r="I44" s="1300">
        <v>2020</v>
      </c>
      <c r="J44" s="1300"/>
      <c r="K44" s="1300"/>
      <c r="L44" s="1300"/>
      <c r="M44" s="1288">
        <v>2021</v>
      </c>
      <c r="N44" s="1300"/>
      <c r="O44" s="1300"/>
      <c r="P44" s="1300"/>
      <c r="Q44" s="1288">
        <v>2022</v>
      </c>
      <c r="R44" s="1300"/>
      <c r="S44" s="1300"/>
      <c r="T44" s="1290"/>
      <c r="U44" s="291"/>
      <c r="V44" s="291">
        <v>2023</v>
      </c>
      <c r="W44" s="283"/>
      <c r="X44" s="719"/>
      <c r="Y44" s="1298">
        <v>2024</v>
      </c>
      <c r="Z44" s="1299"/>
      <c r="AA44" s="1299"/>
      <c r="AB44" s="1373"/>
      <c r="AC44" s="1298">
        <v>2025</v>
      </c>
      <c r="AD44" s="1299"/>
      <c r="AE44" s="1299"/>
      <c r="AF44" s="1373"/>
      <c r="AG44" s="1275">
        <v>2026</v>
      </c>
      <c r="AH44" s="1281"/>
      <c r="AI44" s="1281"/>
      <c r="AJ44" s="1280"/>
    </row>
    <row r="45" spans="3:36" ht="14.85" customHeight="1" x14ac:dyDescent="0.25">
      <c r="D45" s="797"/>
      <c r="E45" s="796"/>
      <c r="F45" s="275" t="s">
        <v>283</v>
      </c>
      <c r="G45" s="276" t="s">
        <v>238</v>
      </c>
      <c r="H45" s="274" t="s">
        <v>281</v>
      </c>
      <c r="I45" s="276" t="s">
        <v>282</v>
      </c>
      <c r="J45" s="276" t="s">
        <v>283</v>
      </c>
      <c r="K45" s="276" t="s">
        <v>238</v>
      </c>
      <c r="L45" s="276" t="s">
        <v>281</v>
      </c>
      <c r="M45" s="275" t="s">
        <v>282</v>
      </c>
      <c r="N45" s="276" t="s">
        <v>283</v>
      </c>
      <c r="O45" s="276" t="s">
        <v>238</v>
      </c>
      <c r="P45" s="276" t="s">
        <v>281</v>
      </c>
      <c r="Q45" s="275" t="s">
        <v>282</v>
      </c>
      <c r="R45" s="276" t="s">
        <v>283</v>
      </c>
      <c r="S45" s="276" t="s">
        <v>238</v>
      </c>
      <c r="T45" s="274" t="s">
        <v>281</v>
      </c>
      <c r="U45" s="276" t="s">
        <v>282</v>
      </c>
      <c r="V45" s="276" t="s">
        <v>283</v>
      </c>
      <c r="W45" s="262" t="s">
        <v>238</v>
      </c>
      <c r="X45" s="290" t="s">
        <v>281</v>
      </c>
      <c r="Y45" s="288" t="s">
        <v>282</v>
      </c>
      <c r="Z45" s="260" t="s">
        <v>283</v>
      </c>
      <c r="AA45" s="262" t="s">
        <v>238</v>
      </c>
      <c r="AB45" s="290" t="s">
        <v>281</v>
      </c>
      <c r="AC45" s="288" t="s">
        <v>282</v>
      </c>
      <c r="AD45" s="260" t="s">
        <v>283</v>
      </c>
      <c r="AE45" s="262" t="s">
        <v>238</v>
      </c>
      <c r="AF45" s="262" t="s">
        <v>281</v>
      </c>
      <c r="AG45" s="288" t="s">
        <v>282</v>
      </c>
      <c r="AH45" s="260" t="s">
        <v>283</v>
      </c>
      <c r="AI45" s="262" t="s">
        <v>238</v>
      </c>
      <c r="AJ45" s="290" t="s">
        <v>281</v>
      </c>
    </row>
    <row r="46" spans="3:36" ht="14.85" customHeight="1" x14ac:dyDescent="0.25">
      <c r="D46" s="823" t="s">
        <v>908</v>
      </c>
      <c r="E46" s="796"/>
      <c r="F46" s="808"/>
      <c r="G46" s="808"/>
      <c r="H46" s="779"/>
      <c r="I46" s="779"/>
      <c r="J46" s="779"/>
      <c r="K46" s="779"/>
      <c r="L46" s="779"/>
    </row>
    <row r="47" spans="3:36" ht="14.85" customHeight="1" x14ac:dyDescent="0.25">
      <c r="D47" s="823" t="s">
        <v>1882</v>
      </c>
      <c r="E47" s="796"/>
      <c r="F47" s="808"/>
      <c r="G47" s="808"/>
      <c r="H47" s="779"/>
      <c r="I47" s="779"/>
      <c r="J47" s="779"/>
      <c r="K47" s="779"/>
      <c r="L47" s="779"/>
      <c r="M47" s="845">
        <f>H36</f>
        <v>0.2036396694938761</v>
      </c>
      <c r="N47" s="845">
        <f>H36</f>
        <v>0.2036396694938761</v>
      </c>
      <c r="O47" s="845">
        <f>H36</f>
        <v>0.2036396694938761</v>
      </c>
      <c r="P47" s="845">
        <f>H36</f>
        <v>0.2036396694938761</v>
      </c>
      <c r="Q47" s="845">
        <f>I36</f>
        <v>0.1940132326075148</v>
      </c>
      <c r="R47" s="845">
        <f>I36</f>
        <v>0.1940132326075148</v>
      </c>
      <c r="S47" s="845">
        <f>I36</f>
        <v>0.1940132326075148</v>
      </c>
      <c r="T47" s="845">
        <f>I36</f>
        <v>0.1940132326075148</v>
      </c>
      <c r="U47" s="845">
        <f>J36</f>
        <v>-0.17311508294565825</v>
      </c>
      <c r="V47" s="845">
        <f>J36</f>
        <v>-0.17311508294565825</v>
      </c>
      <c r="W47" s="845">
        <f>J36</f>
        <v>-0.17311508294565825</v>
      </c>
      <c r="X47" s="845">
        <f>J36</f>
        <v>-0.17311508294565825</v>
      </c>
      <c r="Y47" s="845">
        <f>K36</f>
        <v>0.16967410007254818</v>
      </c>
      <c r="Z47" s="845">
        <f>K36</f>
        <v>0.16967410007254818</v>
      </c>
      <c r="AA47" s="845">
        <f>K36</f>
        <v>0.16967410007254818</v>
      </c>
      <c r="AB47" s="845">
        <f t="shared" ref="AB47:AC51" si="15">K36</f>
        <v>0.16967410007254818</v>
      </c>
      <c r="AC47" s="845">
        <f>L36</f>
        <v>8.0490357438603333E-2</v>
      </c>
      <c r="AD47" s="845">
        <f>L36</f>
        <v>8.0490357438603333E-2</v>
      </c>
      <c r="AE47" s="845">
        <f>L36</f>
        <v>8.0490357438603333E-2</v>
      </c>
      <c r="AF47" s="845">
        <f t="shared" ref="AF47:AG51" si="16">L36</f>
        <v>8.0490357438603333E-2</v>
      </c>
      <c r="AG47" s="845">
        <f t="shared" si="16"/>
        <v>6.4882033706399111E-2</v>
      </c>
      <c r="AH47" s="845">
        <f>M36</f>
        <v>6.4882033706399111E-2</v>
      </c>
      <c r="AI47" s="845">
        <f>M36</f>
        <v>6.4882033706399111E-2</v>
      </c>
      <c r="AJ47" s="845">
        <f>M36</f>
        <v>6.4882033706399111E-2</v>
      </c>
    </row>
    <row r="48" spans="3:36" ht="14.85" customHeight="1" x14ac:dyDescent="0.25">
      <c r="D48" s="823" t="s">
        <v>909</v>
      </c>
      <c r="E48" s="796"/>
      <c r="F48" s="808"/>
      <c r="G48" s="808"/>
      <c r="H48" s="779"/>
      <c r="I48" s="779"/>
      <c r="J48" s="779"/>
      <c r="K48" s="779"/>
      <c r="L48" s="779"/>
      <c r="Y48" s="845">
        <f>K37</f>
        <v>5.5E-2</v>
      </c>
      <c r="Z48" s="845">
        <f>K37</f>
        <v>5.5E-2</v>
      </c>
      <c r="AA48" s="845">
        <f>K37</f>
        <v>5.5E-2</v>
      </c>
      <c r="AB48" s="845">
        <f t="shared" si="15"/>
        <v>5.5E-2</v>
      </c>
      <c r="AC48" s="845">
        <f>L37</f>
        <v>0</v>
      </c>
      <c r="AD48" s="845">
        <f>L37</f>
        <v>0</v>
      </c>
      <c r="AE48" s="845">
        <f>L37</f>
        <v>0</v>
      </c>
      <c r="AF48" s="845">
        <f t="shared" si="16"/>
        <v>0</v>
      </c>
      <c r="AG48" s="845">
        <f t="shared" si="16"/>
        <v>0</v>
      </c>
      <c r="AH48" s="845">
        <f>M37</f>
        <v>0</v>
      </c>
      <c r="AI48" s="845">
        <f>M37</f>
        <v>0</v>
      </c>
      <c r="AJ48" s="845">
        <f>M37</f>
        <v>0</v>
      </c>
    </row>
    <row r="49" spans="4:41" ht="14.85" customHeight="1" x14ac:dyDescent="0.25">
      <c r="D49" s="823" t="s">
        <v>910</v>
      </c>
      <c r="E49" s="796"/>
      <c r="F49" s="808"/>
      <c r="G49" s="808"/>
      <c r="H49" s="779"/>
      <c r="I49" s="779"/>
      <c r="J49" s="779"/>
      <c r="K49" s="779"/>
      <c r="L49" s="779"/>
      <c r="M49" s="845">
        <f>H38</f>
        <v>2.9809410154261862E-2</v>
      </c>
      <c r="N49" s="845">
        <f>H38</f>
        <v>2.9809410154261862E-2</v>
      </c>
      <c r="O49" s="107">
        <f>H38</f>
        <v>2.9809410154261862E-2</v>
      </c>
      <c r="P49" s="845">
        <f t="shared" ref="P49:Q51" si="17">H38</f>
        <v>2.9809410154261862E-2</v>
      </c>
      <c r="Q49" s="845">
        <f t="shared" si="17"/>
        <v>8.413689579228012E-2</v>
      </c>
      <c r="R49" s="845">
        <f>I38</f>
        <v>8.413689579228012E-2</v>
      </c>
      <c r="S49" s="845">
        <f>I38</f>
        <v>8.413689579228012E-2</v>
      </c>
      <c r="T49" s="845">
        <f t="shared" ref="T49:U51" si="18">I38</f>
        <v>8.413689579228012E-2</v>
      </c>
      <c r="U49" s="107">
        <f t="shared" si="18"/>
        <v>8.8255952372927826E-2</v>
      </c>
      <c r="V49" s="107">
        <f>J38</f>
        <v>8.8255952372927826E-2</v>
      </c>
      <c r="W49" s="107">
        <f>J38</f>
        <v>8.8255952372927826E-2</v>
      </c>
      <c r="X49" s="107">
        <f>J38</f>
        <v>8.8255952372927826E-2</v>
      </c>
      <c r="Y49" s="845">
        <f>K38</f>
        <v>5.851506637529913E-2</v>
      </c>
      <c r="Z49" s="845">
        <f>K38</f>
        <v>5.851506637529913E-2</v>
      </c>
      <c r="AA49" s="845">
        <f>K38</f>
        <v>5.851506637529913E-2</v>
      </c>
      <c r="AB49" s="845">
        <f t="shared" si="15"/>
        <v>5.851506637529913E-2</v>
      </c>
      <c r="AC49" s="845">
        <f t="shared" si="15"/>
        <v>2.9080252743536095E-2</v>
      </c>
      <c r="AD49" s="845">
        <f>L38</f>
        <v>2.9080252743536095E-2</v>
      </c>
      <c r="AE49" s="845">
        <f>L38</f>
        <v>2.9080252743536095E-2</v>
      </c>
      <c r="AF49" s="845">
        <f t="shared" si="16"/>
        <v>2.9080252743536095E-2</v>
      </c>
      <c r="AG49" s="845">
        <f>M38</f>
        <v>4.6418730119377694E-2</v>
      </c>
      <c r="AH49" s="845">
        <f>M38</f>
        <v>4.6418730119377694E-2</v>
      </c>
      <c r="AI49" s="845">
        <f>M38</f>
        <v>4.6418730119377694E-2</v>
      </c>
      <c r="AJ49" s="845">
        <f>M38</f>
        <v>4.6418730119377694E-2</v>
      </c>
    </row>
    <row r="50" spans="4:41" ht="14.85" customHeight="1" x14ac:dyDescent="0.25">
      <c r="D50" s="782" t="s">
        <v>911</v>
      </c>
      <c r="E50" s="796"/>
      <c r="F50" s="808"/>
      <c r="G50" s="808"/>
      <c r="H50" s="779"/>
      <c r="I50" s="779"/>
      <c r="J50" s="779"/>
      <c r="K50" s="779"/>
      <c r="L50" s="779"/>
      <c r="M50" s="845">
        <f>H39</f>
        <v>6.8121590023382694E-2</v>
      </c>
      <c r="N50" s="845">
        <f>H39</f>
        <v>6.8121590023382694E-2</v>
      </c>
      <c r="O50" s="845">
        <f>H39</f>
        <v>6.8121590023382694E-2</v>
      </c>
      <c r="P50" s="845">
        <f t="shared" si="17"/>
        <v>6.8121590023382694E-2</v>
      </c>
      <c r="Q50" s="845">
        <f t="shared" si="17"/>
        <v>0.17534734384121431</v>
      </c>
      <c r="R50" s="845">
        <f>I39</f>
        <v>0.17534734384121431</v>
      </c>
      <c r="S50" s="845">
        <f>I39</f>
        <v>0.17534734384121431</v>
      </c>
      <c r="T50" s="845">
        <f t="shared" si="18"/>
        <v>0.17534734384121431</v>
      </c>
      <c r="U50" s="845">
        <f t="shared" si="18"/>
        <v>-0.16946808510638278</v>
      </c>
      <c r="V50" s="845">
        <f>J39</f>
        <v>-0.16946808510638278</v>
      </c>
      <c r="W50" s="845">
        <f>J39</f>
        <v>-0.16946808510638278</v>
      </c>
      <c r="X50" s="845">
        <f>J39</f>
        <v>-0.16946808510638278</v>
      </c>
      <c r="Y50" s="845">
        <f>K39</f>
        <v>-0.3303061355194058</v>
      </c>
      <c r="Z50" s="845">
        <f>K39</f>
        <v>-0.3303061355194058</v>
      </c>
      <c r="AA50" s="845">
        <f>K39</f>
        <v>-0.3303061355194058</v>
      </c>
      <c r="AB50" s="845">
        <f t="shared" si="15"/>
        <v>-0.3303061355194058</v>
      </c>
      <c r="AC50" s="845">
        <f t="shared" si="15"/>
        <v>-6.677122582866335E-2</v>
      </c>
      <c r="AD50" s="845">
        <f>L39</f>
        <v>-6.677122582866335E-2</v>
      </c>
      <c r="AE50" s="845">
        <f>L39</f>
        <v>-6.677122582866335E-2</v>
      </c>
      <c r="AF50" s="845">
        <f t="shared" si="16"/>
        <v>-6.677122582866335E-2</v>
      </c>
      <c r="AG50" s="845">
        <f t="shared" si="16"/>
        <v>7.3300950975569767E-2</v>
      </c>
      <c r="AH50" s="845">
        <f>M39</f>
        <v>7.3300950975569767E-2</v>
      </c>
      <c r="AI50" s="845">
        <f>M39</f>
        <v>7.3300950975569767E-2</v>
      </c>
      <c r="AJ50" s="845">
        <f>M39</f>
        <v>7.3300950975569767E-2</v>
      </c>
    </row>
    <row r="51" spans="4:41" ht="14.85" customHeight="1" x14ac:dyDescent="0.25">
      <c r="D51" s="797"/>
      <c r="E51" s="796"/>
      <c r="F51" s="808"/>
      <c r="G51" s="808"/>
      <c r="H51" s="779"/>
      <c r="I51" s="779"/>
      <c r="J51" s="779"/>
      <c r="K51" s="779"/>
      <c r="L51" s="779"/>
      <c r="M51" s="845">
        <f>H40</f>
        <v>0.39462341197822148</v>
      </c>
      <c r="N51" s="845">
        <f>H40</f>
        <v>0.39462341197822148</v>
      </c>
      <c r="O51" s="845">
        <f>H40</f>
        <v>0.39462341197822148</v>
      </c>
      <c r="P51" s="845">
        <f t="shared" si="17"/>
        <v>0.39462341197822148</v>
      </c>
      <c r="Q51" s="845">
        <f t="shared" si="17"/>
        <v>0.16320577470516473</v>
      </c>
      <c r="R51" s="845">
        <f>I40</f>
        <v>0.16320577470516473</v>
      </c>
      <c r="S51" s="845">
        <f>I40</f>
        <v>0.16320577470516473</v>
      </c>
      <c r="T51" s="845">
        <f t="shared" si="18"/>
        <v>0.16320577470516473</v>
      </c>
      <c r="U51" s="845">
        <f t="shared" si="18"/>
        <v>-1.2434479495936457E-2</v>
      </c>
      <c r="V51" s="845">
        <f>J40</f>
        <v>-1.2434479495936457E-2</v>
      </c>
      <c r="W51" s="845">
        <f>J40</f>
        <v>-1.2434479495936457E-2</v>
      </c>
      <c r="X51" s="845">
        <f>J40</f>
        <v>-1.2434479495936457E-2</v>
      </c>
      <c r="Y51" s="845">
        <f>K40</f>
        <v>0.11283890710799263</v>
      </c>
      <c r="Z51" s="845">
        <f>K40</f>
        <v>0.11283890710799263</v>
      </c>
      <c r="AA51" s="845">
        <f>K40</f>
        <v>0.11283890710799263</v>
      </c>
      <c r="AB51" s="845">
        <f t="shared" si="15"/>
        <v>0.11283890710799263</v>
      </c>
      <c r="AC51" s="845">
        <f t="shared" si="15"/>
        <v>0.13832537221604688</v>
      </c>
      <c r="AD51" s="845">
        <f>L40</f>
        <v>0.13832537221604688</v>
      </c>
      <c r="AE51" s="845">
        <f>L40</f>
        <v>0.13832537221604688</v>
      </c>
      <c r="AF51" s="845">
        <f t="shared" si="16"/>
        <v>0.13832537221604688</v>
      </c>
      <c r="AG51" s="845">
        <f t="shared" si="16"/>
        <v>-2.4487369219047511E-2</v>
      </c>
      <c r="AH51" s="845">
        <f>O40</f>
        <v>0</v>
      </c>
      <c r="AI51" s="845" t="e">
        <f>#REF!</f>
        <v>#REF!</v>
      </c>
      <c r="AJ51" s="845">
        <f>P40</f>
        <v>0</v>
      </c>
    </row>
    <row r="52" spans="4:41" ht="14.85" customHeight="1" x14ac:dyDescent="0.25">
      <c r="D52" s="797"/>
      <c r="E52" s="796"/>
      <c r="F52" s="808"/>
      <c r="G52" s="808"/>
      <c r="H52" s="779"/>
      <c r="I52" s="779"/>
      <c r="J52" s="882"/>
      <c r="K52" s="779"/>
      <c r="L52" s="779"/>
    </row>
    <row r="53" spans="4:41" ht="14.85" customHeight="1" x14ac:dyDescent="0.25">
      <c r="D53" s="797"/>
      <c r="E53" s="796"/>
      <c r="F53" s="808"/>
      <c r="G53" s="808"/>
      <c r="H53" s="779"/>
      <c r="I53" s="779"/>
      <c r="J53" s="779"/>
      <c r="K53" s="779"/>
      <c r="L53" s="779"/>
    </row>
    <row r="54" spans="4:41" ht="41.85" customHeight="1" x14ac:dyDescent="0.25">
      <c r="F54" s="238"/>
      <c r="G54" s="238"/>
      <c r="H54" s="707"/>
      <c r="I54" s="707"/>
      <c r="J54" s="707"/>
      <c r="K54" s="707"/>
      <c r="L54" s="707"/>
      <c r="M54" s="238" t="s">
        <v>1912</v>
      </c>
      <c r="N54" s="273"/>
      <c r="AF54" s="707"/>
      <c r="AG54" s="707"/>
      <c r="AH54" s="707"/>
      <c r="AI54" s="707"/>
      <c r="AJ54" s="707"/>
      <c r="AK54" s="707"/>
      <c r="AL54" s="707"/>
      <c r="AN54" s="707"/>
      <c r="AO54" s="707"/>
    </row>
    <row r="55" spans="4:41" ht="30.75" customHeight="1" x14ac:dyDescent="0.25">
      <c r="D55" s="759" t="s">
        <v>1967</v>
      </c>
      <c r="E55" s="648">
        <v>2018</v>
      </c>
      <c r="F55" s="761">
        <v>2019</v>
      </c>
      <c r="G55" s="761">
        <v>2020</v>
      </c>
      <c r="H55" s="761">
        <v>2021</v>
      </c>
      <c r="I55" s="761">
        <v>2022</v>
      </c>
      <c r="J55" s="836">
        <v>2023</v>
      </c>
      <c r="K55" s="839">
        <v>2024</v>
      </c>
      <c r="L55" s="855">
        <v>2025</v>
      </c>
      <c r="M55" s="833">
        <v>2026</v>
      </c>
      <c r="N55" s="839">
        <v>2027</v>
      </c>
      <c r="O55" s="227"/>
    </row>
    <row r="56" spans="4:41" ht="30.75" customHeight="1" x14ac:dyDescent="0.25">
      <c r="D56" s="762" t="s">
        <v>489</v>
      </c>
      <c r="E56" s="763">
        <v>1683.5</v>
      </c>
      <c r="F56" s="763">
        <v>1717.9</v>
      </c>
      <c r="G56" s="763">
        <v>1609</v>
      </c>
      <c r="H56" s="367">
        <v>2044.377</v>
      </c>
      <c r="I56" s="460">
        <v>2632.145</v>
      </c>
      <c r="J56" s="460">
        <v>2176.4810000000002</v>
      </c>
      <c r="K56" s="460">
        <v>2426.067</v>
      </c>
      <c r="L56" s="460">
        <v>2621.3420000000001</v>
      </c>
      <c r="M56" s="834">
        <f>2968.42-177</f>
        <v>2791.42</v>
      </c>
      <c r="N56" s="852">
        <v>3252.893</v>
      </c>
      <c r="O56" s="430">
        <v>3355.3890000000001</v>
      </c>
      <c r="P56" s="430">
        <v>3454.9960000000001</v>
      </c>
      <c r="Q56" s="430">
        <v>3583.7379999999998</v>
      </c>
      <c r="R56" s="430">
        <v>3720.614</v>
      </c>
      <c r="S56" s="430">
        <v>3869.8490000000002</v>
      </c>
      <c r="T56" s="430">
        <v>4036.6990000000001</v>
      </c>
      <c r="U56" s="430">
        <v>4220.3469999999998</v>
      </c>
      <c r="V56" s="430">
        <v>4412.8320000000003</v>
      </c>
    </row>
    <row r="57" spans="4:41" ht="30.75" customHeight="1" x14ac:dyDescent="0.25">
      <c r="D57" s="790" t="s">
        <v>1976</v>
      </c>
      <c r="E57" s="852"/>
      <c r="F57" s="852"/>
      <c r="G57" s="852"/>
      <c r="H57" s="618">
        <f>((H56/G56)-1)*100</f>
        <v>27.058856432566802</v>
      </c>
      <c r="I57" s="618">
        <f t="shared" ref="I57:U57" si="19">((I56/H56)-1)*100</f>
        <v>28.750470192141677</v>
      </c>
      <c r="J57" s="618">
        <f t="shared" si="19"/>
        <v>-17.311508294565826</v>
      </c>
      <c r="K57" s="618">
        <f t="shared" si="19"/>
        <v>11.46741000725482</v>
      </c>
      <c r="L57" s="618">
        <f t="shared" si="19"/>
        <v>8.0490357438603333</v>
      </c>
      <c r="M57" s="618">
        <f t="shared" si="19"/>
        <v>6.4882033706399334</v>
      </c>
      <c r="N57" s="618">
        <f t="shared" si="19"/>
        <v>16.531836842897164</v>
      </c>
      <c r="O57" s="618">
        <f t="shared" si="19"/>
        <v>3.1509182749017706</v>
      </c>
      <c r="P57" s="618">
        <f t="shared" si="19"/>
        <v>2.9685678769287183</v>
      </c>
      <c r="Q57" s="618">
        <f t="shared" si="19"/>
        <v>3.726256123017202</v>
      </c>
      <c r="R57" s="618">
        <f t="shared" si="19"/>
        <v>3.8193640271694029</v>
      </c>
      <c r="S57" s="618">
        <f t="shared" si="19"/>
        <v>4.0110315125406748</v>
      </c>
      <c r="T57" s="618">
        <f t="shared" si="19"/>
        <v>4.3115377370021468</v>
      </c>
      <c r="U57" s="618">
        <f t="shared" si="19"/>
        <v>4.5494598433026612</v>
      </c>
      <c r="V57" s="430"/>
    </row>
    <row r="58" spans="4:41" ht="16.5" customHeight="1" x14ac:dyDescent="0.25">
      <c r="D58" s="831" t="s">
        <v>490</v>
      </c>
      <c r="E58" s="852">
        <v>1170.7</v>
      </c>
      <c r="F58" s="852">
        <v>1243.4000000000001</v>
      </c>
      <c r="G58" s="852">
        <v>1310</v>
      </c>
      <c r="H58" s="430">
        <v>1314.088</v>
      </c>
      <c r="I58" s="235">
        <v>1483.5260000000001</v>
      </c>
      <c r="J58" s="235">
        <v>1614.4559999999999</v>
      </c>
      <c r="K58" s="235">
        <v>1708.9259999999999</v>
      </c>
      <c r="L58" s="235">
        <v>1758.6220000000001</v>
      </c>
      <c r="M58" s="837">
        <v>1840.2550000000001</v>
      </c>
      <c r="N58" s="235">
        <v>1915.35</v>
      </c>
      <c r="O58" s="235">
        <v>1989.9770000000001</v>
      </c>
      <c r="P58" s="235">
        <v>2071.8760000000002</v>
      </c>
      <c r="Q58" s="235">
        <v>2155.48</v>
      </c>
      <c r="R58" s="235">
        <v>2241.7910000000002</v>
      </c>
      <c r="S58" s="235">
        <v>2329.39</v>
      </c>
      <c r="T58" s="235">
        <v>2418.5300000000002</v>
      </c>
      <c r="U58" s="235">
        <v>2510.3110000000001</v>
      </c>
      <c r="V58" s="235">
        <v>2605.1819999999998</v>
      </c>
    </row>
    <row r="59" spans="4:41" x14ac:dyDescent="0.25">
      <c r="D59" s="548" t="s">
        <v>491</v>
      </c>
      <c r="E59" s="430">
        <f>E60+E61</f>
        <v>136.30000000000001</v>
      </c>
      <c r="F59" s="430">
        <f t="shared" ref="F59:K59" si="20">F60+F61</f>
        <v>170.6</v>
      </c>
      <c r="G59" s="430">
        <f t="shared" si="20"/>
        <v>156</v>
      </c>
      <c r="H59" s="430">
        <f t="shared" si="20"/>
        <v>155.25900000000001</v>
      </c>
      <c r="I59" s="430">
        <f t="shared" si="20"/>
        <v>188</v>
      </c>
      <c r="J59" s="430">
        <f t="shared" si="20"/>
        <v>156.14000000000001</v>
      </c>
      <c r="K59" s="430">
        <f t="shared" si="20"/>
        <v>104.566</v>
      </c>
      <c r="L59" s="430">
        <f>L60+L61</f>
        <v>97.583999999999989</v>
      </c>
      <c r="M59" s="850">
        <f>M60+M61</f>
        <v>104.73699999999999</v>
      </c>
      <c r="N59" s="850">
        <f t="shared" ref="N59:V59" si="21">N60+N61</f>
        <v>105.59699999999999</v>
      </c>
      <c r="O59" s="850">
        <f t="shared" si="21"/>
        <v>105.84200000000001</v>
      </c>
      <c r="P59" s="850">
        <f t="shared" si="21"/>
        <v>109.229</v>
      </c>
      <c r="Q59" s="850">
        <f t="shared" si="21"/>
        <v>157.536</v>
      </c>
      <c r="R59" s="850">
        <f t="shared" si="21"/>
        <v>206.88</v>
      </c>
      <c r="S59" s="850">
        <f t="shared" si="21"/>
        <v>222.535</v>
      </c>
      <c r="T59" s="850">
        <f t="shared" si="21"/>
        <v>231.29900000000001</v>
      </c>
      <c r="U59" s="850">
        <f t="shared" si="21"/>
        <v>240.52500000000003</v>
      </c>
      <c r="V59" s="850">
        <f t="shared" si="21"/>
        <v>252.53300000000002</v>
      </c>
      <c r="W59" s="826"/>
    </row>
    <row r="60" spans="4:41" x14ac:dyDescent="0.25">
      <c r="D60" s="663" t="s">
        <v>1908</v>
      </c>
      <c r="E60" s="852">
        <v>95</v>
      </c>
      <c r="F60" s="852">
        <v>99.8</v>
      </c>
      <c r="G60" s="852">
        <v>87</v>
      </c>
      <c r="H60" s="430">
        <v>75.274000000000001</v>
      </c>
      <c r="I60" s="851">
        <v>88</v>
      </c>
      <c r="J60" s="835">
        <v>75.802000000000007</v>
      </c>
      <c r="K60" s="430">
        <v>101.435</v>
      </c>
      <c r="L60" s="430">
        <v>91.840999999999994</v>
      </c>
      <c r="M60" s="850">
        <v>97.257999999999996</v>
      </c>
      <c r="N60" s="430">
        <v>97.07</v>
      </c>
      <c r="O60" s="430">
        <v>95.424000000000007</v>
      </c>
      <c r="P60" s="430">
        <v>96.096000000000004</v>
      </c>
      <c r="Q60" s="430">
        <v>96.950999999999993</v>
      </c>
      <c r="R60" s="430">
        <v>95.209000000000003</v>
      </c>
      <c r="S60" s="430">
        <v>95.295000000000002</v>
      </c>
      <c r="T60" s="430">
        <v>95.778999999999996</v>
      </c>
      <c r="U60" s="430">
        <v>95.177000000000007</v>
      </c>
      <c r="V60" s="430">
        <v>97.59</v>
      </c>
      <c r="W60" s="430">
        <v>482.79899999999998</v>
      </c>
      <c r="X60" s="430">
        <v>961.84900000000005</v>
      </c>
    </row>
    <row r="61" spans="4:41" ht="16.5" customHeight="1" x14ac:dyDescent="0.25">
      <c r="D61" s="517" t="s">
        <v>1907</v>
      </c>
      <c r="E61" s="852">
        <v>41.3</v>
      </c>
      <c r="F61" s="852">
        <v>70.8</v>
      </c>
      <c r="G61" s="852">
        <v>69</v>
      </c>
      <c r="H61" s="430">
        <v>79.984999999999999</v>
      </c>
      <c r="I61" s="851">
        <v>100</v>
      </c>
      <c r="J61" s="835">
        <v>80.338000000000008</v>
      </c>
      <c r="K61" s="430">
        <v>3.1309999999999998</v>
      </c>
      <c r="L61" s="430">
        <v>5.7430000000000003</v>
      </c>
      <c r="M61" s="850">
        <v>7.4790000000000001</v>
      </c>
      <c r="N61" s="430">
        <v>8.5269999999999992</v>
      </c>
      <c r="O61" s="430">
        <v>10.417999999999999</v>
      </c>
      <c r="P61" s="430">
        <v>13.132999999999999</v>
      </c>
      <c r="Q61" s="430">
        <v>60.585000000000001</v>
      </c>
      <c r="R61" s="430">
        <v>111.67100000000001</v>
      </c>
      <c r="S61" s="430">
        <v>127.24</v>
      </c>
      <c r="T61" s="430">
        <v>135.52000000000001</v>
      </c>
      <c r="U61" s="430">
        <v>145.34800000000001</v>
      </c>
      <c r="V61" s="430">
        <v>154.94300000000001</v>
      </c>
      <c r="W61" s="430">
        <v>100.142</v>
      </c>
      <c r="X61" s="430">
        <v>774.86400000000003</v>
      </c>
      <c r="Y61" s="809"/>
      <c r="Z61" s="825"/>
    </row>
    <row r="62" spans="4:41" ht="16.5" customHeight="1" x14ac:dyDescent="0.25">
      <c r="D62" s="764" t="s">
        <v>106</v>
      </c>
      <c r="E62" s="765">
        <v>204.7</v>
      </c>
      <c r="F62" s="765">
        <v>230.2</v>
      </c>
      <c r="G62" s="765">
        <v>212</v>
      </c>
      <c r="H62" s="793">
        <v>371.83100000000002</v>
      </c>
      <c r="I62" s="483">
        <v>424.86700000000002</v>
      </c>
      <c r="J62" s="483">
        <v>419.584</v>
      </c>
      <c r="K62" s="483">
        <v>529.86699999999996</v>
      </c>
      <c r="L62" s="483">
        <v>523.68100000000004</v>
      </c>
      <c r="M62" s="881">
        <v>495.14699999999999</v>
      </c>
      <c r="N62" s="848">
        <v>468.97699999999998</v>
      </c>
      <c r="O62" s="838">
        <v>462.33800000000002</v>
      </c>
      <c r="P62" s="848">
        <v>452.81200000000001</v>
      </c>
      <c r="Q62" s="848">
        <v>450.154</v>
      </c>
      <c r="R62" s="848">
        <v>455.77699999999999</v>
      </c>
      <c r="S62" s="848">
        <v>467.89699999999999</v>
      </c>
      <c r="T62" s="848">
        <v>493.13400000000001</v>
      </c>
      <c r="U62" s="848">
        <v>503.37799999999999</v>
      </c>
      <c r="V62" s="848">
        <v>517.11500000000001</v>
      </c>
      <c r="W62" s="824"/>
      <c r="X62" s="809"/>
      <c r="Y62" s="809"/>
      <c r="Z62" s="825"/>
    </row>
    <row r="63" spans="4:41" ht="16.5" customHeight="1" x14ac:dyDescent="0.25">
      <c r="K63" s="74">
        <f>SUM(K56:K61)</f>
        <v>4355.5924100072552</v>
      </c>
      <c r="L63" s="74">
        <f t="shared" ref="L63:M63" si="22">SUM(L56:L61)</f>
        <v>4583.1810357438608</v>
      </c>
      <c r="M63" s="74">
        <f t="shared" si="22"/>
        <v>4847.6372033706402</v>
      </c>
    </row>
    <row r="64" spans="4:41" x14ac:dyDescent="0.25">
      <c r="D64" s="600" t="s">
        <v>492</v>
      </c>
      <c r="E64" s="648">
        <v>2018</v>
      </c>
      <c r="F64" s="700">
        <v>2019</v>
      </c>
      <c r="G64" s="700">
        <v>2020</v>
      </c>
      <c r="H64" s="788">
        <v>2021</v>
      </c>
      <c r="I64" s="700">
        <v>2022</v>
      </c>
      <c r="J64" s="788">
        <v>2023</v>
      </c>
      <c r="K64" s="829">
        <v>2024</v>
      </c>
      <c r="L64" s="829">
        <v>2025</v>
      </c>
      <c r="M64" s="833">
        <v>2026</v>
      </c>
      <c r="O64" s="511" t="s">
        <v>493</v>
      </c>
    </row>
    <row r="65" spans="4:22" ht="14.85" customHeight="1" x14ac:dyDescent="0.25">
      <c r="D65" s="800" t="s">
        <v>489</v>
      </c>
      <c r="E65" s="309">
        <v>1622</v>
      </c>
      <c r="F65" s="309">
        <v>1687</v>
      </c>
      <c r="G65" s="857">
        <f t="shared" ref="G65:M65" si="23">G32</f>
        <v>1712.5250000000001</v>
      </c>
      <c r="H65" s="857">
        <f t="shared" si="23"/>
        <v>2025.3000000000002</v>
      </c>
      <c r="I65" s="857">
        <f t="shared" si="23"/>
        <v>2519.5</v>
      </c>
      <c r="J65" s="848">
        <f t="shared" si="23"/>
        <v>2083.336548518414</v>
      </c>
      <c r="K65" s="848">
        <f t="shared" si="23"/>
        <v>2322.2412923680117</v>
      </c>
      <c r="L65" s="848">
        <f t="shared" si="23"/>
        <v>2509.1593240493971</v>
      </c>
      <c r="M65" s="870">
        <f t="shared" si="23"/>
        <v>2671.958683887096</v>
      </c>
    </row>
    <row r="66" spans="4:22" x14ac:dyDescent="0.25">
      <c r="D66" s="823" t="s">
        <v>494</v>
      </c>
      <c r="E66" s="222">
        <v>1332</v>
      </c>
      <c r="F66" s="222">
        <v>1388</v>
      </c>
      <c r="G66" s="848">
        <f t="shared" ref="G66:I68" si="24">G33</f>
        <v>1424.5250000000001</v>
      </c>
      <c r="H66" s="848">
        <f t="shared" si="24"/>
        <v>1509.7249999999999</v>
      </c>
      <c r="I66" s="848">
        <f t="shared" si="24"/>
        <v>1656.375</v>
      </c>
      <c r="J66" s="848">
        <f t="shared" ref="J66:M66" si="25">J33</f>
        <v>1802.5599531117082</v>
      </c>
      <c r="K66" s="848">
        <f t="shared" si="25"/>
        <v>1908.0368684134958</v>
      </c>
      <c r="L66" s="848">
        <f t="shared" si="25"/>
        <v>1963.5230627909452</v>
      </c>
      <c r="M66" s="870">
        <f t="shared" si="25"/>
        <v>2054.6673099258119</v>
      </c>
      <c r="N66" s="807"/>
    </row>
    <row r="67" spans="4:22" x14ac:dyDescent="0.25">
      <c r="D67" s="823" t="s">
        <v>105</v>
      </c>
      <c r="E67" s="222">
        <v>150</v>
      </c>
      <c r="F67" s="222">
        <v>175</v>
      </c>
      <c r="G67" s="848">
        <f t="shared" si="24"/>
        <v>160.375</v>
      </c>
      <c r="H67" s="848">
        <f t="shared" si="24"/>
        <v>171.3</v>
      </c>
      <c r="I67" s="848">
        <f t="shared" si="24"/>
        <v>203.05</v>
      </c>
      <c r="J67" s="848">
        <f t="shared" ref="J67:M67" si="26">J34</f>
        <v>168.63950531914898</v>
      </c>
      <c r="K67" s="848">
        <f t="shared" si="26"/>
        <v>112.9368420212766</v>
      </c>
      <c r="L67" s="848">
        <f t="shared" si="26"/>
        <v>105.39591063829786</v>
      </c>
      <c r="M67" s="870">
        <f t="shared" si="26"/>
        <v>113.12153111702128</v>
      </c>
      <c r="N67" s="807"/>
    </row>
    <row r="68" spans="4:22" x14ac:dyDescent="0.25">
      <c r="D68" s="782" t="s">
        <v>257</v>
      </c>
      <c r="E68" s="542">
        <v>208</v>
      </c>
      <c r="F68" s="542">
        <v>219</v>
      </c>
      <c r="G68" s="858">
        <f t="shared" si="24"/>
        <v>220.4</v>
      </c>
      <c r="H68" s="858">
        <f t="shared" si="24"/>
        <v>307.375</v>
      </c>
      <c r="I68" s="858">
        <f t="shared" si="24"/>
        <v>389.2</v>
      </c>
      <c r="J68" s="858">
        <f t="shared" ref="J68:M68" si="27">J35</f>
        <v>384.36050058018151</v>
      </c>
      <c r="K68" s="858">
        <f t="shared" si="27"/>
        <v>485.38539448815737</v>
      </c>
      <c r="L68" s="858">
        <f t="shared" si="27"/>
        <v>479.71870067574088</v>
      </c>
      <c r="M68" s="881">
        <f t="shared" si="27"/>
        <v>453.58009071074002</v>
      </c>
      <c r="O68" s="1257" t="s">
        <v>891</v>
      </c>
      <c r="P68" s="1257" t="s">
        <v>891</v>
      </c>
      <c r="Q68" s="1257" t="s">
        <v>891</v>
      </c>
      <c r="R68" s="1257" t="s">
        <v>891</v>
      </c>
      <c r="S68" s="1257" t="s">
        <v>891</v>
      </c>
      <c r="T68" s="1257" t="s">
        <v>891</v>
      </c>
      <c r="U68" s="1257" t="s">
        <v>891</v>
      </c>
      <c r="V68" s="1258" t="s">
        <v>891</v>
      </c>
    </row>
    <row r="69" spans="4:22" ht="14.85" customHeight="1" x14ac:dyDescent="0.25">
      <c r="D69" s="258"/>
      <c r="E69" s="222"/>
      <c r="F69" s="222"/>
      <c r="G69" s="222"/>
      <c r="P69" s="1259">
        <v>2022</v>
      </c>
      <c r="Q69" s="1260">
        <v>2022</v>
      </c>
      <c r="R69" s="1260">
        <v>2022</v>
      </c>
      <c r="S69" s="1261">
        <v>2022</v>
      </c>
    </row>
    <row r="70" spans="4:22" ht="17.25" customHeight="1" x14ac:dyDescent="0.25">
      <c r="D70" s="223" t="s">
        <v>496</v>
      </c>
      <c r="E70" s="222"/>
      <c r="F70" s="222"/>
      <c r="G70" s="222"/>
      <c r="P70" s="168" t="s">
        <v>892</v>
      </c>
      <c r="Q70" s="168" t="s">
        <v>893</v>
      </c>
      <c r="R70" s="168" t="s">
        <v>894</v>
      </c>
      <c r="S70" s="168" t="s">
        <v>895</v>
      </c>
      <c r="T70" s="116" t="s">
        <v>907</v>
      </c>
    </row>
    <row r="71" spans="4:22" ht="30" customHeight="1" x14ac:dyDescent="0.25">
      <c r="D71" s="865" t="s">
        <v>497</v>
      </c>
      <c r="E71" s="700">
        <v>2018</v>
      </c>
      <c r="F71" s="700">
        <v>2019</v>
      </c>
      <c r="G71" s="700">
        <v>2020</v>
      </c>
      <c r="H71" s="788">
        <v>2021</v>
      </c>
      <c r="I71" s="700">
        <v>2022</v>
      </c>
      <c r="J71" s="700">
        <v>2023</v>
      </c>
      <c r="K71" s="856">
        <v>2024</v>
      </c>
      <c r="L71" s="856">
        <v>2025</v>
      </c>
      <c r="M71" s="833">
        <v>2026</v>
      </c>
      <c r="O71" s="31" t="s">
        <v>495</v>
      </c>
      <c r="P71" s="172">
        <v>2973</v>
      </c>
      <c r="Q71" s="172">
        <v>3062.8</v>
      </c>
      <c r="R71" s="172">
        <v>3085.2</v>
      </c>
      <c r="S71" s="760">
        <v>2106.1999999999998</v>
      </c>
      <c r="T71" s="172">
        <v>3123.2</v>
      </c>
    </row>
    <row r="72" spans="4:22" x14ac:dyDescent="0.25">
      <c r="D72" s="800" t="s">
        <v>489</v>
      </c>
      <c r="E72" s="866">
        <f t="shared" ref="E72:M72" si="28">E65/E56</f>
        <v>0.96346896346896349</v>
      </c>
      <c r="F72" s="866">
        <f t="shared" si="28"/>
        <v>0.98201292275452579</v>
      </c>
      <c r="G72" s="866">
        <f t="shared" si="28"/>
        <v>1.0643412057178372</v>
      </c>
      <c r="H72" s="866">
        <f t="shared" si="28"/>
        <v>0.99066855085925942</v>
      </c>
      <c r="I72" s="866">
        <f t="shared" si="28"/>
        <v>0.95720410539692913</v>
      </c>
      <c r="J72" s="866">
        <f t="shared" si="28"/>
        <v>0.95720410539692913</v>
      </c>
      <c r="K72" s="866">
        <f t="shared" si="28"/>
        <v>0.95720410539692913</v>
      </c>
      <c r="L72" s="866">
        <f t="shared" si="28"/>
        <v>0.95720410539692913</v>
      </c>
      <c r="M72" s="849">
        <f t="shared" si="28"/>
        <v>0.95720410539692913</v>
      </c>
      <c r="T72" s="227"/>
    </row>
    <row r="73" spans="4:22" x14ac:dyDescent="0.25">
      <c r="D73" s="823" t="s">
        <v>494</v>
      </c>
      <c r="E73" s="618">
        <f t="shared" ref="E73:J74" si="29">E66/E58</f>
        <v>1.1377808148970701</v>
      </c>
      <c r="F73" s="618">
        <f t="shared" si="29"/>
        <v>1.1162940324915553</v>
      </c>
      <c r="G73" s="618">
        <f t="shared" si="29"/>
        <v>1.0874236641221375</v>
      </c>
      <c r="H73" s="618">
        <f t="shared" si="29"/>
        <v>1.1488766353547097</v>
      </c>
      <c r="I73" s="618">
        <f t="shared" si="29"/>
        <v>1.1165122822249154</v>
      </c>
      <c r="J73" s="618">
        <f t="shared" si="29"/>
        <v>1.1165122822249156</v>
      </c>
      <c r="K73" s="618">
        <f t="shared" ref="K73:M74" si="30">K66/K58</f>
        <v>1.1165122822249154</v>
      </c>
      <c r="L73" s="618">
        <f t="shared" si="30"/>
        <v>1.1165122822249154</v>
      </c>
      <c r="M73" s="619">
        <f t="shared" si="30"/>
        <v>1.1165122822249154</v>
      </c>
    </row>
    <row r="74" spans="4:22" x14ac:dyDescent="0.25">
      <c r="D74" s="823" t="s">
        <v>105</v>
      </c>
      <c r="E74" s="618">
        <f t="shared" si="29"/>
        <v>1.1005135730007336</v>
      </c>
      <c r="F74" s="618">
        <f t="shared" si="29"/>
        <v>1.0257913247362251</v>
      </c>
      <c r="G74" s="618">
        <f t="shared" si="29"/>
        <v>1.0280448717948718</v>
      </c>
      <c r="H74" s="618">
        <f t="shared" si="29"/>
        <v>1.1033176820667401</v>
      </c>
      <c r="I74" s="618">
        <f t="shared" si="29"/>
        <v>1.0800531914893619</v>
      </c>
      <c r="J74" s="618">
        <f t="shared" si="29"/>
        <v>1.0800531914893619</v>
      </c>
      <c r="K74" s="618">
        <f t="shared" si="30"/>
        <v>1.0800531914893619</v>
      </c>
      <c r="L74" s="618">
        <f t="shared" si="30"/>
        <v>1.0800531914893616</v>
      </c>
      <c r="M74" s="619">
        <f t="shared" si="30"/>
        <v>1.0800531914893619</v>
      </c>
    </row>
    <row r="75" spans="4:22" x14ac:dyDescent="0.25">
      <c r="D75" s="782" t="s">
        <v>257</v>
      </c>
      <c r="E75" s="784">
        <f t="shared" ref="E75:I75" si="31">E68/E62</f>
        <v>1.0161211529066927</v>
      </c>
      <c r="F75" s="784">
        <f t="shared" si="31"/>
        <v>0.95134665508253702</v>
      </c>
      <c r="G75" s="784">
        <f t="shared" si="31"/>
        <v>1.0396226415094341</v>
      </c>
      <c r="H75" s="784">
        <f t="shared" si="31"/>
        <v>0.82665243080862005</v>
      </c>
      <c r="I75" s="784">
        <f t="shared" si="31"/>
        <v>0.91605137607769016</v>
      </c>
      <c r="J75" s="784">
        <f t="shared" ref="J75:M75" si="32">J68/J60</f>
        <v>5.070585216487447</v>
      </c>
      <c r="K75" s="784">
        <f t="shared" si="32"/>
        <v>4.7851865183433464</v>
      </c>
      <c r="L75" s="784">
        <f t="shared" si="32"/>
        <v>5.2233610334789571</v>
      </c>
      <c r="M75" s="832">
        <f t="shared" si="32"/>
        <v>4.6636789848726075</v>
      </c>
    </row>
    <row r="77" spans="4:22" x14ac:dyDescent="0.25">
      <c r="D77" s="258"/>
      <c r="E77" s="222"/>
      <c r="F77" s="222"/>
      <c r="G77" s="222"/>
    </row>
    <row r="78" spans="4:22" x14ac:dyDescent="0.25">
      <c r="D78" s="238"/>
    </row>
    <row r="79" spans="4:22" ht="30" customHeight="1" x14ac:dyDescent="0.25">
      <c r="D79" s="840" t="s">
        <v>1968</v>
      </c>
      <c r="E79" s="648">
        <v>2018</v>
      </c>
      <c r="F79" s="761">
        <v>2019</v>
      </c>
      <c r="G79" s="761">
        <v>2020</v>
      </c>
      <c r="H79" s="836">
        <v>2021</v>
      </c>
      <c r="I79" s="761">
        <v>2022</v>
      </c>
      <c r="J79" s="761">
        <v>2023</v>
      </c>
      <c r="K79" s="766">
        <v>2024</v>
      </c>
      <c r="L79" s="766">
        <v>2025</v>
      </c>
      <c r="M79" s="833">
        <v>2026</v>
      </c>
    </row>
    <row r="80" spans="4:22" x14ac:dyDescent="0.25">
      <c r="D80" s="557" t="s">
        <v>1910</v>
      </c>
      <c r="E80" s="367">
        <v>14016.099999999999</v>
      </c>
      <c r="F80" s="367">
        <v>14604.2</v>
      </c>
      <c r="G80" s="367">
        <v>14711.300000000001</v>
      </c>
      <c r="H80" s="811">
        <v>21015.3</v>
      </c>
      <c r="I80" s="367">
        <v>21762.3</v>
      </c>
      <c r="J80" s="367">
        <v>23112</v>
      </c>
      <c r="K80" s="367">
        <v>24369</v>
      </c>
      <c r="L80" s="367">
        <v>25562.2</v>
      </c>
      <c r="M80" s="834">
        <v>26815.3</v>
      </c>
      <c r="N80" s="430">
        <v>28003.5</v>
      </c>
      <c r="O80" s="430">
        <v>29281.8</v>
      </c>
      <c r="P80" s="430">
        <v>30603</v>
      </c>
      <c r="Q80" s="430">
        <v>31928</v>
      </c>
      <c r="R80" s="430">
        <v>33261.4</v>
      </c>
      <c r="S80" s="430">
        <v>34629.4</v>
      </c>
      <c r="T80" s="430">
        <v>36043</v>
      </c>
      <c r="U80" s="430">
        <v>37506.6</v>
      </c>
      <c r="V80" s="430">
        <v>39046.400000000001</v>
      </c>
    </row>
    <row r="81" spans="4:25" x14ac:dyDescent="0.25">
      <c r="D81" s="823" t="s">
        <v>499</v>
      </c>
      <c r="E81" s="222">
        <v>8804</v>
      </c>
      <c r="F81" s="222">
        <v>9209</v>
      </c>
      <c r="G81" s="430">
        <v>9300</v>
      </c>
      <c r="H81" s="864">
        <v>10074.1</v>
      </c>
      <c r="I81" s="430">
        <v>10981.9</v>
      </c>
      <c r="J81" s="430">
        <v>11567.7</v>
      </c>
      <c r="K81" s="430">
        <v>12251.7</v>
      </c>
      <c r="L81" s="430">
        <v>12861.2</v>
      </c>
      <c r="M81" s="850">
        <v>13479</v>
      </c>
      <c r="N81" s="430">
        <v>14051.2</v>
      </c>
      <c r="O81" s="430">
        <v>14645.1</v>
      </c>
      <c r="P81" s="430">
        <v>15252.3</v>
      </c>
      <c r="Q81" s="430">
        <v>15861.9</v>
      </c>
      <c r="R81" s="430">
        <v>16483.3</v>
      </c>
      <c r="S81" s="430">
        <v>17122.599999999999</v>
      </c>
      <c r="T81" s="430">
        <v>17774.400000000001</v>
      </c>
      <c r="U81" s="430">
        <v>18450.599999999999</v>
      </c>
      <c r="V81" s="430">
        <v>19151.3</v>
      </c>
    </row>
    <row r="82" spans="4:25" x14ac:dyDescent="0.25">
      <c r="D82" s="823" t="s">
        <v>500</v>
      </c>
      <c r="E82" s="222">
        <v>13844</v>
      </c>
      <c r="F82" s="222">
        <v>14403</v>
      </c>
      <c r="G82" s="430">
        <v>14201</v>
      </c>
      <c r="H82" s="864">
        <v>15545.1</v>
      </c>
      <c r="I82" s="430">
        <v>17367.8</v>
      </c>
      <c r="J82" s="430">
        <v>18557.3</v>
      </c>
      <c r="K82" s="430">
        <v>19551.5</v>
      </c>
      <c r="L82" s="430">
        <v>20519.400000000001</v>
      </c>
      <c r="M82" s="850">
        <v>21319.200000000001</v>
      </c>
      <c r="N82" s="430">
        <v>22072.799999999999</v>
      </c>
      <c r="O82" s="430">
        <v>22860.5</v>
      </c>
      <c r="P82" s="430">
        <v>23741.7</v>
      </c>
      <c r="Q82" s="430">
        <v>24698.799999999999</v>
      </c>
      <c r="R82" s="430">
        <v>25739.1</v>
      </c>
      <c r="S82" s="430">
        <v>26824.9</v>
      </c>
      <c r="T82" s="430">
        <v>27957.200000000001</v>
      </c>
      <c r="U82" s="430">
        <v>29140.3</v>
      </c>
      <c r="V82" s="430">
        <v>30362.400000000001</v>
      </c>
    </row>
    <row r="83" spans="4:25" x14ac:dyDescent="0.25">
      <c r="D83" s="782" t="s">
        <v>1909</v>
      </c>
      <c r="E83" s="793">
        <v>2335</v>
      </c>
      <c r="F83" s="793">
        <v>2442</v>
      </c>
      <c r="G83" s="793">
        <v>2392</v>
      </c>
      <c r="H83" s="767">
        <v>2796</v>
      </c>
      <c r="I83" s="793">
        <v>3262.7</v>
      </c>
      <c r="J83" s="793">
        <v>3457.5</v>
      </c>
      <c r="K83" s="793">
        <v>3764.8</v>
      </c>
      <c r="L83" s="793">
        <v>3887.7</v>
      </c>
      <c r="M83" s="841">
        <v>3921.8</v>
      </c>
      <c r="N83" s="430">
        <v>3946.5</v>
      </c>
      <c r="O83" s="430">
        <v>3943.2</v>
      </c>
      <c r="P83" s="430">
        <v>3951.3</v>
      </c>
      <c r="Q83" s="430">
        <v>4036.5</v>
      </c>
      <c r="R83" s="430">
        <v>4193.8</v>
      </c>
      <c r="S83" s="430">
        <v>4390.6000000000004</v>
      </c>
      <c r="T83" s="430">
        <v>4585.7</v>
      </c>
      <c r="U83" s="430">
        <v>4776.3999999999996</v>
      </c>
      <c r="V83" s="430">
        <v>4969</v>
      </c>
    </row>
    <row r="85" spans="4:25" x14ac:dyDescent="0.25">
      <c r="D85" s="238" t="s">
        <v>501</v>
      </c>
    </row>
    <row r="86" spans="4:25" x14ac:dyDescent="0.25">
      <c r="D86" s="600" t="s">
        <v>502</v>
      </c>
      <c r="E86" s="700">
        <v>2018</v>
      </c>
      <c r="F86" s="761">
        <v>2019</v>
      </c>
      <c r="G86" s="761">
        <v>2020</v>
      </c>
      <c r="H86" s="836">
        <v>2021</v>
      </c>
      <c r="I86" s="761">
        <v>2022</v>
      </c>
      <c r="J86" s="761">
        <v>2023</v>
      </c>
      <c r="K86" s="766">
        <v>2024</v>
      </c>
      <c r="L86" s="766">
        <v>2025</v>
      </c>
      <c r="M86" s="833">
        <v>2026</v>
      </c>
    </row>
    <row r="87" spans="4:25" x14ac:dyDescent="0.25">
      <c r="D87" s="859" t="s">
        <v>489</v>
      </c>
      <c r="E87" s="860">
        <f t="shared" ref="E87:M87" si="33">E56/E80</f>
        <v>0.12011187134794987</v>
      </c>
      <c r="F87" s="860">
        <f t="shared" si="33"/>
        <v>0.11763054463784391</v>
      </c>
      <c r="G87" s="860">
        <f t="shared" si="33"/>
        <v>0.10937170746297063</v>
      </c>
      <c r="H87" s="860">
        <f t="shared" si="33"/>
        <v>9.7280409987009472E-2</v>
      </c>
      <c r="I87" s="860">
        <f t="shared" si="33"/>
        <v>0.12094976174393332</v>
      </c>
      <c r="J87" s="860">
        <f t="shared" si="33"/>
        <v>9.417103669089652E-2</v>
      </c>
      <c r="K87" s="860">
        <f t="shared" si="33"/>
        <v>9.9555459805490576E-2</v>
      </c>
      <c r="L87" s="860">
        <f t="shared" si="33"/>
        <v>0.1025475898005649</v>
      </c>
      <c r="M87" s="860">
        <f t="shared" si="33"/>
        <v>0.10409803358530392</v>
      </c>
    </row>
    <row r="88" spans="4:25" x14ac:dyDescent="0.25">
      <c r="D88" s="871" t="s">
        <v>490</v>
      </c>
      <c r="E88" s="819">
        <f t="shared" ref="E88:J89" si="34">E58/E81</f>
        <v>0.13297364834166289</v>
      </c>
      <c r="F88" s="819">
        <f>F58/F81</f>
        <v>0.13502008904332718</v>
      </c>
      <c r="G88" s="819">
        <f>G58/G81</f>
        <v>0.14086021505376345</v>
      </c>
      <c r="H88" s="819">
        <f t="shared" si="34"/>
        <v>0.13044222312663165</v>
      </c>
      <c r="I88" s="819">
        <f t="shared" si="34"/>
        <v>0.13508828162704087</v>
      </c>
      <c r="J88" s="819">
        <f t="shared" si="34"/>
        <v>0.13956586011048003</v>
      </c>
      <c r="K88" s="819">
        <f t="shared" ref="K88:M89" si="35">K58/K81</f>
        <v>0.13948480619016135</v>
      </c>
      <c r="L88" s="819">
        <f t="shared" si="35"/>
        <v>0.13673856249805616</v>
      </c>
      <c r="M88" s="819">
        <f t="shared" si="35"/>
        <v>0.13652756139179464</v>
      </c>
    </row>
    <row r="89" spans="4:25" x14ac:dyDescent="0.25">
      <c r="D89" s="823" t="s">
        <v>503</v>
      </c>
      <c r="E89" s="819">
        <f t="shared" si="34"/>
        <v>9.8454203987286912E-3</v>
      </c>
      <c r="F89" s="819">
        <f t="shared" si="34"/>
        <v>1.1844754565021176E-2</v>
      </c>
      <c r="G89" s="819">
        <f t="shared" si="34"/>
        <v>1.0985141891416098E-2</v>
      </c>
      <c r="H89" s="819">
        <f t="shared" si="34"/>
        <v>9.9876488411139216E-3</v>
      </c>
      <c r="I89" s="819">
        <f t="shared" si="34"/>
        <v>1.0824629486751345E-2</v>
      </c>
      <c r="J89" s="819">
        <f t="shared" si="34"/>
        <v>8.4139395278407976E-3</v>
      </c>
      <c r="K89" s="819">
        <f t="shared" si="35"/>
        <v>5.3482341508324172E-3</v>
      </c>
      <c r="L89" s="819">
        <f t="shared" si="35"/>
        <v>4.7556946109535356E-3</v>
      </c>
      <c r="M89" s="819">
        <f t="shared" si="35"/>
        <v>4.9128016060640172E-3</v>
      </c>
    </row>
    <row r="90" spans="4:25" x14ac:dyDescent="0.25">
      <c r="D90" s="872" t="s">
        <v>106</v>
      </c>
      <c r="E90" s="786">
        <f t="shared" ref="E90:L90" si="36">E62/E83</f>
        <v>8.7665952890792292E-2</v>
      </c>
      <c r="F90" s="786">
        <f t="shared" si="36"/>
        <v>9.4266994266994267E-2</v>
      </c>
      <c r="G90" s="786">
        <f t="shared" si="36"/>
        <v>8.8628762541806017E-2</v>
      </c>
      <c r="H90" s="786">
        <f t="shared" si="36"/>
        <v>0.13298676680972818</v>
      </c>
      <c r="I90" s="786">
        <f t="shared" si="36"/>
        <v>0.13021945014864991</v>
      </c>
      <c r="J90" s="786">
        <f t="shared" si="36"/>
        <v>0.12135473608098336</v>
      </c>
      <c r="K90" s="786">
        <f t="shared" si="36"/>
        <v>0.14074240331491711</v>
      </c>
      <c r="L90" s="786">
        <f t="shared" si="36"/>
        <v>0.1347020088998637</v>
      </c>
      <c r="M90" s="786">
        <f t="shared" ref="M90" si="37">M62/M83</f>
        <v>0.12625503595287876</v>
      </c>
    </row>
    <row r="92" spans="4:25" x14ac:dyDescent="0.25">
      <c r="D92" s="238" t="s">
        <v>504</v>
      </c>
    </row>
    <row r="93" spans="4:25" x14ac:dyDescent="0.25">
      <c r="D93" s="876" t="s">
        <v>351</v>
      </c>
    </row>
    <row r="94" spans="4:25" x14ac:dyDescent="0.25">
      <c r="D94" s="600" t="s">
        <v>505</v>
      </c>
      <c r="E94" s="700">
        <v>2018</v>
      </c>
      <c r="F94" s="761">
        <v>2019</v>
      </c>
      <c r="G94" s="836">
        <v>2020</v>
      </c>
      <c r="H94" s="761">
        <v>2021</v>
      </c>
      <c r="I94" s="761">
        <v>2022</v>
      </c>
      <c r="J94" s="761">
        <v>2023</v>
      </c>
      <c r="K94" s="766">
        <v>2024</v>
      </c>
      <c r="L94" s="766">
        <v>2025</v>
      </c>
      <c r="M94" s="833">
        <v>2026</v>
      </c>
    </row>
    <row r="95" spans="4:25" ht="20.25" customHeight="1" x14ac:dyDescent="0.25">
      <c r="D95" s="859" t="s">
        <v>489</v>
      </c>
      <c r="E95" s="860">
        <f t="shared" ref="E95:G98" si="38">E87*E72</f>
        <v>0.11572406018792676</v>
      </c>
      <c r="F95" s="860">
        <f t="shared" si="38"/>
        <v>0.11551471494501581</v>
      </c>
      <c r="G95" s="860">
        <f t="shared" si="38"/>
        <v>0.11640881499255673</v>
      </c>
      <c r="H95" s="860">
        <f>N114</f>
        <v>0.13102202825485806</v>
      </c>
      <c r="I95" s="860">
        <f>H95</f>
        <v>0.13102202825485806</v>
      </c>
      <c r="J95" s="860">
        <f t="shared" ref="J95" si="39">I95</f>
        <v>0.13102202825485806</v>
      </c>
      <c r="K95" s="860">
        <f>J95</f>
        <v>0.13102202825485806</v>
      </c>
      <c r="L95" s="860">
        <f>K95</f>
        <v>0.13102202825485806</v>
      </c>
      <c r="M95" s="861"/>
      <c r="N95" s="873"/>
      <c r="O95" s="819"/>
      <c r="P95" s="819"/>
      <c r="Q95" s="819"/>
      <c r="R95" s="819"/>
      <c r="S95" s="819"/>
      <c r="T95" s="819"/>
      <c r="U95" s="819"/>
      <c r="V95" s="819"/>
      <c r="W95" s="819"/>
      <c r="X95" s="819"/>
      <c r="Y95" s="819"/>
    </row>
    <row r="96" spans="4:25" ht="18.75" customHeight="1" x14ac:dyDescent="0.25">
      <c r="D96" s="871" t="s">
        <v>490</v>
      </c>
      <c r="E96" s="819">
        <f t="shared" si="38"/>
        <v>0.15129486597001363</v>
      </c>
      <c r="F96" s="819">
        <f t="shared" si="38"/>
        <v>0.15072211966554458</v>
      </c>
      <c r="G96" s="819">
        <f t="shared" si="38"/>
        <v>0.15317473118279573</v>
      </c>
      <c r="H96" s="819">
        <f>N116</f>
        <v>0.14952123741713724</v>
      </c>
      <c r="I96" s="819">
        <f>H96</f>
        <v>0.14952123741713724</v>
      </c>
      <c r="J96" s="819">
        <f>I96</f>
        <v>0.14952123741713724</v>
      </c>
      <c r="K96" s="819">
        <f t="shared" ref="K96:L96" si="40">J96</f>
        <v>0.14952123741713724</v>
      </c>
      <c r="L96" s="819">
        <f t="shared" si="40"/>
        <v>0.14952123741713724</v>
      </c>
      <c r="M96" s="862"/>
      <c r="N96" s="873"/>
      <c r="O96" s="819"/>
      <c r="P96" s="819"/>
      <c r="Q96" s="819"/>
      <c r="R96" s="819"/>
      <c r="S96" s="819"/>
      <c r="T96" s="819"/>
      <c r="U96" s="819"/>
      <c r="V96" s="819"/>
      <c r="W96" s="819"/>
      <c r="X96" s="819"/>
      <c r="Y96" s="819"/>
    </row>
    <row r="97" spans="4:72" ht="19.350000000000001" customHeight="1" x14ac:dyDescent="0.25">
      <c r="D97" s="823" t="s">
        <v>105</v>
      </c>
      <c r="E97" s="819">
        <f t="shared" si="38"/>
        <v>1.0835018780699219E-2</v>
      </c>
      <c r="F97" s="819">
        <f t="shared" si="38"/>
        <v>1.2150246476428523E-2</v>
      </c>
      <c r="G97" s="819">
        <f t="shared" si="38"/>
        <v>1.1293218787409338E-2</v>
      </c>
      <c r="H97" s="819">
        <f>N117</f>
        <v>1.1269768922909786E-2</v>
      </c>
      <c r="I97" s="819">
        <f>AVERAGE($F74:$G74)*I89</f>
        <v>1.1116007926963869E-2</v>
      </c>
      <c r="J97" s="819">
        <f>AVERAGE($F74:$G74)*J89</f>
        <v>8.6404267788515975E-3</v>
      </c>
      <c r="K97" s="819">
        <f>J97</f>
        <v>8.6404267788515975E-3</v>
      </c>
      <c r="L97" s="819">
        <f>K97</f>
        <v>8.6404267788515975E-3</v>
      </c>
      <c r="M97" s="862"/>
      <c r="N97" s="873"/>
      <c r="O97" s="819"/>
      <c r="P97" s="819"/>
      <c r="Q97" s="819"/>
      <c r="R97" s="819"/>
      <c r="S97" s="819"/>
      <c r="T97" s="819"/>
      <c r="U97" s="819"/>
      <c r="V97" s="819"/>
      <c r="W97" s="819"/>
      <c r="X97" s="819"/>
      <c r="Y97" s="819"/>
    </row>
    <row r="98" spans="4:72" ht="19.350000000000001" customHeight="1" x14ac:dyDescent="0.25">
      <c r="D98" s="872" t="s">
        <v>106</v>
      </c>
      <c r="E98" s="786">
        <f t="shared" si="38"/>
        <v>8.9079229122055667E-2</v>
      </c>
      <c r="F98" s="786">
        <f t="shared" si="38"/>
        <v>8.9680589680589687E-2</v>
      </c>
      <c r="G98" s="786">
        <f t="shared" si="38"/>
        <v>9.2140468227424749E-2</v>
      </c>
      <c r="H98" s="786">
        <f>M118</f>
        <v>0.11887481034977652</v>
      </c>
      <c r="I98" s="786">
        <f>N118</f>
        <v>0.12443013242636948</v>
      </c>
      <c r="J98" s="786">
        <f>I98</f>
        <v>0.12443013242636948</v>
      </c>
      <c r="K98" s="786">
        <f>J98</f>
        <v>0.12443013242636948</v>
      </c>
      <c r="L98" s="786">
        <f>K98</f>
        <v>0.12443013242636948</v>
      </c>
      <c r="M98" s="863"/>
      <c r="N98" s="873"/>
      <c r="O98" s="819"/>
      <c r="P98" s="819"/>
      <c r="Q98" s="819"/>
      <c r="R98" s="819"/>
      <c r="S98" s="819"/>
      <c r="T98" s="819"/>
      <c r="U98" s="819"/>
      <c r="V98" s="819"/>
      <c r="W98" s="819"/>
      <c r="X98" s="819"/>
      <c r="Y98" s="819"/>
    </row>
    <row r="99" spans="4:72" x14ac:dyDescent="0.25">
      <c r="E99" s="673"/>
      <c r="F99" s="673"/>
      <c r="G99" s="673"/>
      <c r="H99" s="673"/>
      <c r="I99" s="673"/>
      <c r="J99" s="673"/>
      <c r="K99" s="673"/>
      <c r="L99" s="673"/>
    </row>
    <row r="100" spans="4:72" x14ac:dyDescent="0.25">
      <c r="D100" s="875" t="s">
        <v>364</v>
      </c>
      <c r="E100" s="819"/>
      <c r="F100" s="819"/>
      <c r="G100" s="819"/>
      <c r="H100" s="819"/>
      <c r="I100" s="819"/>
      <c r="J100" s="819"/>
      <c r="K100" s="819"/>
      <c r="L100" s="819"/>
      <c r="M100" s="819"/>
      <c r="N100" s="819"/>
      <c r="O100" s="819"/>
      <c r="P100" s="819"/>
      <c r="Q100" s="819"/>
      <c r="R100" s="819"/>
      <c r="S100" s="819"/>
      <c r="T100" s="819"/>
      <c r="U100" s="819"/>
      <c r="V100" s="819"/>
      <c r="W100" s="819"/>
      <c r="X100" s="819"/>
      <c r="Y100" s="819"/>
    </row>
    <row r="101" spans="4:72" x14ac:dyDescent="0.25">
      <c r="D101" s="1358" t="s">
        <v>1969</v>
      </c>
      <c r="E101" s="1370"/>
      <c r="F101" s="1288">
        <v>2019</v>
      </c>
      <c r="G101" s="1289"/>
      <c r="H101" s="1290"/>
      <c r="I101" s="1288">
        <v>2020</v>
      </c>
      <c r="J101" s="1289"/>
      <c r="K101" s="1289"/>
      <c r="L101" s="1290"/>
      <c r="M101" s="1288">
        <v>2021</v>
      </c>
      <c r="N101" s="1289"/>
      <c r="O101" s="1289"/>
      <c r="P101" s="1289"/>
      <c r="Q101" s="1288">
        <v>2022</v>
      </c>
      <c r="R101" s="1300"/>
      <c r="S101" s="1300"/>
      <c r="T101" s="1290"/>
      <c r="U101" s="291"/>
      <c r="V101" s="291">
        <v>2023</v>
      </c>
      <c r="W101" s="431"/>
      <c r="X101" s="298"/>
      <c r="Y101" s="441"/>
      <c r="Z101" s="431">
        <v>2024</v>
      </c>
      <c r="AA101" s="431"/>
      <c r="AB101" s="324"/>
      <c r="AC101" s="1275">
        <v>2025</v>
      </c>
      <c r="AD101" s="1281"/>
      <c r="AE101" s="1281"/>
      <c r="AF101" s="1280"/>
      <c r="AG101" s="1275">
        <v>2026</v>
      </c>
      <c r="AH101" s="1281"/>
      <c r="AI101" s="1281"/>
      <c r="AJ101" s="1280"/>
      <c r="AK101" s="1275">
        <v>2027</v>
      </c>
      <c r="AL101" s="1281"/>
      <c r="AM101" s="1281"/>
      <c r="AN101" s="1280"/>
    </row>
    <row r="102" spans="4:72" x14ac:dyDescent="0.25">
      <c r="D102" s="1371"/>
      <c r="E102" s="1372"/>
      <c r="F102" s="214" t="s">
        <v>283</v>
      </c>
      <c r="G102" s="215" t="s">
        <v>238</v>
      </c>
      <c r="H102" s="221" t="s">
        <v>281</v>
      </c>
      <c r="I102" s="214" t="s">
        <v>282</v>
      </c>
      <c r="J102" s="215" t="s">
        <v>283</v>
      </c>
      <c r="K102" s="215" t="s">
        <v>238</v>
      </c>
      <c r="L102" s="221" t="s">
        <v>281</v>
      </c>
      <c r="M102" s="214" t="s">
        <v>282</v>
      </c>
      <c r="N102" s="215" t="s">
        <v>283</v>
      </c>
      <c r="O102" s="215" t="s">
        <v>238</v>
      </c>
      <c r="P102" s="215" t="s">
        <v>281</v>
      </c>
      <c r="Q102" s="214" t="s">
        <v>282</v>
      </c>
      <c r="R102" s="215" t="s">
        <v>283</v>
      </c>
      <c r="S102" s="215" t="s">
        <v>238</v>
      </c>
      <c r="T102" s="221" t="s">
        <v>281</v>
      </c>
      <c r="U102" s="215" t="s">
        <v>282</v>
      </c>
      <c r="V102" s="276" t="s">
        <v>283</v>
      </c>
      <c r="W102" s="276" t="s">
        <v>238</v>
      </c>
      <c r="X102" s="274" t="s">
        <v>281</v>
      </c>
      <c r="Y102" s="275" t="s">
        <v>282</v>
      </c>
      <c r="Z102" s="281" t="s">
        <v>283</v>
      </c>
      <c r="AA102" s="276" t="s">
        <v>238</v>
      </c>
      <c r="AB102" s="262" t="s">
        <v>281</v>
      </c>
      <c r="AC102" s="288" t="s">
        <v>282</v>
      </c>
      <c r="AD102" s="260" t="s">
        <v>283</v>
      </c>
      <c r="AE102" s="262" t="s">
        <v>238</v>
      </c>
      <c r="AF102" s="262" t="s">
        <v>281</v>
      </c>
      <c r="AG102" s="288" t="s">
        <v>282</v>
      </c>
      <c r="AH102" s="260" t="s">
        <v>283</v>
      </c>
      <c r="AI102" s="262" t="s">
        <v>238</v>
      </c>
      <c r="AJ102" s="290" t="s">
        <v>281</v>
      </c>
      <c r="AK102" s="288" t="s">
        <v>282</v>
      </c>
      <c r="AL102" s="260" t="s">
        <v>283</v>
      </c>
      <c r="AM102" s="262" t="s">
        <v>238</v>
      </c>
      <c r="AN102" s="290" t="s">
        <v>281</v>
      </c>
    </row>
    <row r="103" spans="4:72" x14ac:dyDescent="0.25">
      <c r="D103" s="879" t="s">
        <v>498</v>
      </c>
      <c r="E103" s="768"/>
      <c r="F103" s="367">
        <f t="shared" ref="F103:AC103" si="41">F104+F105</f>
        <v>0</v>
      </c>
      <c r="G103" s="367">
        <f t="shared" si="41"/>
        <v>0</v>
      </c>
      <c r="H103" s="367">
        <f t="shared" si="41"/>
        <v>0</v>
      </c>
      <c r="I103" s="367">
        <f t="shared" si="41"/>
        <v>15134.800000000001</v>
      </c>
      <c r="J103" s="367">
        <f t="shared" si="41"/>
        <v>14265.5</v>
      </c>
      <c r="K103" s="367">
        <f t="shared" si="41"/>
        <v>14943.5</v>
      </c>
      <c r="L103" s="367">
        <f t="shared" si="41"/>
        <v>15319.300000000001</v>
      </c>
      <c r="M103" s="367">
        <f t="shared" si="41"/>
        <v>15399.800000000001</v>
      </c>
      <c r="N103" s="367">
        <f t="shared" si="41"/>
        <v>15959.6</v>
      </c>
      <c r="O103" s="367">
        <f t="shared" si="41"/>
        <v>16325.6</v>
      </c>
      <c r="P103" s="367">
        <f t="shared" si="41"/>
        <v>16677.3</v>
      </c>
      <c r="Q103" s="367">
        <f t="shared" si="41"/>
        <v>16874</v>
      </c>
      <c r="R103" s="367">
        <f t="shared" si="41"/>
        <v>17129</v>
      </c>
      <c r="S103" s="367">
        <f t="shared" si="41"/>
        <v>17573.3</v>
      </c>
      <c r="T103" s="895">
        <f t="shared" si="41"/>
        <v>17787.8</v>
      </c>
      <c r="U103" s="367">
        <f t="shared" si="41"/>
        <v>18108.900000000001</v>
      </c>
      <c r="V103" s="367">
        <f t="shared" si="41"/>
        <v>18368.099999999999</v>
      </c>
      <c r="W103" s="367">
        <f>W104+W105</f>
        <v>18609.7</v>
      </c>
      <c r="X103" s="367">
        <f t="shared" si="41"/>
        <v>18858.199999999997</v>
      </c>
      <c r="Y103" s="367">
        <f t="shared" si="41"/>
        <v>19208.2</v>
      </c>
      <c r="Z103" s="367">
        <f t="shared" si="41"/>
        <v>19348.900000000001</v>
      </c>
      <c r="AA103" s="367">
        <f>AA104+AA105</f>
        <v>19461.599999999999</v>
      </c>
      <c r="AB103" s="771">
        <f t="shared" si="41"/>
        <v>19750.7</v>
      </c>
      <c r="AC103" s="771">
        <f t="shared" si="41"/>
        <v>20062.900000000001</v>
      </c>
      <c r="AD103" s="771">
        <f t="shared" ref="AD103:AN103" si="42">AD104+AD105</f>
        <v>20347.099999999999</v>
      </c>
      <c r="AE103" s="771">
        <f t="shared" si="42"/>
        <v>20591.8</v>
      </c>
      <c r="AF103" s="771">
        <f t="shared" si="42"/>
        <v>20843.599999999999</v>
      </c>
      <c r="AG103" s="771">
        <f t="shared" si="42"/>
        <v>21079</v>
      </c>
      <c r="AH103" s="770">
        <f t="shared" si="42"/>
        <v>21305.200000000001</v>
      </c>
      <c r="AI103" s="770">
        <f t="shared" si="42"/>
        <v>21531.199999999997</v>
      </c>
      <c r="AJ103" s="770">
        <f t="shared" si="42"/>
        <v>21754.199999999997</v>
      </c>
      <c r="AK103" s="770">
        <f t="shared" si="42"/>
        <v>21986.5</v>
      </c>
      <c r="AL103" s="770">
        <f t="shared" si="42"/>
        <v>22217.4</v>
      </c>
      <c r="AM103" s="770">
        <f t="shared" si="42"/>
        <v>22453.9</v>
      </c>
      <c r="AN103" s="770">
        <f t="shared" si="42"/>
        <v>22696.2</v>
      </c>
    </row>
    <row r="104" spans="4:72" x14ac:dyDescent="0.25">
      <c r="D104" s="663" t="s">
        <v>499</v>
      </c>
      <c r="E104" s="596"/>
      <c r="F104" s="430"/>
      <c r="G104" s="430"/>
      <c r="H104" s="430"/>
      <c r="I104" s="227">
        <v>9624.7000000000007</v>
      </c>
      <c r="J104" s="444">
        <v>8995.7000000000007</v>
      </c>
      <c r="K104" s="444">
        <v>9425.4</v>
      </c>
      <c r="L104" s="444">
        <v>9783.7000000000007</v>
      </c>
      <c r="M104" s="444">
        <v>9878.7000000000007</v>
      </c>
      <c r="N104" s="444">
        <v>10170</v>
      </c>
      <c r="O104" s="444">
        <v>10447.700000000001</v>
      </c>
      <c r="P104" s="444">
        <v>10754.1</v>
      </c>
      <c r="Q104" s="444">
        <v>10892.8</v>
      </c>
      <c r="R104" s="444">
        <v>10995.9</v>
      </c>
      <c r="S104" s="444">
        <v>11278.9</v>
      </c>
      <c r="T104" s="444">
        <v>11325</v>
      </c>
      <c r="U104" s="444">
        <v>11480.7</v>
      </c>
      <c r="V104" s="444">
        <v>11641</v>
      </c>
      <c r="W104" s="444">
        <v>11824</v>
      </c>
      <c r="X104" s="444">
        <v>11955.3</v>
      </c>
      <c r="Y104" s="444">
        <v>12251</v>
      </c>
      <c r="Z104" s="444">
        <v>12343</v>
      </c>
      <c r="AA104" s="444">
        <v>12457.6</v>
      </c>
      <c r="AB104" s="654">
        <v>12613.1</v>
      </c>
      <c r="AC104" s="654">
        <v>12784.3</v>
      </c>
      <c r="AD104" s="654">
        <v>12944.6</v>
      </c>
      <c r="AE104" s="654">
        <v>13103</v>
      </c>
      <c r="AF104" s="654">
        <v>13259.9</v>
      </c>
      <c r="AG104" s="1429">
        <v>13408.7</v>
      </c>
      <c r="AH104" s="1430">
        <v>13552.4</v>
      </c>
      <c r="AI104" s="218">
        <v>13694.8</v>
      </c>
      <c r="AJ104" s="218">
        <v>13834.8</v>
      </c>
      <c r="AK104">
        <v>13978</v>
      </c>
      <c r="AL104">
        <v>14122.6</v>
      </c>
      <c r="AM104">
        <v>14269.5</v>
      </c>
      <c r="AN104">
        <v>14417.7</v>
      </c>
      <c r="AO104">
        <v>14568.8</v>
      </c>
      <c r="AP104">
        <v>14720.6</v>
      </c>
      <c r="AQ104">
        <v>14873.1</v>
      </c>
      <c r="AR104">
        <v>15023</v>
      </c>
      <c r="AS104">
        <v>15175.6</v>
      </c>
      <c r="AT104">
        <v>15328.8</v>
      </c>
      <c r="AU104">
        <v>15482.1</v>
      </c>
      <c r="AV104">
        <v>15630.6</v>
      </c>
      <c r="AW104">
        <v>15784.3</v>
      </c>
      <c r="AX104">
        <v>15938.8</v>
      </c>
      <c r="AY104">
        <v>16094.2</v>
      </c>
      <c r="AZ104">
        <v>16245.7</v>
      </c>
      <c r="BA104">
        <v>16403.3</v>
      </c>
      <c r="BB104">
        <v>16562.099999999999</v>
      </c>
      <c r="BC104">
        <v>16722.099999999999</v>
      </c>
      <c r="BD104">
        <v>16878.099999999999</v>
      </c>
      <c r="BE104">
        <v>17040.8</v>
      </c>
      <c r="BF104">
        <v>17203.900000000001</v>
      </c>
      <c r="BG104">
        <v>17367.599999999999</v>
      </c>
      <c r="BH104">
        <v>17525.2</v>
      </c>
      <c r="BI104">
        <v>17689.599999999999</v>
      </c>
      <c r="BJ104">
        <v>17856.900000000001</v>
      </c>
      <c r="BK104">
        <v>18026</v>
      </c>
      <c r="BL104">
        <v>18191.8</v>
      </c>
      <c r="BM104">
        <v>18363.7</v>
      </c>
      <c r="BN104">
        <v>18536.5</v>
      </c>
      <c r="BO104">
        <v>18710.3</v>
      </c>
      <c r="BP104">
        <v>18885.3</v>
      </c>
      <c r="BQ104">
        <v>19061.5</v>
      </c>
      <c r="BR104">
        <v>19239.3</v>
      </c>
      <c r="BS104">
        <v>19419.2</v>
      </c>
      <c r="BT104">
        <v>19601.3</v>
      </c>
    </row>
    <row r="105" spans="4:72" x14ac:dyDescent="0.25">
      <c r="D105" s="264" t="s">
        <v>890</v>
      </c>
      <c r="E105" s="554"/>
      <c r="F105" s="430"/>
      <c r="G105" s="430"/>
      <c r="H105" s="430"/>
      <c r="I105" s="444">
        <v>5510.1</v>
      </c>
      <c r="J105" s="444">
        <v>5269.8</v>
      </c>
      <c r="K105" s="444">
        <v>5518.1</v>
      </c>
      <c r="L105" s="444">
        <v>5535.6</v>
      </c>
      <c r="M105" s="444">
        <v>5521.1</v>
      </c>
      <c r="N105" s="444">
        <v>5789.6</v>
      </c>
      <c r="O105" s="444">
        <v>5877.9</v>
      </c>
      <c r="P105" s="444">
        <v>5923.2</v>
      </c>
      <c r="Q105" s="444">
        <v>5981.2</v>
      </c>
      <c r="R105" s="444">
        <v>6133.1</v>
      </c>
      <c r="S105" s="444">
        <v>6294.4</v>
      </c>
      <c r="T105" s="444">
        <v>6462.8</v>
      </c>
      <c r="U105" s="444">
        <v>6628.2</v>
      </c>
      <c r="V105" s="444">
        <v>6727.1</v>
      </c>
      <c r="W105" s="444">
        <v>6785.7</v>
      </c>
      <c r="X105" s="444">
        <v>6902.9</v>
      </c>
      <c r="Y105" s="444">
        <v>6957.2</v>
      </c>
      <c r="Z105" s="444">
        <v>7005.9</v>
      </c>
      <c r="AA105" s="444">
        <v>7004</v>
      </c>
      <c r="AB105" s="654">
        <v>7137.6</v>
      </c>
      <c r="AC105" s="654">
        <v>7278.6</v>
      </c>
      <c r="AD105" s="654">
        <v>7402.5</v>
      </c>
      <c r="AE105" s="654">
        <v>7488.8</v>
      </c>
      <c r="AF105" s="654">
        <v>7583.7</v>
      </c>
      <c r="AG105" s="1429">
        <v>7670.3</v>
      </c>
      <c r="AH105" s="1430">
        <v>7752.8</v>
      </c>
      <c r="AI105" s="218">
        <v>7836.4</v>
      </c>
      <c r="AJ105" s="218">
        <v>7919.4</v>
      </c>
      <c r="AK105">
        <v>8008.5</v>
      </c>
      <c r="AL105">
        <v>8094.8</v>
      </c>
      <c r="AM105">
        <v>8184.4</v>
      </c>
      <c r="AN105">
        <v>8278.5</v>
      </c>
      <c r="AO105">
        <v>8381</v>
      </c>
      <c r="AP105">
        <v>8484.2999999999993</v>
      </c>
      <c r="AQ105">
        <v>8587.9</v>
      </c>
      <c r="AR105">
        <v>8689.6</v>
      </c>
      <c r="AS105">
        <v>8790</v>
      </c>
      <c r="AT105">
        <v>8887.1</v>
      </c>
      <c r="AU105">
        <v>8983.2000000000007</v>
      </c>
      <c r="AV105">
        <v>9079.1</v>
      </c>
      <c r="AW105">
        <v>9175.2999999999993</v>
      </c>
      <c r="AX105">
        <v>9270.2999999999993</v>
      </c>
      <c r="AY105">
        <v>9364.2999999999993</v>
      </c>
      <c r="AZ105">
        <v>9459.7999999999993</v>
      </c>
      <c r="BA105">
        <v>9539.6</v>
      </c>
      <c r="BB105">
        <v>9624.2000000000007</v>
      </c>
      <c r="BC105">
        <v>9707.2999999999993</v>
      </c>
      <c r="BD105">
        <v>9809.1</v>
      </c>
      <c r="BE105">
        <v>9898.9</v>
      </c>
      <c r="BF105">
        <v>9994.7999999999993</v>
      </c>
      <c r="BG105">
        <v>10090.700000000001</v>
      </c>
      <c r="BH105">
        <v>10185.200000000001</v>
      </c>
      <c r="BI105">
        <v>10278.9</v>
      </c>
      <c r="BJ105">
        <v>10371</v>
      </c>
      <c r="BK105">
        <v>10463</v>
      </c>
      <c r="BL105">
        <v>10568.7</v>
      </c>
      <c r="BM105">
        <v>10678.3</v>
      </c>
      <c r="BN105">
        <v>10787.6</v>
      </c>
      <c r="BO105">
        <v>10896.9</v>
      </c>
      <c r="BP105">
        <v>11005</v>
      </c>
      <c r="BQ105">
        <v>11113.9</v>
      </c>
      <c r="BR105">
        <v>11223.1</v>
      </c>
      <c r="BS105">
        <v>11332.5</v>
      </c>
      <c r="BT105">
        <v>11442.4</v>
      </c>
    </row>
    <row r="106" spans="4:72" x14ac:dyDescent="0.25">
      <c r="D106" s="264" t="s">
        <v>500</v>
      </c>
      <c r="E106" s="554"/>
      <c r="F106" s="430"/>
      <c r="G106" s="430"/>
      <c r="H106" s="430"/>
      <c r="I106" s="444">
        <v>14440.2</v>
      </c>
      <c r="J106" s="444">
        <v>13049.8</v>
      </c>
      <c r="K106" s="444">
        <v>14388.7</v>
      </c>
      <c r="L106" s="444">
        <v>14586</v>
      </c>
      <c r="M106" s="444">
        <v>15217.7</v>
      </c>
      <c r="N106" s="444">
        <v>15950.9</v>
      </c>
      <c r="O106" s="444">
        <v>16285.1</v>
      </c>
      <c r="P106" s="444">
        <v>16718.2</v>
      </c>
      <c r="Q106" s="444">
        <v>17175.099999999999</v>
      </c>
      <c r="R106" s="444">
        <v>17603.8</v>
      </c>
      <c r="S106" s="444">
        <v>17876.2</v>
      </c>
      <c r="T106" s="444">
        <v>18108.3</v>
      </c>
      <c r="U106" s="444">
        <v>18506.2</v>
      </c>
      <c r="V106" s="444">
        <v>18685.7</v>
      </c>
      <c r="W106" s="444">
        <v>18929</v>
      </c>
      <c r="X106" s="444">
        <v>19170.2</v>
      </c>
      <c r="Y106" s="444">
        <v>19424.8</v>
      </c>
      <c r="Z106" s="444">
        <v>19682.7</v>
      </c>
      <c r="AA106" s="444">
        <v>19928.2</v>
      </c>
      <c r="AB106" s="654">
        <v>20185.7</v>
      </c>
      <c r="AC106" s="654">
        <v>20403.099999999999</v>
      </c>
      <c r="AD106" s="654">
        <v>20642.2</v>
      </c>
      <c r="AE106" s="654">
        <v>20846.8</v>
      </c>
      <c r="AF106" s="654">
        <v>21044.3</v>
      </c>
      <c r="AG106" s="1429">
        <v>21224.400000000001</v>
      </c>
      <c r="AH106" s="1430">
        <v>21419</v>
      </c>
      <c r="AI106" s="218">
        <v>21589.1</v>
      </c>
      <c r="AJ106" s="218">
        <v>21781.8</v>
      </c>
      <c r="AK106">
        <v>21986.799999999999</v>
      </c>
      <c r="AL106">
        <v>22169.7</v>
      </c>
      <c r="AM106">
        <v>22353.1</v>
      </c>
      <c r="AN106">
        <v>22549.7</v>
      </c>
      <c r="AO106">
        <v>22756.3</v>
      </c>
      <c r="AP106">
        <v>22960.5</v>
      </c>
      <c r="AQ106">
        <v>23175.7</v>
      </c>
      <c r="AR106">
        <v>23394.799999999999</v>
      </c>
      <c r="AS106">
        <v>23623.8</v>
      </c>
      <c r="AT106">
        <v>23858.3</v>
      </c>
      <c r="AU106">
        <v>24089.9</v>
      </c>
      <c r="AV106">
        <v>24324.3</v>
      </c>
      <c r="AW106">
        <v>24567.4</v>
      </c>
      <c r="AX106">
        <v>24824.5</v>
      </c>
      <c r="AY106">
        <v>25079.200000000001</v>
      </c>
      <c r="AZ106">
        <v>25340.7</v>
      </c>
      <c r="BA106">
        <v>25603</v>
      </c>
      <c r="BB106">
        <v>25871.9</v>
      </c>
      <c r="BC106">
        <v>26140.7</v>
      </c>
      <c r="BD106">
        <v>26411.5</v>
      </c>
      <c r="BE106">
        <v>26684.9</v>
      </c>
      <c r="BF106">
        <v>26961.599999999999</v>
      </c>
      <c r="BG106">
        <v>27241.4</v>
      </c>
      <c r="BH106">
        <v>27524.400000000001</v>
      </c>
      <c r="BI106">
        <v>27809.7</v>
      </c>
      <c r="BJ106">
        <v>28100.3</v>
      </c>
      <c r="BK106">
        <v>28394.3</v>
      </c>
      <c r="BL106">
        <v>28690.400000000001</v>
      </c>
      <c r="BM106">
        <v>28988.400000000001</v>
      </c>
      <c r="BN106">
        <v>29289</v>
      </c>
      <c r="BO106">
        <v>29593.3</v>
      </c>
      <c r="BP106">
        <v>29899.7</v>
      </c>
      <c r="BQ106">
        <v>30207</v>
      </c>
      <c r="BR106">
        <v>30516</v>
      </c>
      <c r="BS106">
        <v>30827</v>
      </c>
      <c r="BT106">
        <v>31138.6</v>
      </c>
    </row>
    <row r="107" spans="4:72" x14ac:dyDescent="0.25">
      <c r="D107" s="699" t="s">
        <v>1913</v>
      </c>
      <c r="E107" s="570"/>
      <c r="F107" s="570"/>
      <c r="G107" s="570"/>
      <c r="H107" s="793"/>
      <c r="I107" s="773">
        <v>1736.3</v>
      </c>
      <c r="J107" s="773">
        <v>1597.1</v>
      </c>
      <c r="K107" s="773">
        <v>2041.1</v>
      </c>
      <c r="L107" s="773">
        <v>1947.4</v>
      </c>
      <c r="M107" s="773">
        <v>2280.4</v>
      </c>
      <c r="N107" s="773">
        <v>2580</v>
      </c>
      <c r="O107" s="773">
        <v>2541.1</v>
      </c>
      <c r="P107" s="773">
        <v>2555</v>
      </c>
      <c r="Q107" s="773">
        <v>2738.7</v>
      </c>
      <c r="R107" s="773">
        <v>2876.9</v>
      </c>
      <c r="S107" s="773">
        <v>2950.7</v>
      </c>
      <c r="T107" s="773">
        <v>2921.1</v>
      </c>
      <c r="U107" s="773">
        <v>2941.2</v>
      </c>
      <c r="V107" s="773">
        <v>2953.4</v>
      </c>
      <c r="W107" s="773">
        <v>3079.7</v>
      </c>
      <c r="X107" s="773">
        <v>3253.6</v>
      </c>
      <c r="Y107" s="773">
        <v>3186.2</v>
      </c>
      <c r="Z107" s="773">
        <v>3337.4</v>
      </c>
      <c r="AA107" s="773">
        <v>3365.5</v>
      </c>
      <c r="AB107" s="774">
        <v>3380.3</v>
      </c>
      <c r="AC107" s="774">
        <v>3389.3</v>
      </c>
      <c r="AD107" s="774">
        <v>3387.9</v>
      </c>
      <c r="AE107" s="774">
        <v>3390.8</v>
      </c>
      <c r="AF107" s="774">
        <v>3389.1</v>
      </c>
      <c r="AG107" s="774">
        <v>3393.2</v>
      </c>
      <c r="AH107" s="1430">
        <v>3399.9</v>
      </c>
      <c r="AI107" s="218">
        <v>3396.5</v>
      </c>
      <c r="AJ107" s="218">
        <v>3400.6</v>
      </c>
      <c r="AK107">
        <v>3394.1</v>
      </c>
      <c r="AL107">
        <v>3381.6</v>
      </c>
      <c r="AM107">
        <v>3366.9</v>
      </c>
      <c r="AN107">
        <v>3369.6</v>
      </c>
      <c r="AO107">
        <v>3361.6</v>
      </c>
      <c r="AP107">
        <v>3346.4</v>
      </c>
      <c r="AQ107">
        <v>3335.2</v>
      </c>
      <c r="AR107">
        <v>3336.1</v>
      </c>
      <c r="AS107">
        <v>3337.1</v>
      </c>
      <c r="AT107">
        <v>3344.5</v>
      </c>
      <c r="AU107">
        <v>3352.2</v>
      </c>
      <c r="AV107">
        <v>3375.5</v>
      </c>
      <c r="AW107">
        <v>3396.4</v>
      </c>
      <c r="AX107">
        <v>3426.8</v>
      </c>
      <c r="AY107">
        <v>3446.4</v>
      </c>
      <c r="AZ107">
        <v>3483.8</v>
      </c>
      <c r="BA107">
        <v>3528.1</v>
      </c>
      <c r="BB107">
        <v>3572.6</v>
      </c>
      <c r="BC107">
        <v>3617.2</v>
      </c>
      <c r="BD107">
        <v>3662.1</v>
      </c>
      <c r="BE107">
        <v>3706</v>
      </c>
      <c r="BF107">
        <v>3748</v>
      </c>
      <c r="BG107">
        <v>3786.8</v>
      </c>
      <c r="BH107">
        <v>3835.5</v>
      </c>
      <c r="BI107">
        <v>3873</v>
      </c>
      <c r="BJ107">
        <v>3914.5</v>
      </c>
      <c r="BK107">
        <v>3953.1</v>
      </c>
      <c r="BL107">
        <v>4000.1</v>
      </c>
      <c r="BM107">
        <v>4037.5</v>
      </c>
      <c r="BN107">
        <v>4076.8</v>
      </c>
      <c r="BO107">
        <v>4113.6000000000004</v>
      </c>
      <c r="BP107">
        <v>4158.3999999999996</v>
      </c>
      <c r="BQ107">
        <v>4198.7</v>
      </c>
      <c r="BR107">
        <v>4242.1000000000004</v>
      </c>
      <c r="BS107">
        <v>4282.6000000000004</v>
      </c>
      <c r="BT107">
        <v>4332.1000000000004</v>
      </c>
    </row>
    <row r="108" spans="4:72" ht="18.75" customHeight="1" x14ac:dyDescent="0.25"/>
    <row r="109" spans="4:72" x14ac:dyDescent="0.25">
      <c r="D109" s="880"/>
      <c r="E109" s="596"/>
      <c r="F109" s="596"/>
      <c r="G109" s="596"/>
      <c r="H109" s="430"/>
      <c r="I109" s="430"/>
      <c r="J109" s="430"/>
      <c r="K109" s="430"/>
      <c r="L109" s="430"/>
      <c r="M109" s="430"/>
      <c r="N109" s="430"/>
      <c r="O109" s="430"/>
      <c r="P109" s="430"/>
      <c r="Q109" s="430"/>
      <c r="R109" s="430"/>
      <c r="S109" s="430"/>
      <c r="T109" s="430"/>
      <c r="U109" s="430"/>
      <c r="V109" s="430"/>
      <c r="W109" s="430"/>
      <c r="X109" s="430"/>
      <c r="Y109" s="430"/>
      <c r="Z109" s="853"/>
      <c r="AA109" s="430"/>
      <c r="AB109" s="430"/>
      <c r="AC109" s="430"/>
    </row>
    <row r="110" spans="4:72" x14ac:dyDescent="0.25">
      <c r="D110" s="511"/>
      <c r="AC110" s="56"/>
    </row>
    <row r="111" spans="4:72" x14ac:dyDescent="0.25">
      <c r="D111" s="1358" t="s">
        <v>506</v>
      </c>
      <c r="E111" s="1370"/>
      <c r="F111" s="1288">
        <v>2019</v>
      </c>
      <c r="G111" s="1289"/>
      <c r="H111" s="1290"/>
      <c r="I111" s="1289">
        <v>2020</v>
      </c>
      <c r="J111" s="1289"/>
      <c r="K111" s="1289"/>
      <c r="L111" s="1290"/>
      <c r="M111" s="1288">
        <v>2021</v>
      </c>
      <c r="N111" s="1289"/>
      <c r="O111" s="1289"/>
      <c r="P111" s="1289"/>
      <c r="Q111" s="1288">
        <v>2022</v>
      </c>
      <c r="R111" s="1300"/>
      <c r="S111" s="1300"/>
      <c r="T111" s="1290"/>
      <c r="U111" s="291"/>
      <c r="V111" s="291">
        <v>2023</v>
      </c>
      <c r="W111" s="431"/>
      <c r="X111" s="298"/>
      <c r="Y111" s="1288">
        <v>2024</v>
      </c>
      <c r="Z111" s="1289"/>
      <c r="AA111" s="1289"/>
      <c r="AB111" s="1290"/>
      <c r="AC111" s="1275">
        <v>2025</v>
      </c>
      <c r="AD111" s="1281"/>
      <c r="AE111" s="1281"/>
      <c r="AF111" s="1280"/>
      <c r="AG111" s="1275">
        <v>2026</v>
      </c>
      <c r="AH111" s="1281"/>
      <c r="AI111" s="1281"/>
      <c r="AJ111" s="1280"/>
      <c r="AK111" s="1275">
        <v>2027</v>
      </c>
      <c r="AL111" s="1281"/>
      <c r="AM111" s="1281"/>
      <c r="AN111" s="1280"/>
    </row>
    <row r="112" spans="4:72" x14ac:dyDescent="0.25">
      <c r="D112" s="1371"/>
      <c r="E112" s="1372"/>
      <c r="F112" s="214" t="s">
        <v>283</v>
      </c>
      <c r="G112" s="215" t="s">
        <v>238</v>
      </c>
      <c r="H112" s="221" t="s">
        <v>281</v>
      </c>
      <c r="I112" s="215" t="s">
        <v>282</v>
      </c>
      <c r="J112" s="215" t="s">
        <v>283</v>
      </c>
      <c r="K112" s="215" t="s">
        <v>238</v>
      </c>
      <c r="L112" s="221" t="s">
        <v>281</v>
      </c>
      <c r="M112" s="214" t="s">
        <v>282</v>
      </c>
      <c r="N112" s="215" t="s">
        <v>283</v>
      </c>
      <c r="O112" s="215" t="s">
        <v>238</v>
      </c>
      <c r="P112" s="215" t="s">
        <v>281</v>
      </c>
      <c r="Q112" s="214" t="s">
        <v>282</v>
      </c>
      <c r="R112" s="215" t="s">
        <v>283</v>
      </c>
      <c r="S112" s="215" t="s">
        <v>238</v>
      </c>
      <c r="T112" s="221" t="s">
        <v>281</v>
      </c>
      <c r="U112" s="214" t="s">
        <v>282</v>
      </c>
      <c r="V112" s="276" t="s">
        <v>283</v>
      </c>
      <c r="W112" s="276" t="s">
        <v>238</v>
      </c>
      <c r="X112" s="274" t="s">
        <v>281</v>
      </c>
      <c r="Y112" s="275" t="s">
        <v>282</v>
      </c>
      <c r="Z112" s="281" t="s">
        <v>283</v>
      </c>
      <c r="AA112" s="276" t="s">
        <v>238</v>
      </c>
      <c r="AB112" s="276" t="s">
        <v>281</v>
      </c>
      <c r="AC112" s="275" t="s">
        <v>282</v>
      </c>
      <c r="AD112" s="260" t="s">
        <v>283</v>
      </c>
      <c r="AE112" s="262" t="s">
        <v>238</v>
      </c>
      <c r="AF112" s="262" t="s">
        <v>281</v>
      </c>
      <c r="AG112" s="288" t="s">
        <v>282</v>
      </c>
      <c r="AH112" s="260" t="s">
        <v>283</v>
      </c>
      <c r="AI112" s="262" t="s">
        <v>238</v>
      </c>
      <c r="AJ112" s="290" t="s">
        <v>281</v>
      </c>
      <c r="AK112" s="288" t="s">
        <v>282</v>
      </c>
      <c r="AL112" s="260" t="s">
        <v>283</v>
      </c>
      <c r="AM112" s="262" t="s">
        <v>238</v>
      </c>
      <c r="AN112" s="290" t="s">
        <v>281</v>
      </c>
    </row>
    <row r="113" spans="4:40" x14ac:dyDescent="0.25">
      <c r="D113" s="1368" t="s">
        <v>507</v>
      </c>
      <c r="E113" s="1369"/>
      <c r="F113" s="249"/>
      <c r="G113" s="309"/>
      <c r="H113" s="309"/>
      <c r="I113" s="309"/>
      <c r="J113" s="309"/>
      <c r="K113" s="309"/>
      <c r="L113" s="309"/>
      <c r="M113" s="309"/>
      <c r="N113" s="309"/>
      <c r="O113" s="309"/>
      <c r="P113" s="309"/>
      <c r="Q113" s="309"/>
      <c r="R113" s="309"/>
      <c r="S113" s="309"/>
      <c r="T113" s="277"/>
      <c r="U113" s="309"/>
      <c r="V113" s="309"/>
      <c r="W113" s="277"/>
      <c r="X113" s="277"/>
      <c r="Y113" s="277"/>
      <c r="Z113" s="277"/>
      <c r="AA113" s="277"/>
      <c r="AB113" s="277"/>
      <c r="AC113" s="309"/>
    </row>
    <row r="114" spans="4:40" x14ac:dyDescent="0.25">
      <c r="D114" s="517" t="s">
        <v>480</v>
      </c>
      <c r="F114" s="794"/>
      <c r="G114" s="819"/>
      <c r="H114" s="819">
        <f>H10/H121</f>
        <v>0.11784269540900824</v>
      </c>
      <c r="I114" s="819">
        <f>I10/I121</f>
        <v>0.11798949979497039</v>
      </c>
      <c r="J114" s="819">
        <f>J10/J121</f>
        <v>0.11557617083128487</v>
      </c>
      <c r="K114" s="819">
        <f>K10/K121</f>
        <v>0.11769489871298738</v>
      </c>
      <c r="L114" s="819">
        <f>L10/L121</f>
        <v>0.12162864264434113</v>
      </c>
      <c r="M114" s="819">
        <f>M10/M121</f>
        <v>0.12929672515912594</v>
      </c>
      <c r="N114" s="819">
        <f>N10/N121</f>
        <v>0.13102202825485806</v>
      </c>
      <c r="O114" s="819">
        <f>O10/O121</f>
        <v>0.13305175527193708</v>
      </c>
      <c r="P114" s="819">
        <f>P10/P121</f>
        <v>0.13449158829300981</v>
      </c>
      <c r="Q114" s="819">
        <f>Q10/Q121</f>
        <v>0.15377510967444011</v>
      </c>
      <c r="R114" s="819">
        <f>R10/R121</f>
        <v>0.15188876770810855</v>
      </c>
      <c r="S114" s="817">
        <f>S10/S121</f>
        <v>0.14941502848112062</v>
      </c>
      <c r="T114" s="817">
        <f>T10/T121</f>
        <v>0.14577752318051879</v>
      </c>
      <c r="U114" s="817">
        <f>U10/U121</f>
        <v>0.12446834919321474</v>
      </c>
      <c r="V114" s="817">
        <f>V10/V121</f>
        <v>0.12219170632222978</v>
      </c>
      <c r="W114" s="817">
        <f>W10/W121</f>
        <v>0.12134111319265888</v>
      </c>
      <c r="X114" s="817">
        <f>X10/X121</f>
        <v>0.1208907628905298</v>
      </c>
      <c r="Y114" s="817">
        <f>Y10/Y121</f>
        <v>0.12253611957686264</v>
      </c>
      <c r="Z114" s="817">
        <f>Z10/Z121</f>
        <v>0.12263673629539379</v>
      </c>
      <c r="AA114" s="817">
        <f>AA10/AA121</f>
        <v>0.12343372904991996</v>
      </c>
      <c r="AB114" s="817">
        <f>AB10/AB121</f>
        <v>0.12393812764354681</v>
      </c>
      <c r="AC114" s="817">
        <f>AC10/AC121</f>
        <v>0.12534310620456671</v>
      </c>
      <c r="AD114" s="818">
        <f t="shared" ref="AD114" si="43">AC114+AD115</f>
        <v>0.12534310620456671</v>
      </c>
      <c r="AE114" s="818">
        <f t="shared" ref="AE114" si="44">AD114+AE115</f>
        <v>0.12534310620456671</v>
      </c>
      <c r="AF114" s="818">
        <f t="shared" ref="AF114" si="45">AE114+AF115</f>
        <v>0.12534310620456671</v>
      </c>
      <c r="AG114" s="818">
        <f>AF114+AG115</f>
        <v>0.12534310620456671</v>
      </c>
      <c r="AH114" s="818">
        <f t="shared" ref="AH114:AJ114" si="46">AG114+AH115</f>
        <v>0.12534310620456671</v>
      </c>
      <c r="AI114" s="818">
        <f t="shared" si="46"/>
        <v>0.12534310620456671</v>
      </c>
      <c r="AJ114" s="818">
        <f t="shared" si="46"/>
        <v>0.12534310620456671</v>
      </c>
      <c r="AK114" s="818">
        <f t="shared" ref="AK114" si="47">AJ114+AK115</f>
        <v>0.12534310620456671</v>
      </c>
      <c r="AL114" s="818">
        <f t="shared" ref="AL114" si="48">AK114+AL115</f>
        <v>0.12534310620456671</v>
      </c>
      <c r="AM114" s="818">
        <f t="shared" ref="AM114" si="49">AL114+AM115</f>
        <v>0.12534310620456671</v>
      </c>
      <c r="AN114" s="818">
        <f t="shared" ref="AN114" si="50">AM114+AN115</f>
        <v>0.12534310620456671</v>
      </c>
    </row>
    <row r="115" spans="4:40" x14ac:dyDescent="0.25">
      <c r="D115" s="517" t="s">
        <v>887</v>
      </c>
      <c r="F115" s="794"/>
      <c r="G115" s="819"/>
      <c r="H115" s="819"/>
      <c r="I115" s="819"/>
      <c r="J115" s="819"/>
      <c r="K115" s="819"/>
      <c r="L115" s="819"/>
      <c r="M115" s="819"/>
      <c r="N115" s="819"/>
      <c r="O115" s="819"/>
      <c r="P115" s="819"/>
      <c r="Q115" s="819"/>
      <c r="R115" s="819"/>
      <c r="S115" s="817"/>
      <c r="T115" s="817"/>
      <c r="U115" s="817"/>
      <c r="V115" s="817"/>
      <c r="W115" s="819"/>
      <c r="X115" s="819"/>
      <c r="Y115" s="818"/>
      <c r="Z115" s="818"/>
      <c r="AA115" s="818"/>
      <c r="AB115" s="818"/>
      <c r="AC115" s="818"/>
      <c r="AD115" s="818"/>
      <c r="AE115" s="818"/>
      <c r="AF115" s="818"/>
      <c r="AG115" s="818"/>
      <c r="AH115" s="818"/>
      <c r="AI115" s="818"/>
      <c r="AJ115" s="818"/>
      <c r="AK115" s="818"/>
      <c r="AL115" s="818"/>
      <c r="AM115" s="818"/>
      <c r="AN115" s="818"/>
    </row>
    <row r="116" spans="4:40" x14ac:dyDescent="0.25">
      <c r="D116" s="517" t="s">
        <v>481</v>
      </c>
      <c r="F116" s="794"/>
      <c r="G116" s="819"/>
      <c r="H116" s="819">
        <f>H12/H126</f>
        <v>0.15051429053199564</v>
      </c>
      <c r="I116" s="819">
        <f>I12/I126</f>
        <v>0.15080163959943962</v>
      </c>
      <c r="J116" s="819">
        <f>J12/J126</f>
        <v>0.15365395933505827</v>
      </c>
      <c r="K116" s="819">
        <f>K12/K126</f>
        <v>0.15177190789891759</v>
      </c>
      <c r="L116" s="819">
        <f>L12/L126</f>
        <v>0.14987512105611908</v>
      </c>
      <c r="M116" s="819">
        <f>M12/M126</f>
        <v>0.15037715626200734</v>
      </c>
      <c r="N116" s="819">
        <f>N12/N126</f>
        <v>0.14952123741713724</v>
      </c>
      <c r="O116" s="819">
        <f>O12/O126</f>
        <v>0.14900409068318232</v>
      </c>
      <c r="P116" s="819">
        <f>P12/P126</f>
        <v>0.14885815076123282</v>
      </c>
      <c r="Q116" s="819">
        <f>Q12/Q126</f>
        <v>0.15059075868264021</v>
      </c>
      <c r="R116" s="819">
        <f>R12/R126</f>
        <v>0.15126805836791402</v>
      </c>
      <c r="S116" s="817">
        <f>S12/S126</f>
        <v>0.1516602781441711</v>
      </c>
      <c r="T116" s="817">
        <f>T12/T126</f>
        <v>0.15250681030758786</v>
      </c>
      <c r="U116" s="817">
        <f>U12/U126</f>
        <v>0.15315714869600761</v>
      </c>
      <c r="V116" s="817">
        <f>V12/V126</f>
        <v>0.15350245274604646</v>
      </c>
      <c r="W116" s="817">
        <f>W12/W126</f>
        <v>0.15350192088487355</v>
      </c>
      <c r="X116" s="817">
        <f>X12/X126</f>
        <v>0.15333099520684071</v>
      </c>
      <c r="Y116" s="817">
        <f>Y12/Y126</f>
        <v>0.15191472369139494</v>
      </c>
      <c r="Z116" s="817">
        <f>Z12/Z126</f>
        <v>0.15120313826990739</v>
      </c>
      <c r="AA116" s="817">
        <f>AA12/AA126</f>
        <v>0.15101689322419939</v>
      </c>
      <c r="AB116" s="817">
        <f>AB12/AB126</f>
        <v>0.15077617658514098</v>
      </c>
      <c r="AC116" s="817">
        <f>AC12/AC126</f>
        <v>0.15136367208991588</v>
      </c>
      <c r="AD116" s="818">
        <f t="shared" ref="AD116:AD117" si="51">AC116</f>
        <v>0.15136367208991588</v>
      </c>
      <c r="AE116" s="818">
        <f t="shared" ref="AE116:AE117" si="52">AD116</f>
        <v>0.15136367208991588</v>
      </c>
      <c r="AF116" s="818">
        <f t="shared" ref="AF116:AF117" si="53">AE116</f>
        <v>0.15136367208991588</v>
      </c>
      <c r="AG116" s="818">
        <f t="shared" ref="AG116:AG117" si="54">AF116</f>
        <v>0.15136367208991588</v>
      </c>
      <c r="AH116" s="818">
        <f t="shared" ref="AH116:AH117" si="55">AG116</f>
        <v>0.15136367208991588</v>
      </c>
      <c r="AI116" s="818">
        <f t="shared" ref="AI116:AI117" si="56">AH116</f>
        <v>0.15136367208991588</v>
      </c>
      <c r="AJ116" s="818">
        <f>AI116</f>
        <v>0.15136367208991588</v>
      </c>
      <c r="AK116" s="818">
        <f t="shared" ref="AK116:AN117" si="57">AJ116</f>
        <v>0.15136367208991588</v>
      </c>
      <c r="AL116" s="818">
        <f t="shared" si="57"/>
        <v>0.15136367208991588</v>
      </c>
      <c r="AM116" s="818">
        <f t="shared" si="57"/>
        <v>0.15136367208991588</v>
      </c>
      <c r="AN116" s="818">
        <f t="shared" si="57"/>
        <v>0.15136367208991588</v>
      </c>
    </row>
    <row r="117" spans="4:40" x14ac:dyDescent="0.25">
      <c r="D117" s="517" t="s">
        <v>482</v>
      </c>
      <c r="F117" s="794"/>
      <c r="G117" s="819"/>
      <c r="H117" s="819">
        <f>H14/H127</f>
        <v>1.2162437929392559E-2</v>
      </c>
      <c r="I117" s="819">
        <f>I14/I127</f>
        <v>1.2699879968543479E-2</v>
      </c>
      <c r="J117" s="819">
        <f>J14/J127</f>
        <v>9.8135948268010566E-3</v>
      </c>
      <c r="K117" s="819">
        <f>K14/K127</f>
        <v>1.0312197817378091E-2</v>
      </c>
      <c r="L117" s="819">
        <f>L14/L127</f>
        <v>1.0757352891335144E-2</v>
      </c>
      <c r="M117" s="819">
        <f>M14/M127</f>
        <v>1.0629513611282226E-2</v>
      </c>
      <c r="N117" s="819">
        <f>N14/N127</f>
        <v>1.1269768922909786E-2</v>
      </c>
      <c r="O117" s="819">
        <f>O14/O127</f>
        <v>1.1232041261557454E-2</v>
      </c>
      <c r="P117" s="819">
        <f>P14/P127</f>
        <v>1.1643603451454263E-2</v>
      </c>
      <c r="Q117" s="819">
        <f>Q14/Q127</f>
        <v>1.2058153955435486E-2</v>
      </c>
      <c r="R117" s="819">
        <f>R14/R127</f>
        <v>1.1872436632999694E-2</v>
      </c>
      <c r="S117" s="817">
        <f>S14/S127</f>
        <v>1.1204842192412258E-2</v>
      </c>
      <c r="T117" s="817">
        <f>T14/T127</f>
        <v>1.0492426125036586E-2</v>
      </c>
      <c r="U117" s="817">
        <f>U14/U127</f>
        <v>9.7102592644627197E-3</v>
      </c>
      <c r="V117" s="817">
        <f>V14/V127</f>
        <v>9.4082640735963872E-3</v>
      </c>
      <c r="W117" s="817">
        <f>W14/W127</f>
        <v>9.097152517301494E-3</v>
      </c>
      <c r="X117" s="817">
        <f>X14/X127</f>
        <v>8.8314154260258106E-3</v>
      </c>
      <c r="Y117" s="817">
        <f>Y14/Y127</f>
        <v>9.1223590461677849E-3</v>
      </c>
      <c r="Z117" s="817">
        <f>Z14/Z127</f>
        <v>8.7589609149151277E-3</v>
      </c>
      <c r="AA117" s="817">
        <f>AA14/AA127</f>
        <v>9.0980219074750235E-3</v>
      </c>
      <c r="AB117" s="817">
        <f>AB14/AB127</f>
        <v>9.0098985460739054E-3</v>
      </c>
      <c r="AC117" s="817">
        <f>AC14/AC127</f>
        <v>9.3197507587826356E-3</v>
      </c>
      <c r="AD117" s="818">
        <f t="shared" si="51"/>
        <v>9.3197507587826356E-3</v>
      </c>
      <c r="AE117" s="818">
        <f t="shared" si="52"/>
        <v>9.3197507587826356E-3</v>
      </c>
      <c r="AF117" s="818">
        <f t="shared" si="53"/>
        <v>9.3197507587826356E-3</v>
      </c>
      <c r="AG117" s="818">
        <f t="shared" si="54"/>
        <v>9.3197507587826356E-3</v>
      </c>
      <c r="AH117" s="818">
        <f t="shared" si="55"/>
        <v>9.3197507587826356E-3</v>
      </c>
      <c r="AI117" s="818">
        <f t="shared" si="56"/>
        <v>9.3197507587826356E-3</v>
      </c>
      <c r="AJ117" s="818">
        <f t="shared" ref="AJ117" si="58">AI117</f>
        <v>9.3197507587826356E-3</v>
      </c>
      <c r="AK117" s="818">
        <f t="shared" si="57"/>
        <v>9.3197507587826356E-3</v>
      </c>
      <c r="AL117" s="818">
        <f t="shared" si="57"/>
        <v>9.3197507587826356E-3</v>
      </c>
      <c r="AM117" s="818">
        <f t="shared" si="57"/>
        <v>9.3197507587826356E-3</v>
      </c>
      <c r="AN117" s="818">
        <f t="shared" si="57"/>
        <v>9.3197507587826356E-3</v>
      </c>
    </row>
    <row r="118" spans="4:40" x14ac:dyDescent="0.25">
      <c r="D118" s="420" t="s">
        <v>483</v>
      </c>
      <c r="F118" s="794"/>
      <c r="G118" s="819"/>
      <c r="H118" s="819">
        <f>H16/H128</f>
        <v>0.11576477635782748</v>
      </c>
      <c r="I118" s="819">
        <f>I16/I128</f>
        <v>0.10926623302521968</v>
      </c>
      <c r="J118" s="819">
        <f>J16/J128</f>
        <v>0.11837969278216001</v>
      </c>
      <c r="K118" s="819">
        <f>K16/K128</f>
        <v>0.11127845432247516</v>
      </c>
      <c r="L118" s="819">
        <f>L16/L128</f>
        <v>0.11953366642874137</v>
      </c>
      <c r="M118" s="819">
        <f>M16/M128</f>
        <v>0.11887481034977652</v>
      </c>
      <c r="N118" s="819">
        <f>N16/N128</f>
        <v>0.12443013242636948</v>
      </c>
      <c r="O118" s="819">
        <f>O16/O128</f>
        <v>0.12539127902744412</v>
      </c>
      <c r="P118" s="819">
        <f>P16/P128</f>
        <v>0.13006032415146448</v>
      </c>
      <c r="Q118" s="819">
        <f>Q16/Q128</f>
        <v>0.13860590791251326</v>
      </c>
      <c r="R118" s="817">
        <f>R16/R128</f>
        <v>0.14498244638325977</v>
      </c>
      <c r="S118" s="817">
        <f>S16/S128</f>
        <v>0.13630663910258584</v>
      </c>
      <c r="T118" s="817">
        <f>T16/T128</f>
        <v>0.13929684023141967</v>
      </c>
      <c r="U118" s="817">
        <f>U16/U128</f>
        <v>0.1476608187134503</v>
      </c>
      <c r="V118" s="817">
        <f>V16/V128</f>
        <v>0.14539175187919007</v>
      </c>
      <c r="W118" s="817">
        <f>W16/W128</f>
        <v>0.1467350715978829</v>
      </c>
      <c r="X118" s="817">
        <f>X16/X128</f>
        <v>0.14285714285714288</v>
      </c>
      <c r="Y118" s="817">
        <f>Y16/Y128</f>
        <v>0.14434122151779549</v>
      </c>
      <c r="Z118" s="817">
        <f>Z16/Z128</f>
        <v>0.14783963564451369</v>
      </c>
      <c r="AA118" s="817">
        <f>AA16/AA128</f>
        <v>0.14652482690993374</v>
      </c>
      <c r="AB118" s="817">
        <f>AB16/AB128</f>
        <v>0.14682607947703424</v>
      </c>
      <c r="AC118" s="817" t="e">
        <f>AC16/AC128</f>
        <v>#DIV/0!</v>
      </c>
      <c r="AD118" s="818" t="e">
        <f t="shared" ref="AD118" si="59">AC118+AD119</f>
        <v>#DIV/0!</v>
      </c>
      <c r="AE118" s="818" t="e">
        <f t="shared" ref="AE118" si="60">AD118+AE119</f>
        <v>#DIV/0!</v>
      </c>
      <c r="AF118" s="818" t="e">
        <f t="shared" ref="AF118" si="61">AE118+AF119</f>
        <v>#DIV/0!</v>
      </c>
      <c r="AG118" s="818" t="e">
        <f t="shared" ref="AG118" si="62">AF118+AG119</f>
        <v>#DIV/0!</v>
      </c>
      <c r="AH118" s="818" t="e">
        <f t="shared" ref="AH118" si="63">AG118+AH119</f>
        <v>#DIV/0!</v>
      </c>
      <c r="AI118" s="818" t="e">
        <f t="shared" ref="AI118" si="64">AH118+AI119</f>
        <v>#DIV/0!</v>
      </c>
      <c r="AJ118" s="818" t="e">
        <f t="shared" ref="AJ118" si="65">AI118+AJ119</f>
        <v>#DIV/0!</v>
      </c>
      <c r="AK118" s="818" t="e">
        <f t="shared" ref="AK118" si="66">AJ118+AK119</f>
        <v>#DIV/0!</v>
      </c>
      <c r="AL118" s="818" t="e">
        <f t="shared" ref="AL118" si="67">AK118+AL119</f>
        <v>#DIV/0!</v>
      </c>
      <c r="AM118" s="818" t="e">
        <f t="shared" ref="AM118" si="68">AL118+AM119</f>
        <v>#DIV/0!</v>
      </c>
      <c r="AN118" s="818" t="e">
        <f t="shared" ref="AN118" si="69">AM118+AN119</f>
        <v>#DIV/0!</v>
      </c>
    </row>
    <row r="119" spans="4:40" x14ac:dyDescent="0.25">
      <c r="D119" s="420" t="s">
        <v>1743</v>
      </c>
      <c r="F119" s="794"/>
      <c r="G119" s="819"/>
      <c r="H119" s="819"/>
      <c r="I119" s="819"/>
      <c r="J119" s="819"/>
      <c r="K119" s="819"/>
      <c r="L119" s="819"/>
      <c r="M119" s="819"/>
      <c r="N119" s="819"/>
      <c r="O119" s="819"/>
      <c r="P119" s="819"/>
      <c r="Q119" s="819"/>
      <c r="R119" s="819"/>
      <c r="S119" s="819"/>
      <c r="T119" s="819"/>
      <c r="U119" s="819">
        <v>-1.2E-2</v>
      </c>
      <c r="V119" s="819"/>
      <c r="W119" s="819"/>
      <c r="X119" s="819"/>
      <c r="Y119" s="818"/>
      <c r="Z119" s="818"/>
      <c r="AA119" s="818"/>
      <c r="AB119" s="818"/>
      <c r="AC119" s="818"/>
      <c r="AD119" s="818"/>
      <c r="AE119" s="818"/>
      <c r="AF119" s="818"/>
      <c r="AG119" s="818"/>
      <c r="AH119" s="818"/>
      <c r="AI119" s="818"/>
      <c r="AJ119" s="818"/>
      <c r="AK119" s="818"/>
      <c r="AL119" s="818"/>
      <c r="AM119" s="818"/>
      <c r="AN119" s="818"/>
    </row>
    <row r="120" spans="4:40" x14ac:dyDescent="0.25">
      <c r="D120" s="278" t="s">
        <v>508</v>
      </c>
      <c r="F120" s="265"/>
      <c r="G120" s="222"/>
      <c r="H120" s="222"/>
      <c r="I120" s="222"/>
      <c r="J120" s="222"/>
      <c r="K120" s="222"/>
      <c r="L120" s="222"/>
      <c r="M120" s="222"/>
      <c r="N120" s="222"/>
      <c r="O120" s="222"/>
      <c r="P120" s="222"/>
      <c r="Q120" s="222"/>
      <c r="R120" s="222"/>
      <c r="S120" s="222"/>
      <c r="T120" s="222"/>
      <c r="U120" s="222"/>
      <c r="V120" s="222"/>
      <c r="W120" s="222"/>
      <c r="X120" s="222"/>
      <c r="Y120" s="222"/>
      <c r="Z120" s="222"/>
      <c r="AA120" s="222"/>
      <c r="AB120" s="222"/>
      <c r="AC120" s="222"/>
    </row>
    <row r="121" spans="4:40" ht="14.85" customHeight="1" x14ac:dyDescent="0.25">
      <c r="D121" s="663" t="s">
        <v>509</v>
      </c>
      <c r="F121" s="787">
        <f>SUM(F122:F125)</f>
        <v>14464.9</v>
      </c>
      <c r="G121" s="430">
        <f t="shared" ref="G121:O121" si="70">SUM(G122:G125)</f>
        <v>14564.8</v>
      </c>
      <c r="H121" s="430">
        <f t="shared" si="70"/>
        <v>14733.199999999999</v>
      </c>
      <c r="I121" s="430">
        <f t="shared" si="70"/>
        <v>14875.9</v>
      </c>
      <c r="J121" s="430">
        <f t="shared" si="70"/>
        <v>14034.9</v>
      </c>
      <c r="K121" s="430">
        <f t="shared" si="70"/>
        <v>14755.099999999999</v>
      </c>
      <c r="L121" s="430">
        <f t="shared" si="70"/>
        <v>15205.3</v>
      </c>
      <c r="M121" s="430">
        <f t="shared" si="70"/>
        <v>15380.9</v>
      </c>
      <c r="N121" s="430">
        <f t="shared" si="70"/>
        <v>15947.7</v>
      </c>
      <c r="O121" s="430">
        <f t="shared" si="70"/>
        <v>16336.5</v>
      </c>
      <c r="P121" s="430">
        <f t="shared" ref="P121:T121" si="71">SUM(P122:P125)</f>
        <v>16714.8</v>
      </c>
      <c r="Q121" s="430">
        <f t="shared" si="71"/>
        <v>16890.899999999998</v>
      </c>
      <c r="R121" s="430">
        <f t="shared" si="71"/>
        <v>17146.100000000002</v>
      </c>
      <c r="S121" s="343">
        <f t="shared" si="71"/>
        <v>17590.599999999999</v>
      </c>
      <c r="T121" s="343">
        <f t="shared" si="71"/>
        <v>17805.900000000001</v>
      </c>
      <c r="U121" s="343">
        <f t="shared" ref="U121:W121" si="72">SUM(U122:U125)</f>
        <v>18127.5</v>
      </c>
      <c r="V121" s="343">
        <f t="shared" si="72"/>
        <v>18387.5</v>
      </c>
      <c r="W121" s="343">
        <f t="shared" si="72"/>
        <v>18629.3</v>
      </c>
      <c r="X121" s="343">
        <f t="shared" ref="X121:Y121" si="73">SUM(X122:X125)</f>
        <v>18878.2</v>
      </c>
      <c r="Y121" s="343">
        <f t="shared" si="73"/>
        <v>19227.800000000003</v>
      </c>
      <c r="Z121" s="343">
        <f t="shared" ref="Z121" si="74">SUM(Z122:Z125)</f>
        <v>19369.399999999998</v>
      </c>
      <c r="AA121" s="343">
        <f>SUM(AA122:AA125)</f>
        <v>19433.100000000002</v>
      </c>
      <c r="AB121" s="343">
        <f>SUM(AB122:AB125)</f>
        <v>19646.900000000001</v>
      </c>
      <c r="AC121" s="343">
        <f>SUM(AC122:AC125)</f>
        <v>19891.8</v>
      </c>
      <c r="AD121" s="318"/>
      <c r="AE121" s="318"/>
      <c r="AF121" s="318"/>
      <c r="AG121" s="318"/>
      <c r="AH121" s="318"/>
      <c r="AI121" s="318"/>
      <c r="AJ121" s="318"/>
      <c r="AK121" s="318"/>
      <c r="AL121" s="318"/>
      <c r="AM121" s="318"/>
      <c r="AN121" s="318"/>
    </row>
    <row r="122" spans="4:40" x14ac:dyDescent="0.25">
      <c r="D122" s="874" t="s">
        <v>783</v>
      </c>
      <c r="E122" s="238" t="s">
        <v>779</v>
      </c>
      <c r="F122" s="787">
        <f>'Haver Pivoted'!GQ81</f>
        <v>9285</v>
      </c>
      <c r="G122" s="430">
        <f>'Haver Pivoted'!GR81</f>
        <v>9341</v>
      </c>
      <c r="H122" s="430">
        <f>'Haver Pivoted'!GS81</f>
        <v>9488.7999999999993</v>
      </c>
      <c r="I122" s="430">
        <f>'Haver Pivoted'!GT81</f>
        <v>9636.5</v>
      </c>
      <c r="J122" s="430">
        <f>'Haver Pivoted'!GU81</f>
        <v>9005.2999999999993</v>
      </c>
      <c r="K122" s="430">
        <f>'Haver Pivoted'!GV81</f>
        <v>9441.7999999999993</v>
      </c>
      <c r="L122" s="430">
        <f>'Haver Pivoted'!GW81</f>
        <v>9809.5</v>
      </c>
      <c r="M122" s="430">
        <f>'Haver Pivoted'!GX81</f>
        <v>9889.7999999999993</v>
      </c>
      <c r="N122" s="430">
        <f>'Haver Pivoted'!GY81</f>
        <v>10182.5</v>
      </c>
      <c r="O122" s="430">
        <f>'Haver Pivoted'!GZ81</f>
        <v>10462.799999999999</v>
      </c>
      <c r="P122" s="430">
        <f>'Haver Pivoted'!HA81</f>
        <v>10772</v>
      </c>
      <c r="Q122" s="430">
        <f>'Haver Pivoted'!HB81</f>
        <v>10909.7</v>
      </c>
      <c r="R122" s="430">
        <f>'Haver Pivoted'!HC81</f>
        <v>11012.9</v>
      </c>
      <c r="S122" s="343">
        <f>'Haver Pivoted'!HD81</f>
        <v>11296.3</v>
      </c>
      <c r="T122" s="343">
        <f>'Haver Pivoted'!HE81</f>
        <v>11343.1</v>
      </c>
      <c r="U122" s="343">
        <f>'Haver Pivoted'!HF81</f>
        <v>11499.3</v>
      </c>
      <c r="V122" s="343">
        <f>'Haver Pivoted'!HG81</f>
        <v>11660.4</v>
      </c>
      <c r="W122" s="343">
        <f>'Haver Pivoted'!HH81</f>
        <v>11843.5</v>
      </c>
      <c r="X122" s="343">
        <f>'Haver Pivoted'!HI81</f>
        <v>11975.4</v>
      </c>
      <c r="Y122" s="343">
        <f>'Haver Pivoted'!HJ81</f>
        <v>12270.7</v>
      </c>
      <c r="Z122" s="343">
        <f>'Haver Pivoted'!HK81</f>
        <v>12363.5</v>
      </c>
      <c r="AA122" s="343">
        <f>'Haver Pivoted'!HL81</f>
        <v>12425.1</v>
      </c>
      <c r="AB122" s="343">
        <f>'Haver Pivoted'!HM81</f>
        <v>12580.9</v>
      </c>
      <c r="AC122" s="343">
        <f>'Haver Pivoted'!HN81</f>
        <v>12723</v>
      </c>
      <c r="AD122" s="318"/>
      <c r="AE122" s="318"/>
      <c r="AF122" s="318"/>
      <c r="AG122" s="318"/>
      <c r="AH122" s="318"/>
      <c r="AI122" s="318"/>
      <c r="AJ122" s="318"/>
      <c r="AK122" s="318"/>
      <c r="AL122" s="318"/>
      <c r="AM122" s="318"/>
      <c r="AN122" s="318"/>
    </row>
    <row r="123" spans="4:40" x14ac:dyDescent="0.25">
      <c r="D123" s="874" t="s">
        <v>510</v>
      </c>
      <c r="E123" s="238" t="s">
        <v>780</v>
      </c>
      <c r="F123" s="787">
        <f>'Haver Pivoted'!GQ82</f>
        <v>1535.6</v>
      </c>
      <c r="G123" s="430">
        <f>'Haver Pivoted'!GR82</f>
        <v>1570.9</v>
      </c>
      <c r="H123" s="430">
        <f>'Haver Pivoted'!GS82</f>
        <v>1582.7</v>
      </c>
      <c r="I123" s="430">
        <f>'Haver Pivoted'!GT82</f>
        <v>1577.7</v>
      </c>
      <c r="J123" s="430">
        <f>'Haver Pivoted'!GU82</f>
        <v>1424.4</v>
      </c>
      <c r="K123" s="430">
        <f>'Haver Pivoted'!GV82</f>
        <v>1705.8</v>
      </c>
      <c r="L123" s="430">
        <f>'Haver Pivoted'!GW82</f>
        <v>1668.1</v>
      </c>
      <c r="M123" s="430">
        <f>'Haver Pivoted'!GX82</f>
        <v>1697.5</v>
      </c>
      <c r="N123" s="430">
        <f>'Haver Pivoted'!GY82</f>
        <v>1845.5</v>
      </c>
      <c r="O123" s="430">
        <f>'Haver Pivoted'!GZ82</f>
        <v>1867.1</v>
      </c>
      <c r="P123" s="430">
        <f>'Haver Pivoted'!HA82</f>
        <v>1850.8</v>
      </c>
      <c r="Q123" s="430">
        <f>'Haver Pivoted'!HB82</f>
        <v>1833.3</v>
      </c>
      <c r="R123" s="430">
        <f>'Haver Pivoted'!HC82</f>
        <v>1850.1</v>
      </c>
      <c r="S123" s="343">
        <f>'Haver Pivoted'!HD82</f>
        <v>1895.3</v>
      </c>
      <c r="T123" s="343">
        <f>'Haver Pivoted'!HE82</f>
        <v>1915.5</v>
      </c>
      <c r="U123" s="343">
        <f>'Haver Pivoted'!HF82</f>
        <v>1934.7</v>
      </c>
      <c r="V123" s="343">
        <f>'Haver Pivoted'!HG82</f>
        <v>1936.6</v>
      </c>
      <c r="W123" s="343">
        <f>'Haver Pivoted'!HH82</f>
        <v>1954.6</v>
      </c>
      <c r="X123" s="343">
        <f>'Haver Pivoted'!HI82</f>
        <v>1970.1</v>
      </c>
      <c r="Y123" s="343">
        <f>'Haver Pivoted'!HJ82</f>
        <v>1972.1</v>
      </c>
      <c r="Z123" s="343">
        <f>'Haver Pivoted'!HK82</f>
        <v>2002.3</v>
      </c>
      <c r="AA123" s="343">
        <f>'Haver Pivoted'!HL82</f>
        <v>2013.5</v>
      </c>
      <c r="AB123" s="343">
        <f>'Haver Pivoted'!HM82</f>
        <v>2035.5</v>
      </c>
      <c r="AC123" s="343">
        <f>'Haver Pivoted'!HN82</f>
        <v>2060.5</v>
      </c>
      <c r="AD123" s="318"/>
      <c r="AE123" s="318"/>
      <c r="AF123" s="318"/>
      <c r="AG123" s="318"/>
      <c r="AH123" s="318"/>
      <c r="AI123" s="318"/>
      <c r="AJ123" s="318"/>
      <c r="AK123" s="318"/>
      <c r="AL123" s="318"/>
      <c r="AM123" s="318"/>
      <c r="AN123" s="318"/>
    </row>
    <row r="124" spans="4:40" x14ac:dyDescent="0.25">
      <c r="D124" s="874" t="s">
        <v>511</v>
      </c>
      <c r="E124" s="238" t="s">
        <v>786</v>
      </c>
      <c r="F124" s="787">
        <f>'Haver Pivoted'!GQ83</f>
        <v>682.8</v>
      </c>
      <c r="G124" s="430">
        <f>'Haver Pivoted'!GR83</f>
        <v>690.2</v>
      </c>
      <c r="H124" s="430">
        <f>'Haver Pivoted'!GS83</f>
        <v>706.3</v>
      </c>
      <c r="I124" s="430">
        <f>'Haver Pivoted'!GT83</f>
        <v>729.3</v>
      </c>
      <c r="J124" s="430">
        <f>'Haver Pivoted'!GU83</f>
        <v>731.2</v>
      </c>
      <c r="K124" s="430">
        <f>'Haver Pivoted'!GV83</f>
        <v>744.6</v>
      </c>
      <c r="L124" s="430">
        <f>'Haver Pivoted'!GW83</f>
        <v>747.4</v>
      </c>
      <c r="M124" s="430">
        <f>'Haver Pivoted'!GX83</f>
        <v>745.6</v>
      </c>
      <c r="N124" s="430">
        <f>'Haver Pivoted'!GY83</f>
        <v>761.6</v>
      </c>
      <c r="O124" s="430">
        <f>'Haver Pivoted'!GZ83</f>
        <v>781.2</v>
      </c>
      <c r="P124" s="430">
        <f>'Haver Pivoted'!HA83</f>
        <v>800.7</v>
      </c>
      <c r="Q124" s="430">
        <f>'Haver Pivoted'!HB83</f>
        <v>814.3</v>
      </c>
      <c r="R124" s="430">
        <f>'Haver Pivoted'!HC83</f>
        <v>858.2</v>
      </c>
      <c r="S124" s="343">
        <f>'Haver Pivoted'!HD83</f>
        <v>889.5</v>
      </c>
      <c r="T124" s="343">
        <f>'Haver Pivoted'!HE83</f>
        <v>919.1</v>
      </c>
      <c r="U124" s="343">
        <f>'Haver Pivoted'!HF83</f>
        <v>963.6</v>
      </c>
      <c r="V124" s="343">
        <f>'Haver Pivoted'!HG83</f>
        <v>984.1</v>
      </c>
      <c r="W124" s="343">
        <f>'Haver Pivoted'!HH83</f>
        <v>995</v>
      </c>
      <c r="X124" s="343">
        <f>'Haver Pivoted'!HI83</f>
        <v>1013.6</v>
      </c>
      <c r="Y124" s="343">
        <f>'Haver Pivoted'!HJ83</f>
        <v>1046.0999999999999</v>
      </c>
      <c r="Z124" s="343">
        <f>'Haver Pivoted'!HK83</f>
        <v>1053.4000000000001</v>
      </c>
      <c r="AA124" s="343">
        <f>'Haver Pivoted'!HL83</f>
        <v>1055.7</v>
      </c>
      <c r="AB124" s="343">
        <f>'Haver Pivoted'!HM83</f>
        <v>1072.2</v>
      </c>
      <c r="AC124" s="343">
        <f>'Haver Pivoted'!HN83</f>
        <v>1093.0999999999999</v>
      </c>
      <c r="AD124" s="318"/>
      <c r="AE124" s="318"/>
      <c r="AF124" s="318"/>
      <c r="AG124" s="318"/>
      <c r="AH124" s="318"/>
      <c r="AI124" s="318"/>
      <c r="AJ124" s="318"/>
      <c r="AK124" s="318"/>
      <c r="AL124" s="318"/>
      <c r="AM124" s="318"/>
      <c r="AN124" s="318"/>
    </row>
    <row r="125" spans="4:40" x14ac:dyDescent="0.25">
      <c r="D125" s="874" t="s">
        <v>512</v>
      </c>
      <c r="E125" s="238" t="s">
        <v>782</v>
      </c>
      <c r="F125" s="787">
        <f>'Haver Pivoted'!GQ84</f>
        <v>2961.5</v>
      </c>
      <c r="G125" s="430">
        <f>'Haver Pivoted'!GR84</f>
        <v>2962.7</v>
      </c>
      <c r="H125" s="430">
        <f>'Haver Pivoted'!GS84</f>
        <v>2955.4</v>
      </c>
      <c r="I125" s="430">
        <f>'Haver Pivoted'!GT84</f>
        <v>2932.4</v>
      </c>
      <c r="J125" s="430">
        <f>'Haver Pivoted'!GU84</f>
        <v>2874</v>
      </c>
      <c r="K125" s="430">
        <f>'Haver Pivoted'!GV84</f>
        <v>2862.9</v>
      </c>
      <c r="L125" s="430">
        <f>'Haver Pivoted'!GW84</f>
        <v>2980.3</v>
      </c>
      <c r="M125" s="430">
        <f>'Haver Pivoted'!GX84</f>
        <v>3048</v>
      </c>
      <c r="N125" s="430">
        <f>'Haver Pivoted'!GY84</f>
        <v>3158.1</v>
      </c>
      <c r="O125" s="430">
        <f>'Haver Pivoted'!GZ84</f>
        <v>3225.4</v>
      </c>
      <c r="P125" s="430">
        <f>'Haver Pivoted'!HA84</f>
        <v>3291.3</v>
      </c>
      <c r="Q125" s="430">
        <f>'Haver Pivoted'!HB84</f>
        <v>3333.6</v>
      </c>
      <c r="R125" s="430">
        <f>'Haver Pivoted'!HC84</f>
        <v>3424.9</v>
      </c>
      <c r="S125" s="343">
        <f>'Haver Pivoted'!HD84</f>
        <v>3509.5</v>
      </c>
      <c r="T125" s="343">
        <f>'Haver Pivoted'!HE84</f>
        <v>3628.2</v>
      </c>
      <c r="U125" s="343">
        <f>'Haver Pivoted'!HF84</f>
        <v>3729.9</v>
      </c>
      <c r="V125" s="343">
        <f>'Haver Pivoted'!HG84</f>
        <v>3806.4</v>
      </c>
      <c r="W125" s="343">
        <f>'Haver Pivoted'!HH84</f>
        <v>3836.2</v>
      </c>
      <c r="X125" s="343">
        <f>'Haver Pivoted'!HI84</f>
        <v>3919.1</v>
      </c>
      <c r="Y125" s="343">
        <f>'Haver Pivoted'!HJ84</f>
        <v>3938.9</v>
      </c>
      <c r="Z125" s="343">
        <f>'Haver Pivoted'!HK84</f>
        <v>3950.2</v>
      </c>
      <c r="AA125" s="343">
        <f>'Haver Pivoted'!HL84</f>
        <v>3938.8</v>
      </c>
      <c r="AB125" s="343">
        <f>'Haver Pivoted'!HM84</f>
        <v>3958.3</v>
      </c>
      <c r="AC125" s="343">
        <f>'Haver Pivoted'!HN84</f>
        <v>4015.2</v>
      </c>
      <c r="AD125" s="318"/>
      <c r="AE125" s="318"/>
      <c r="AF125" s="318"/>
      <c r="AG125" s="318"/>
      <c r="AH125" s="318"/>
      <c r="AI125" s="318"/>
      <c r="AJ125" s="318"/>
      <c r="AK125" s="318"/>
      <c r="AL125" s="318"/>
      <c r="AM125" s="318"/>
      <c r="AN125" s="318"/>
    </row>
    <row r="126" spans="4:40" x14ac:dyDescent="0.25">
      <c r="D126" s="663" t="s">
        <v>499</v>
      </c>
      <c r="F126" s="787">
        <f>F122</f>
        <v>9285</v>
      </c>
      <c r="G126" s="430">
        <f t="shared" ref="G126:O126" si="75">G122</f>
        <v>9341</v>
      </c>
      <c r="H126" s="430">
        <f t="shared" si="75"/>
        <v>9488.7999999999993</v>
      </c>
      <c r="I126" s="430">
        <f t="shared" si="75"/>
        <v>9636.5</v>
      </c>
      <c r="J126" s="430">
        <f t="shared" si="75"/>
        <v>9005.2999999999993</v>
      </c>
      <c r="K126" s="430">
        <f t="shared" si="75"/>
        <v>9441.7999999999993</v>
      </c>
      <c r="L126" s="430">
        <f t="shared" si="75"/>
        <v>9809.5</v>
      </c>
      <c r="M126" s="430">
        <f t="shared" si="75"/>
        <v>9889.7999999999993</v>
      </c>
      <c r="N126" s="430">
        <f t="shared" si="75"/>
        <v>10182.5</v>
      </c>
      <c r="O126" s="430">
        <f t="shared" si="75"/>
        <v>10462.799999999999</v>
      </c>
      <c r="P126" s="430">
        <f t="shared" ref="P126:T126" si="76">P122</f>
        <v>10772</v>
      </c>
      <c r="Q126" s="430">
        <f t="shared" si="76"/>
        <v>10909.7</v>
      </c>
      <c r="R126" s="430">
        <f t="shared" si="76"/>
        <v>11012.9</v>
      </c>
      <c r="S126" s="343">
        <f t="shared" si="76"/>
        <v>11296.3</v>
      </c>
      <c r="T126" s="343">
        <f t="shared" si="76"/>
        <v>11343.1</v>
      </c>
      <c r="U126" s="343">
        <f t="shared" ref="U126:W126" si="77">U122</f>
        <v>11499.3</v>
      </c>
      <c r="V126" s="343">
        <f t="shared" si="77"/>
        <v>11660.4</v>
      </c>
      <c r="W126" s="343">
        <f t="shared" si="77"/>
        <v>11843.5</v>
      </c>
      <c r="X126" s="343">
        <f t="shared" ref="X126:Y126" si="78">X122</f>
        <v>11975.4</v>
      </c>
      <c r="Y126" s="343">
        <f t="shared" si="78"/>
        <v>12270.7</v>
      </c>
      <c r="Z126" s="343">
        <f t="shared" ref="Z126" si="79">Z122</f>
        <v>12363.5</v>
      </c>
      <c r="AA126" s="343">
        <f t="shared" ref="AA126:AB126" si="80">AA122</f>
        <v>12425.1</v>
      </c>
      <c r="AB126" s="343">
        <f t="shared" si="80"/>
        <v>12580.9</v>
      </c>
      <c r="AC126" s="343">
        <f t="shared" ref="AC126" si="81">AC122</f>
        <v>12723</v>
      </c>
      <c r="AD126" s="318"/>
      <c r="AE126" s="318"/>
      <c r="AF126" s="318"/>
      <c r="AG126" s="318"/>
      <c r="AH126" s="318"/>
      <c r="AI126" s="318"/>
      <c r="AJ126" s="318"/>
      <c r="AK126" s="318"/>
      <c r="AL126" s="318"/>
      <c r="AM126" s="318"/>
      <c r="AN126" s="318"/>
    </row>
    <row r="127" spans="4:40" x14ac:dyDescent="0.25">
      <c r="D127" s="663" t="s">
        <v>500</v>
      </c>
      <c r="E127" s="238" t="s">
        <v>516</v>
      </c>
      <c r="F127" s="787">
        <f>'Haver Pivoted'!GQ5</f>
        <v>14350.7</v>
      </c>
      <c r="G127" s="430">
        <f>'Haver Pivoted'!GR5</f>
        <v>14548.3</v>
      </c>
      <c r="H127" s="430">
        <f>'Haver Pivoted'!GS5</f>
        <v>14701</v>
      </c>
      <c r="I127" s="430">
        <f>'Haver Pivoted'!GT5</f>
        <v>14496.2</v>
      </c>
      <c r="J127" s="430">
        <f>'Haver Pivoted'!GU5</f>
        <v>13175.6</v>
      </c>
      <c r="K127" s="430">
        <f>'Haver Pivoted'!GV5</f>
        <v>14478</v>
      </c>
      <c r="L127" s="430">
        <f>'Haver Pivoted'!GW5</f>
        <v>14752.7</v>
      </c>
      <c r="M127" s="430">
        <f>'Haver Pivoted'!GX5</f>
        <v>15259.4</v>
      </c>
      <c r="N127" s="430">
        <f>'Haver Pivoted'!GY5</f>
        <v>16016.3</v>
      </c>
      <c r="O127" s="430">
        <f>'Haver Pivoted'!GZ5</f>
        <v>16363.9</v>
      </c>
      <c r="P127" s="430">
        <f>'Haver Pivoted'!HA5</f>
        <v>16816.099999999999</v>
      </c>
      <c r="Q127" s="430">
        <f>'Haver Pivoted'!HB5</f>
        <v>17175.099999999999</v>
      </c>
      <c r="R127" s="430">
        <f>'Haver Pivoted'!HC5</f>
        <v>17603.8</v>
      </c>
      <c r="S127" s="343">
        <f>'Haver Pivoted'!HD5</f>
        <v>17876.2</v>
      </c>
      <c r="T127" s="343">
        <f>'Haver Pivoted'!HE5</f>
        <v>18108.3</v>
      </c>
      <c r="U127" s="343">
        <f>'Haver Pivoted'!HF5</f>
        <v>18506.2</v>
      </c>
      <c r="V127" s="343">
        <f>'Haver Pivoted'!HG5</f>
        <v>18685.7</v>
      </c>
      <c r="W127" s="343">
        <f>'Haver Pivoted'!HH5</f>
        <v>18929</v>
      </c>
      <c r="X127" s="343">
        <f>'Haver Pivoted'!HI5</f>
        <v>19170.2</v>
      </c>
      <c r="Y127" s="343">
        <f>'Haver Pivoted'!HJ5</f>
        <v>19424.8</v>
      </c>
      <c r="Z127" s="343">
        <f>'Haver Pivoted'!HK5</f>
        <v>19682.7</v>
      </c>
      <c r="AA127" s="343">
        <f>'Haver Pivoted'!HL5</f>
        <v>19938.400000000001</v>
      </c>
      <c r="AB127" s="343">
        <f>'Haver Pivoted'!HM5</f>
        <v>20255.5</v>
      </c>
      <c r="AC127" s="343">
        <f>'Haver Pivoted'!HN5</f>
        <v>20526.3</v>
      </c>
      <c r="AD127" s="318"/>
      <c r="AE127" s="318"/>
      <c r="AF127" s="318"/>
      <c r="AG127" s="318"/>
      <c r="AH127" s="318"/>
      <c r="AI127" s="318"/>
      <c r="AJ127" s="318"/>
      <c r="AK127" s="318"/>
      <c r="AL127" s="318"/>
      <c r="AM127" s="318"/>
      <c r="AN127" s="318"/>
    </row>
    <row r="128" spans="4:40" x14ac:dyDescent="0.25">
      <c r="D128" s="663" t="s">
        <v>513</v>
      </c>
      <c r="E128" s="238" t="s">
        <v>781</v>
      </c>
      <c r="F128" s="787">
        <f>'Haver Pivoted'!GQ85</f>
        <v>1906.5</v>
      </c>
      <c r="G128" s="430">
        <f>'Haver Pivoted'!GR85</f>
        <v>1968.1</v>
      </c>
      <c r="H128" s="430">
        <f>'Haver Pivoted'!GS85</f>
        <v>2003.2</v>
      </c>
      <c r="I128" s="430">
        <f>'Haver Pivoted'!GT85</f>
        <v>1752.6</v>
      </c>
      <c r="J128" s="430">
        <f>'Haver Pivoted'!GU85</f>
        <v>1686.1</v>
      </c>
      <c r="K128" s="430">
        <f>'Haver Pivoted'!GV85</f>
        <v>2323.9</v>
      </c>
      <c r="L128" s="430">
        <f>'Haver Pivoted'!GW85</f>
        <v>2101.5</v>
      </c>
      <c r="M128" s="430">
        <f>'Haver Pivoted'!GX85</f>
        <v>2438.6999999999998</v>
      </c>
      <c r="N128" s="430">
        <f>'Haver Pivoted'!GY85</f>
        <v>2763.8</v>
      </c>
      <c r="O128" s="430">
        <f>'Haver Pivoted'!GZ85</f>
        <v>2747.4</v>
      </c>
      <c r="P128" s="430">
        <f>'Haver Pivoted'!HA85</f>
        <v>2751.8</v>
      </c>
      <c r="Q128" s="430">
        <f>'Haver Pivoted'!HB85</f>
        <v>2738.7</v>
      </c>
      <c r="R128" s="343">
        <f>'Haver Pivoted'!HC85</f>
        <v>2876.9</v>
      </c>
      <c r="S128" s="343">
        <f>'Haver Pivoted'!HD85</f>
        <v>2950.7</v>
      </c>
      <c r="T128" s="343">
        <f>'Haver Pivoted'!HE85</f>
        <v>2921.1</v>
      </c>
      <c r="U128" s="343">
        <f>'Haver Pivoted'!HF85</f>
        <v>2941.2</v>
      </c>
      <c r="V128" s="343">
        <f>'Haver Pivoted'!HG85</f>
        <v>2953.4</v>
      </c>
      <c r="W128" s="343">
        <f>'Haver Pivoted'!HH85</f>
        <v>3079.7</v>
      </c>
      <c r="X128" s="343">
        <f>'Haver Pivoted'!HI85</f>
        <v>3253.6</v>
      </c>
      <c r="Y128" s="343">
        <f>'Haver Pivoted'!HJ85</f>
        <v>3186.2</v>
      </c>
      <c r="Z128" s="343">
        <f>'Haver Pivoted'!HK85</f>
        <v>3337.4</v>
      </c>
      <c r="AA128" s="343">
        <f>'Haver Pivoted'!HL85</f>
        <v>3365.3</v>
      </c>
      <c r="AB128" s="343">
        <f>'Haver Pivoted'!HM85</f>
        <v>3487.8</v>
      </c>
      <c r="AC128" s="343">
        <f>'Haver Pivoted'!HN85</f>
        <v>0</v>
      </c>
      <c r="AD128" s="318"/>
      <c r="AE128" s="318"/>
      <c r="AF128" s="318"/>
      <c r="AG128" s="318"/>
      <c r="AH128" s="318"/>
      <c r="AI128" s="318"/>
      <c r="AJ128" s="318"/>
      <c r="AK128" s="318"/>
      <c r="AL128" s="318"/>
      <c r="AM128" s="318"/>
      <c r="AN128" s="318"/>
    </row>
    <row r="129" spans="4:40" x14ac:dyDescent="0.25">
      <c r="D129" s="278" t="s">
        <v>514</v>
      </c>
      <c r="F129" s="265"/>
      <c r="G129" s="222"/>
      <c r="H129" s="222"/>
      <c r="I129" s="222"/>
      <c r="J129" s="222"/>
      <c r="K129" s="222"/>
      <c r="L129" s="222"/>
      <c r="M129" s="222"/>
      <c r="N129" s="222"/>
      <c r="O129" s="222"/>
      <c r="P129" s="222"/>
      <c r="Q129" s="222"/>
      <c r="R129" s="222"/>
      <c r="S129" s="222"/>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row>
    <row r="130" spans="4:40" x14ac:dyDescent="0.25">
      <c r="D130" s="823" t="s">
        <v>484</v>
      </c>
      <c r="F130" s="794">
        <f t="shared" ref="F130:AA130" si="82">F21/F121</f>
        <v>3.670955208815823E-2</v>
      </c>
      <c r="G130" s="819">
        <f t="shared" si="82"/>
        <v>3.4027243765791498E-2</v>
      </c>
      <c r="H130" s="819">
        <f t="shared" si="82"/>
        <v>3.3265006923139578E-2</v>
      </c>
      <c r="I130" s="819">
        <f t="shared" si="82"/>
        <v>3.3107240570318434E-2</v>
      </c>
      <c r="J130" s="819">
        <f t="shared" si="82"/>
        <v>3.4570962386621919E-2</v>
      </c>
      <c r="K130" s="819">
        <f t="shared" si="82"/>
        <v>3.4672757216149E-2</v>
      </c>
      <c r="L130" s="819">
        <f t="shared" si="82"/>
        <v>3.4751040755526034E-2</v>
      </c>
      <c r="M130" s="819">
        <f t="shared" si="82"/>
        <v>3.6343777022150851E-2</v>
      </c>
      <c r="N130" s="819">
        <f t="shared" si="82"/>
        <v>3.6751381076895101E-2</v>
      </c>
      <c r="O130" s="819">
        <f t="shared" si="82"/>
        <v>3.528295534539222E-2</v>
      </c>
      <c r="P130" s="819">
        <f t="shared" si="82"/>
        <v>3.5842486897839046E-2</v>
      </c>
      <c r="Q130" s="819">
        <f t="shared" si="82"/>
        <v>3.8878922970356826E-2</v>
      </c>
      <c r="R130" s="819">
        <f t="shared" si="82"/>
        <v>4.0423186613865542E-2</v>
      </c>
      <c r="S130" s="817">
        <f t="shared" si="82"/>
        <v>3.3915841415301358E-2</v>
      </c>
      <c r="T130" s="817">
        <f t="shared" si="82"/>
        <v>3.4123520855446787E-2</v>
      </c>
      <c r="U130" s="791">
        <f t="shared" si="82"/>
        <v>3.1885257205902635E-2</v>
      </c>
      <c r="V130" s="791">
        <f t="shared" si="82"/>
        <v>3.1630183548606389E-2</v>
      </c>
      <c r="W130" s="791">
        <f t="shared" si="82"/>
        <v>3.2502563166624622E-2</v>
      </c>
      <c r="X130" s="791">
        <f t="shared" si="82"/>
        <v>3.2423642084520768E-2</v>
      </c>
      <c r="Y130" s="791">
        <f t="shared" si="82"/>
        <v>3.1698894309281349E-2</v>
      </c>
      <c r="Z130" s="791">
        <f t="shared" si="82"/>
        <v>3.2525529959627042E-2</v>
      </c>
      <c r="AA130" s="791">
        <f t="shared" si="82"/>
        <v>3.3731108263735585E-2</v>
      </c>
      <c r="AB130" s="791">
        <f t="shared" ref="AB130:AC130" si="83">AB21/AB121</f>
        <v>3.4127521390142974E-2</v>
      </c>
      <c r="AC130" s="791">
        <f t="shared" si="83"/>
        <v>3.3621894448968924E-2</v>
      </c>
      <c r="AD130" s="818">
        <f t="shared" ref="AD130:AD133" si="84">AC130</f>
        <v>3.3621894448968924E-2</v>
      </c>
      <c r="AE130" s="818">
        <f t="shared" ref="AE130:AE133" si="85">AD130</f>
        <v>3.3621894448968924E-2</v>
      </c>
      <c r="AF130" s="818">
        <f t="shared" ref="AF130:AF132" si="86">AE130</f>
        <v>3.3621894448968924E-2</v>
      </c>
      <c r="AG130" s="818">
        <f>AF130</f>
        <v>3.3621894448968924E-2</v>
      </c>
      <c r="AH130" s="818">
        <f t="shared" ref="AH130:AJ130" si="87">AG130</f>
        <v>3.3621894448968924E-2</v>
      </c>
      <c r="AI130" s="818">
        <f t="shared" si="87"/>
        <v>3.3621894448968924E-2</v>
      </c>
      <c r="AJ130" s="818">
        <f t="shared" si="87"/>
        <v>3.3621894448968924E-2</v>
      </c>
      <c r="AK130" s="818">
        <f t="shared" ref="AK130:AK133" si="88">AJ130</f>
        <v>3.3621894448968924E-2</v>
      </c>
      <c r="AL130" s="818">
        <f t="shared" ref="AL130:AL133" si="89">AK130</f>
        <v>3.3621894448968924E-2</v>
      </c>
      <c r="AM130" s="818">
        <f t="shared" ref="AM130:AM133" si="90">AL130</f>
        <v>3.3621894448968924E-2</v>
      </c>
      <c r="AN130" s="818">
        <f t="shared" ref="AN130:AN133" si="91">AM130</f>
        <v>3.3621894448968924E-2</v>
      </c>
    </row>
    <row r="131" spans="4:40" x14ac:dyDescent="0.25">
      <c r="D131" s="823" t="s">
        <v>481</v>
      </c>
      <c r="F131" s="794">
        <f t="shared" ref="F131:AA131" si="92">F23/F126</f>
        <v>2.2401723209477652E-3</v>
      </c>
      <c r="G131" s="819">
        <f t="shared" si="92"/>
        <v>2.2053313349748422E-3</v>
      </c>
      <c r="H131" s="819">
        <f t="shared" si="92"/>
        <v>2.1604417839979767E-3</v>
      </c>
      <c r="I131" s="819">
        <f t="shared" si="92"/>
        <v>2.1065739635759873E-3</v>
      </c>
      <c r="J131" s="819">
        <f t="shared" si="92"/>
        <v>2.1431823481727428E-3</v>
      </c>
      <c r="K131" s="819">
        <f t="shared" si="92"/>
        <v>2.1076489652396787E-3</v>
      </c>
      <c r="L131" s="819">
        <f t="shared" si="92"/>
        <v>2.1000050970997504E-3</v>
      </c>
      <c r="M131" s="819">
        <f t="shared" si="92"/>
        <v>2.153734150336711E-3</v>
      </c>
      <c r="N131" s="819">
        <f t="shared" si="92"/>
        <v>2.1605696047139701E-3</v>
      </c>
      <c r="O131" s="819">
        <f t="shared" si="92"/>
        <v>2.1600336430018735E-3</v>
      </c>
      <c r="P131" s="819">
        <f t="shared" si="92"/>
        <v>2.1444485703676201E-3</v>
      </c>
      <c r="Q131" s="819">
        <f t="shared" si="92"/>
        <v>2.1448802441863661E-3</v>
      </c>
      <c r="R131" s="819">
        <f t="shared" si="92"/>
        <v>2.0975401574517159E-3</v>
      </c>
      <c r="S131" s="817">
        <f t="shared" si="92"/>
        <v>2.009507537866381E-3</v>
      </c>
      <c r="T131" s="817">
        <f t="shared" si="92"/>
        <v>1.9218732092637816E-3</v>
      </c>
      <c r="U131" s="791">
        <f t="shared" si="92"/>
        <v>1.808805753393685E-3</v>
      </c>
      <c r="V131" s="791">
        <f t="shared" si="92"/>
        <v>1.7580872011251759E-3</v>
      </c>
      <c r="W131" s="791">
        <f t="shared" si="92"/>
        <v>1.7900113986574913E-3</v>
      </c>
      <c r="X131" s="791">
        <f t="shared" si="92"/>
        <v>1.9039030011523625E-3</v>
      </c>
      <c r="Y131" s="791">
        <f t="shared" si="92"/>
        <v>2.0373735809693008E-3</v>
      </c>
      <c r="Z131" s="791">
        <f t="shared" si="92"/>
        <v>2.1595826424556154E-3</v>
      </c>
      <c r="AA131" s="791">
        <f t="shared" si="92"/>
        <v>2.2132618650956529E-3</v>
      </c>
      <c r="AB131" s="791">
        <f t="shared" ref="AB131:AC131" si="93">AB23/AB126</f>
        <v>2.1938017152985877E-3</v>
      </c>
      <c r="AC131" s="791">
        <f t="shared" si="93"/>
        <v>2.1221410044800753E-3</v>
      </c>
      <c r="AD131" s="818">
        <f t="shared" si="84"/>
        <v>2.1221410044800753E-3</v>
      </c>
      <c r="AE131" s="818">
        <f t="shared" si="85"/>
        <v>2.1221410044800753E-3</v>
      </c>
      <c r="AF131" s="818">
        <f t="shared" si="86"/>
        <v>2.1221410044800753E-3</v>
      </c>
      <c r="AG131" s="818">
        <f>AF131</f>
        <v>2.1221410044800753E-3</v>
      </c>
      <c r="AH131" s="818">
        <f t="shared" ref="AH131:AJ132" si="94">AG131</f>
        <v>2.1221410044800753E-3</v>
      </c>
      <c r="AI131" s="818">
        <f t="shared" si="94"/>
        <v>2.1221410044800753E-3</v>
      </c>
      <c r="AJ131" s="818">
        <f t="shared" si="94"/>
        <v>2.1221410044800753E-3</v>
      </c>
      <c r="AK131" s="818">
        <f t="shared" si="88"/>
        <v>2.1221410044800753E-3</v>
      </c>
      <c r="AL131" s="818">
        <f t="shared" si="89"/>
        <v>2.1221410044800753E-3</v>
      </c>
      <c r="AM131" s="818">
        <f t="shared" si="90"/>
        <v>2.1221410044800753E-3</v>
      </c>
      <c r="AN131" s="818">
        <f t="shared" si="91"/>
        <v>2.1221410044800753E-3</v>
      </c>
    </row>
    <row r="132" spans="4:40" x14ac:dyDescent="0.25">
      <c r="D132" s="823" t="s">
        <v>482</v>
      </c>
      <c r="F132" s="794">
        <f t="shared" ref="F132:AA132" si="95">F24/F127</f>
        <v>9.414174918296668E-2</v>
      </c>
      <c r="G132" s="819">
        <f t="shared" si="95"/>
        <v>9.4636486737282019E-2</v>
      </c>
      <c r="H132" s="819">
        <f t="shared" si="95"/>
        <v>9.343582069246989E-2</v>
      </c>
      <c r="I132" s="819">
        <f t="shared" si="95"/>
        <v>9.4721375256963877E-2</v>
      </c>
      <c r="J132" s="819">
        <f t="shared" si="95"/>
        <v>9.7809587419168773E-2</v>
      </c>
      <c r="K132" s="819">
        <f t="shared" si="95"/>
        <v>9.6021549937836723E-2</v>
      </c>
      <c r="L132" s="819">
        <f t="shared" si="95"/>
        <v>9.569095826526669E-2</v>
      </c>
      <c r="M132" s="819">
        <f t="shared" si="95"/>
        <v>9.4119034824436093E-2</v>
      </c>
      <c r="N132" s="819">
        <f t="shared" si="95"/>
        <v>9.5171793735132335E-2</v>
      </c>
      <c r="O132" s="819">
        <f t="shared" si="95"/>
        <v>9.4005707685820616E-2</v>
      </c>
      <c r="P132" s="819">
        <f t="shared" si="95"/>
        <v>9.3915949595922962E-2</v>
      </c>
      <c r="Q132" s="819">
        <f t="shared" si="95"/>
        <v>9.3466704706231696E-2</v>
      </c>
      <c r="R132" s="819">
        <f t="shared" si="95"/>
        <v>9.3400288574057883E-2</v>
      </c>
      <c r="S132" s="817">
        <f t="shared" si="95"/>
        <v>9.3319609312941226E-2</v>
      </c>
      <c r="T132" s="817">
        <f t="shared" si="95"/>
        <v>9.2603944047757111E-2</v>
      </c>
      <c r="U132" s="791">
        <f t="shared" si="95"/>
        <v>9.1742226929353396E-2</v>
      </c>
      <c r="V132" s="791">
        <f t="shared" si="95"/>
        <v>9.1481721316300696E-2</v>
      </c>
      <c r="W132" s="791">
        <f t="shared" si="95"/>
        <v>9.1077183158117178E-2</v>
      </c>
      <c r="X132" s="791">
        <f t="shared" si="95"/>
        <v>9.0990182679366927E-2</v>
      </c>
      <c r="Y132" s="791">
        <f t="shared" si="95"/>
        <v>9.0647007948601782E-2</v>
      </c>
      <c r="Z132" s="791">
        <f t="shared" si="95"/>
        <v>9.0551601152280933E-2</v>
      </c>
      <c r="AA132" s="791">
        <f t="shared" si="95"/>
        <v>9.0002206796934547E-2</v>
      </c>
      <c r="AB132" s="791">
        <f t="shared" ref="AB132:AC132" si="96">AB24/AB127</f>
        <v>8.99360667473032E-2</v>
      </c>
      <c r="AC132" s="791">
        <f t="shared" si="96"/>
        <v>8.9957761505970388E-2</v>
      </c>
      <c r="AD132" s="818">
        <f t="shared" si="84"/>
        <v>8.9957761505970388E-2</v>
      </c>
      <c r="AE132" s="818">
        <f t="shared" si="85"/>
        <v>8.9957761505970388E-2</v>
      </c>
      <c r="AF132" s="818">
        <f t="shared" si="86"/>
        <v>8.9957761505970388E-2</v>
      </c>
      <c r="AG132" s="818">
        <f t="shared" ref="AG132" si="97">AF132</f>
        <v>8.9957761505970388E-2</v>
      </c>
      <c r="AH132" s="818">
        <f t="shared" si="94"/>
        <v>8.9957761505970388E-2</v>
      </c>
      <c r="AI132" s="818">
        <f t="shared" si="94"/>
        <v>8.9957761505970388E-2</v>
      </c>
      <c r="AJ132" s="818">
        <f t="shared" si="94"/>
        <v>8.9957761505970388E-2</v>
      </c>
      <c r="AK132" s="818">
        <f t="shared" si="88"/>
        <v>8.9957761505970388E-2</v>
      </c>
      <c r="AL132" s="818">
        <f t="shared" si="89"/>
        <v>8.9957761505970388E-2</v>
      </c>
      <c r="AM132" s="818">
        <f t="shared" si="90"/>
        <v>8.9957761505970388E-2</v>
      </c>
      <c r="AN132" s="818">
        <f t="shared" si="91"/>
        <v>8.9957761505970388E-2</v>
      </c>
    </row>
    <row r="133" spans="4:40" x14ac:dyDescent="0.25">
      <c r="D133" s="782" t="s">
        <v>515</v>
      </c>
      <c r="E133" s="359"/>
      <c r="F133" s="785">
        <f t="shared" ref="F133:AB133" si="98">F25/F128</f>
        <v>4.028324154209284E-2</v>
      </c>
      <c r="G133" s="786">
        <f t="shared" si="98"/>
        <v>3.7650525887912199E-2</v>
      </c>
      <c r="H133" s="786">
        <f t="shared" si="98"/>
        <v>3.5093849840255591E-2</v>
      </c>
      <c r="I133" s="786">
        <f t="shared" si="98"/>
        <v>3.6802464909277646E-2</v>
      </c>
      <c r="J133" s="786">
        <f t="shared" si="98"/>
        <v>3.9380819642963055E-2</v>
      </c>
      <c r="K133" s="786">
        <f t="shared" si="98"/>
        <v>3.5070355867292048E-2</v>
      </c>
      <c r="L133" s="786">
        <f t="shared" si="98"/>
        <v>3.9210088032357843E-2</v>
      </c>
      <c r="M133" s="786">
        <f t="shared" si="98"/>
        <v>3.4075532045762087E-2</v>
      </c>
      <c r="N133" s="786">
        <f t="shared" si="98"/>
        <v>3.3902597872494389E-2</v>
      </c>
      <c r="O133" s="786">
        <f t="shared" si="98"/>
        <v>4.3422872534032174E-2</v>
      </c>
      <c r="P133" s="786">
        <f t="shared" si="98"/>
        <v>6.1087288320372114E-2</v>
      </c>
      <c r="Q133" s="786">
        <f t="shared" si="98"/>
        <v>6.2365355825756752E-2</v>
      </c>
      <c r="R133" s="792">
        <f t="shared" si="98"/>
        <v>5.4781188084396394E-2</v>
      </c>
      <c r="S133" s="792">
        <f t="shared" si="98"/>
        <v>5.391940895380757E-2</v>
      </c>
      <c r="T133" s="896">
        <f t="shared" si="98"/>
        <v>5.5527027489644311E-2</v>
      </c>
      <c r="U133" s="820">
        <f t="shared" si="98"/>
        <v>5.3957568339453282E-2</v>
      </c>
      <c r="V133" s="820">
        <f t="shared" si="98"/>
        <v>5.4987472066093314E-2</v>
      </c>
      <c r="W133" s="820">
        <f t="shared" si="98"/>
        <v>5.3868883332792161E-2</v>
      </c>
      <c r="X133" s="820">
        <f t="shared" si="98"/>
        <v>5.1297024834030001E-2</v>
      </c>
      <c r="Y133" s="820">
        <f t="shared" si="98"/>
        <v>5.348063523947022E-2</v>
      </c>
      <c r="Z133" s="820">
        <f t="shared" si="98"/>
        <v>4.9140049140049137E-2</v>
      </c>
      <c r="AA133" s="820">
        <f t="shared" si="98"/>
        <v>4.8316643389890938E-2</v>
      </c>
      <c r="AB133" s="820">
        <f t="shared" si="98"/>
        <v>4.7078387522220308E-2</v>
      </c>
      <c r="AC133" s="818">
        <f>AB133</f>
        <v>4.7078387522220308E-2</v>
      </c>
      <c r="AD133" s="818">
        <f t="shared" si="84"/>
        <v>4.7078387522220308E-2</v>
      </c>
      <c r="AE133" s="818">
        <f t="shared" si="85"/>
        <v>4.7078387522220308E-2</v>
      </c>
      <c r="AF133" s="818">
        <f>AE133</f>
        <v>4.7078387522220308E-2</v>
      </c>
      <c r="AG133" s="818">
        <f>AF133</f>
        <v>4.7078387522220308E-2</v>
      </c>
      <c r="AH133" s="818">
        <f t="shared" ref="AH133:AJ133" si="99">AG133</f>
        <v>4.7078387522220308E-2</v>
      </c>
      <c r="AI133" s="818">
        <f t="shared" si="99"/>
        <v>4.7078387522220308E-2</v>
      </c>
      <c r="AJ133" s="818">
        <f t="shared" si="99"/>
        <v>4.7078387522220308E-2</v>
      </c>
      <c r="AK133" s="818">
        <f t="shared" si="88"/>
        <v>4.7078387522220308E-2</v>
      </c>
      <c r="AL133" s="818">
        <f t="shared" si="89"/>
        <v>4.7078387522220308E-2</v>
      </c>
      <c r="AM133" s="818">
        <f t="shared" si="90"/>
        <v>4.7078387522220308E-2</v>
      </c>
      <c r="AN133" s="818">
        <f t="shared" si="91"/>
        <v>4.7078387522220308E-2</v>
      </c>
    </row>
    <row r="137" spans="4:40" x14ac:dyDescent="0.25">
      <c r="D137" s="1367" t="s">
        <v>1698</v>
      </c>
      <c r="E137" s="1367"/>
      <c r="F137" s="1367"/>
      <c r="G137" s="1367"/>
      <c r="H137" s="1367"/>
      <c r="I137" s="1367"/>
      <c r="J137" s="1367"/>
      <c r="K137" s="1367"/>
      <c r="L137" s="1367"/>
      <c r="M137" s="1367"/>
      <c r="N137" s="1367"/>
      <c r="O137" s="1367"/>
      <c r="P137" s="1367"/>
      <c r="Q137" s="1367"/>
      <c r="R137" s="1367"/>
      <c r="S137" s="1367"/>
      <c r="T137" s="1367"/>
      <c r="U137" s="1367"/>
      <c r="V137" s="1367"/>
      <c r="W137" s="1367"/>
      <c r="X137" s="1367"/>
      <c r="Y137" s="1367"/>
      <c r="Z137" s="1367"/>
      <c r="AA137" s="1367"/>
      <c r="AB137" s="1367"/>
      <c r="AC137" s="1367"/>
    </row>
    <row r="138" spans="4:40" x14ac:dyDescent="0.25">
      <c r="D138" s="758" t="s">
        <v>1691</v>
      </c>
      <c r="E138" s="738"/>
      <c r="F138" s="277"/>
      <c r="G138" s="277"/>
      <c r="H138" s="277"/>
      <c r="I138" s="277"/>
      <c r="J138" s="277"/>
      <c r="K138" s="277"/>
      <c r="L138" s="277"/>
      <c r="M138" s="277"/>
      <c r="N138" s="277"/>
      <c r="O138" s="277"/>
      <c r="P138" s="277"/>
      <c r="Q138" s="277"/>
      <c r="R138" s="277"/>
      <c r="S138" s="789"/>
      <c r="T138" s="277"/>
      <c r="U138" s="284"/>
      <c r="V138" s="284"/>
      <c r="W138" s="284"/>
      <c r="X138" s="284"/>
      <c r="Y138" s="284"/>
      <c r="Z138" s="284"/>
      <c r="AA138" s="284"/>
      <c r="AB138" s="284"/>
      <c r="AC138" s="217"/>
    </row>
    <row r="139" spans="4:40" x14ac:dyDescent="0.25">
      <c r="D139" s="897" t="s">
        <v>509</v>
      </c>
      <c r="E139" s="898"/>
      <c r="F139" s="899"/>
      <c r="G139" s="899">
        <f>(G121/F121)^4-1</f>
        <v>2.7913001349364253E-2</v>
      </c>
      <c r="H139" s="899">
        <f t="shared" ref="H139:S139" si="100">(H121/G121)^4-1</f>
        <v>4.7056786044947341E-2</v>
      </c>
      <c r="I139" s="899">
        <f t="shared" si="100"/>
        <v>3.9308941340777448E-2</v>
      </c>
      <c r="J139" s="899">
        <f t="shared" si="100"/>
        <v>-0.20767330318048161</v>
      </c>
      <c r="K139" s="899">
        <f t="shared" si="100"/>
        <v>0.22160650997768916</v>
      </c>
      <c r="L139" s="899">
        <f t="shared" si="100"/>
        <v>0.12774612606997193</v>
      </c>
      <c r="M139" s="899">
        <f t="shared" si="100"/>
        <v>4.7000819432919894E-2</v>
      </c>
      <c r="N139" s="899">
        <f t="shared" si="100"/>
        <v>0.15575354729693691</v>
      </c>
      <c r="O139" s="899">
        <f t="shared" si="100"/>
        <v>0.10114329593307891</v>
      </c>
      <c r="P139" s="899">
        <f t="shared" si="100"/>
        <v>9.5894303203679421E-2</v>
      </c>
      <c r="Q139" s="899">
        <f t="shared" si="100"/>
        <v>4.2812972925388104E-2</v>
      </c>
      <c r="R139" s="899">
        <f t="shared" si="100"/>
        <v>6.1818398365929728E-2</v>
      </c>
      <c r="S139" s="899">
        <f t="shared" si="100"/>
        <v>0.10779959808936046</v>
      </c>
      <c r="T139" s="900"/>
      <c r="U139" s="318"/>
      <c r="V139" s="318"/>
      <c r="W139" s="318"/>
      <c r="X139" s="318"/>
      <c r="Y139" s="318"/>
      <c r="Z139" s="318"/>
      <c r="AA139" s="318"/>
      <c r="AB139" s="318"/>
      <c r="AC139" s="427"/>
    </row>
    <row r="140" spans="4:40" x14ac:dyDescent="0.25">
      <c r="D140" s="901" t="s">
        <v>783</v>
      </c>
      <c r="E140" s="902"/>
      <c r="F140" s="899"/>
      <c r="G140" s="899">
        <f t="shared" ref="G140:S140" si="101">(G122/F122)^4-1</f>
        <v>2.4344066214849969E-2</v>
      </c>
      <c r="H140" s="899">
        <f t="shared" si="101"/>
        <v>6.4808926543423739E-2</v>
      </c>
      <c r="I140" s="899">
        <f t="shared" si="101"/>
        <v>6.3731772577288348E-2</v>
      </c>
      <c r="J140" s="899">
        <f t="shared" si="101"/>
        <v>-0.23736727268240676</v>
      </c>
      <c r="K140" s="899">
        <f t="shared" si="101"/>
        <v>0.20844376621817839</v>
      </c>
      <c r="L140" s="899">
        <f t="shared" si="101"/>
        <v>0.16511367309277247</v>
      </c>
      <c r="M140" s="899">
        <f t="shared" si="101"/>
        <v>3.314802533242589E-2</v>
      </c>
      <c r="N140" s="899">
        <f t="shared" si="101"/>
        <v>0.12374465481168762</v>
      </c>
      <c r="O140" s="899">
        <f t="shared" si="101"/>
        <v>0.11474111578039969</v>
      </c>
      <c r="P140" s="899">
        <f t="shared" si="101"/>
        <v>0.12355331155960547</v>
      </c>
      <c r="Q140" s="899">
        <f t="shared" si="101"/>
        <v>5.2121400356726078E-2</v>
      </c>
      <c r="R140" s="899">
        <f t="shared" si="101"/>
        <v>3.8378170832219727E-2</v>
      </c>
      <c r="S140" s="899">
        <f t="shared" si="101"/>
        <v>0.10697569974210452</v>
      </c>
      <c r="T140" s="900"/>
      <c r="U140" s="318"/>
      <c r="V140" s="318"/>
      <c r="W140" s="318"/>
      <c r="X140" s="318"/>
      <c r="Y140" s="318"/>
      <c r="Z140" s="318"/>
      <c r="AA140" s="318"/>
      <c r="AB140" s="318"/>
      <c r="AC140" s="427"/>
    </row>
    <row r="141" spans="4:40" x14ac:dyDescent="0.25">
      <c r="D141" s="901" t="s">
        <v>510</v>
      </c>
      <c r="E141" s="902"/>
      <c r="F141" s="899"/>
      <c r="G141" s="899">
        <f t="shared" ref="G141:S141" si="102">(G123/F123)^4-1</f>
        <v>9.5170520378034862E-2</v>
      </c>
      <c r="H141" s="899">
        <f t="shared" si="102"/>
        <v>3.0386715102811657E-2</v>
      </c>
      <c r="I141" s="899">
        <f t="shared" si="102"/>
        <v>-1.2576877927581664E-2</v>
      </c>
      <c r="J141" s="899">
        <f t="shared" si="102"/>
        <v>-0.33559918291781621</v>
      </c>
      <c r="K141" s="899">
        <f t="shared" si="102"/>
        <v>1.0567645594940451</v>
      </c>
      <c r="L141" s="899">
        <f t="shared" si="102"/>
        <v>-8.5516467937984397E-2</v>
      </c>
      <c r="M141" s="899">
        <f t="shared" si="102"/>
        <v>7.2385177080469099E-2</v>
      </c>
      <c r="N141" s="899">
        <f t="shared" si="102"/>
        <v>0.39706645948874297</v>
      </c>
      <c r="O141" s="899">
        <f t="shared" si="102"/>
        <v>4.7644934993231525E-2</v>
      </c>
      <c r="P141" s="899">
        <f t="shared" si="102"/>
        <v>-3.4465830968520295E-2</v>
      </c>
      <c r="Q141" s="899">
        <f t="shared" si="102"/>
        <v>-3.7288431797324884E-2</v>
      </c>
      <c r="R141" s="899">
        <f t="shared" si="102"/>
        <v>3.7162148806803685E-2</v>
      </c>
      <c r="S141" s="899">
        <f t="shared" si="102"/>
        <v>0.10136440863642315</v>
      </c>
      <c r="T141" s="900"/>
      <c r="U141" s="318"/>
      <c r="V141" s="318"/>
      <c r="W141" s="318"/>
      <c r="X141" s="318"/>
      <c r="Y141" s="318"/>
      <c r="Z141" s="318"/>
      <c r="AA141" s="318"/>
      <c r="AB141" s="318"/>
      <c r="AC141" s="427"/>
    </row>
    <row r="142" spans="4:40" x14ac:dyDescent="0.25">
      <c r="D142" s="901" t="s">
        <v>511</v>
      </c>
      <c r="E142" s="902"/>
      <c r="F142" s="899"/>
      <c r="G142" s="899">
        <f t="shared" ref="G142:S142" si="103">(G124/F124)^4-1</f>
        <v>4.4060751620176752E-2</v>
      </c>
      <c r="H142" s="899">
        <f t="shared" si="103"/>
        <v>9.6622128532301677E-2</v>
      </c>
      <c r="I142" s="899">
        <f t="shared" si="103"/>
        <v>0.13675802614067245</v>
      </c>
      <c r="J142" s="899">
        <f t="shared" si="103"/>
        <v>1.0461745960318236E-2</v>
      </c>
      <c r="K142" s="899">
        <f t="shared" si="103"/>
        <v>7.5343951398924913E-2</v>
      </c>
      <c r="L142" s="899">
        <f t="shared" si="103"/>
        <v>1.5126690012599919E-2</v>
      </c>
      <c r="M142" s="899">
        <f t="shared" si="103"/>
        <v>-9.5986507456689019E-3</v>
      </c>
      <c r="N142" s="899">
        <f t="shared" si="103"/>
        <v>8.8639640354544413E-2</v>
      </c>
      <c r="O142" s="899">
        <f t="shared" si="103"/>
        <v>0.10698362579219722</v>
      </c>
      <c r="P142" s="899">
        <f t="shared" si="103"/>
        <v>0.10364747893427251</v>
      </c>
      <c r="Q142" s="899">
        <f t="shared" si="103"/>
        <v>6.9691205228084696E-2</v>
      </c>
      <c r="R142" s="899">
        <f t="shared" si="103"/>
        <v>0.23371913760147933</v>
      </c>
      <c r="S142" s="899">
        <f t="shared" si="103"/>
        <v>0.15406366806084937</v>
      </c>
      <c r="T142" s="900"/>
      <c r="U142" s="318"/>
      <c r="V142" s="318"/>
      <c r="W142" s="318"/>
      <c r="X142" s="318"/>
      <c r="Y142" s="318"/>
      <c r="Z142" s="318"/>
      <c r="AA142" s="318"/>
      <c r="AB142" s="318"/>
      <c r="AC142" s="427"/>
    </row>
    <row r="143" spans="4:40" x14ac:dyDescent="0.25">
      <c r="D143" s="901" t="s">
        <v>512</v>
      </c>
      <c r="E143" s="902"/>
      <c r="F143" s="899"/>
      <c r="G143" s="899">
        <f t="shared" ref="G143:S143" si="104">(G125/F125)^4-1</f>
        <v>1.6217856588427448E-3</v>
      </c>
      <c r="H143" s="899">
        <f t="shared" si="104"/>
        <v>-9.8195076585786412E-3</v>
      </c>
      <c r="I143" s="899">
        <f t="shared" si="104"/>
        <v>-3.0767948453107596E-2</v>
      </c>
      <c r="J143" s="899">
        <f t="shared" si="104"/>
        <v>-7.7313403452727636E-2</v>
      </c>
      <c r="K143" s="899">
        <f t="shared" si="104"/>
        <v>-1.5359581864805461E-2</v>
      </c>
      <c r="L143" s="899">
        <f t="shared" si="104"/>
        <v>0.17439776752664971</v>
      </c>
      <c r="M143" s="899">
        <f t="shared" si="104"/>
        <v>9.4006543160045863E-2</v>
      </c>
      <c r="N143" s="899">
        <f t="shared" si="104"/>
        <v>0.15250723378892039</v>
      </c>
      <c r="O143" s="899">
        <f t="shared" si="104"/>
        <v>8.8004811201423561E-2</v>
      </c>
      <c r="P143" s="899">
        <f t="shared" si="104"/>
        <v>8.4265283746917774E-2</v>
      </c>
      <c r="Q143" s="899">
        <f t="shared" si="104"/>
        <v>5.2407830182700454E-2</v>
      </c>
      <c r="R143" s="899">
        <f t="shared" si="104"/>
        <v>0.11413452453651107</v>
      </c>
      <c r="S143" s="899">
        <f t="shared" si="104"/>
        <v>0.10252743449255797</v>
      </c>
      <c r="T143" s="900"/>
      <c r="U143" s="318"/>
      <c r="V143" s="318"/>
      <c r="W143" s="318"/>
      <c r="X143" s="318"/>
      <c r="Y143" s="318"/>
      <c r="Z143" s="318"/>
      <c r="AA143" s="318"/>
      <c r="AB143" s="318"/>
      <c r="AC143" s="427"/>
    </row>
    <row r="144" spans="4:40" x14ac:dyDescent="0.25">
      <c r="D144" s="897" t="s">
        <v>499</v>
      </c>
      <c r="E144" s="898"/>
      <c r="F144" s="899"/>
      <c r="G144" s="899">
        <f t="shared" ref="G144:S144" si="105">(G126/F126)^4-1</f>
        <v>2.4344066214849969E-2</v>
      </c>
      <c r="H144" s="899">
        <f t="shared" si="105"/>
        <v>6.4808926543423739E-2</v>
      </c>
      <c r="I144" s="899">
        <f t="shared" si="105"/>
        <v>6.3731772577288348E-2</v>
      </c>
      <c r="J144" s="899">
        <f t="shared" si="105"/>
        <v>-0.23736727268240676</v>
      </c>
      <c r="K144" s="899">
        <f t="shared" si="105"/>
        <v>0.20844376621817839</v>
      </c>
      <c r="L144" s="899">
        <f t="shared" si="105"/>
        <v>0.16511367309277247</v>
      </c>
      <c r="M144" s="899">
        <f t="shared" si="105"/>
        <v>3.314802533242589E-2</v>
      </c>
      <c r="N144" s="899">
        <f t="shared" si="105"/>
        <v>0.12374465481168762</v>
      </c>
      <c r="O144" s="899">
        <f t="shared" si="105"/>
        <v>0.11474111578039969</v>
      </c>
      <c r="P144" s="899">
        <f t="shared" si="105"/>
        <v>0.12355331155960547</v>
      </c>
      <c r="Q144" s="899">
        <f t="shared" si="105"/>
        <v>5.2121400356726078E-2</v>
      </c>
      <c r="R144" s="899">
        <f t="shared" si="105"/>
        <v>3.8378170832219727E-2</v>
      </c>
      <c r="S144" s="899">
        <f t="shared" si="105"/>
        <v>0.10697569974210452</v>
      </c>
      <c r="T144" s="900"/>
      <c r="U144" s="318"/>
      <c r="V144" s="318"/>
      <c r="W144" s="318"/>
      <c r="X144" s="318"/>
      <c r="Y144" s="318"/>
      <c r="Z144" s="318"/>
      <c r="AA144" s="318"/>
      <c r="AB144" s="318"/>
      <c r="AC144" s="427"/>
    </row>
    <row r="145" spans="4:29" x14ac:dyDescent="0.25">
      <c r="D145" s="897" t="s">
        <v>500</v>
      </c>
      <c r="E145" s="902"/>
      <c r="F145" s="899"/>
      <c r="G145" s="899">
        <f t="shared" ref="G145:S145" si="106">(G127/F127)^4-1</f>
        <v>5.6225503215933115E-2</v>
      </c>
      <c r="H145" s="899">
        <f t="shared" si="106"/>
        <v>4.2649929393125507E-2</v>
      </c>
      <c r="I145" s="899">
        <f t="shared" si="106"/>
        <v>-5.4570436543737832E-2</v>
      </c>
      <c r="J145" s="899">
        <f t="shared" si="106"/>
        <v>-0.31755930379794983</v>
      </c>
      <c r="K145" s="899">
        <f t="shared" si="106"/>
        <v>0.45798374797974395</v>
      </c>
      <c r="L145" s="899">
        <f t="shared" si="106"/>
        <v>7.8081900447835251E-2</v>
      </c>
      <c r="M145" s="899">
        <f t="shared" si="106"/>
        <v>0.14462647249539784</v>
      </c>
      <c r="N145" s="899">
        <f t="shared" si="106"/>
        <v>0.21366534100957191</v>
      </c>
      <c r="O145" s="899">
        <f t="shared" si="106"/>
        <v>8.9678764816876422E-2</v>
      </c>
      <c r="P145" s="899">
        <f t="shared" si="106"/>
        <v>0.1152028170216266</v>
      </c>
      <c r="Q145" s="899">
        <f t="shared" si="106"/>
        <v>8.8168054860614076E-2</v>
      </c>
      <c r="R145" s="899">
        <f t="shared" si="106"/>
        <v>0.10364298156306018</v>
      </c>
      <c r="S145" s="899">
        <f t="shared" si="106"/>
        <v>6.3347260248833859E-2</v>
      </c>
      <c r="T145" s="900"/>
      <c r="U145" s="318"/>
      <c r="V145" s="318"/>
      <c r="W145" s="318"/>
      <c r="X145" s="318"/>
      <c r="Y145" s="318"/>
      <c r="Z145" s="318"/>
      <c r="AA145" s="318"/>
      <c r="AB145" s="318"/>
      <c r="AC145" s="427"/>
    </row>
    <row r="146" spans="4:29" x14ac:dyDescent="0.25">
      <c r="D146" s="903" t="s">
        <v>513</v>
      </c>
      <c r="E146" s="755"/>
      <c r="F146" s="756"/>
      <c r="G146" s="756">
        <f t="shared" ref="G146:S146" si="107">(G128/F128)^4-1</f>
        <v>0.13564189817892713</v>
      </c>
      <c r="H146" s="756">
        <f t="shared" si="107"/>
        <v>7.3269037673770798E-2</v>
      </c>
      <c r="I146" s="756">
        <f t="shared" si="107"/>
        <v>-0.41408585427253519</v>
      </c>
      <c r="J146" s="756">
        <f t="shared" si="107"/>
        <v>-0.1433526334649271</v>
      </c>
      <c r="K146" s="756">
        <f t="shared" si="107"/>
        <v>2.6085807680777386</v>
      </c>
      <c r="L146" s="756">
        <f t="shared" si="107"/>
        <v>-0.33127457784416303</v>
      </c>
      <c r="M146" s="756">
        <f t="shared" si="107"/>
        <v>0.81349321781472628</v>
      </c>
      <c r="N146" s="756">
        <f t="shared" si="107"/>
        <v>0.64965427523107366</v>
      </c>
      <c r="O146" s="756">
        <f t="shared" si="107"/>
        <v>-2.3525007110185348E-2</v>
      </c>
      <c r="P146" s="756">
        <f t="shared" si="107"/>
        <v>6.4214621581073494E-3</v>
      </c>
      <c r="Q146" s="756">
        <f t="shared" si="107"/>
        <v>-1.8906537249130384E-2</v>
      </c>
      <c r="R146" s="756">
        <f t="shared" si="107"/>
        <v>0.2176464803225644</v>
      </c>
      <c r="S146" s="756">
        <f t="shared" si="107"/>
        <v>0.10662674433130115</v>
      </c>
      <c r="T146" s="757"/>
      <c r="U146" s="262"/>
      <c r="V146" s="262"/>
      <c r="W146" s="262"/>
      <c r="X146" s="262"/>
      <c r="Y146" s="262"/>
      <c r="Z146" s="262"/>
      <c r="AA146" s="262"/>
      <c r="AB146" s="262"/>
      <c r="AC146" s="290"/>
    </row>
    <row r="149" spans="4:29" ht="14.85" customHeight="1" x14ac:dyDescent="0.25"/>
  </sheetData>
  <mergeCells count="44">
    <mergeCell ref="AG6:AJ6"/>
    <mergeCell ref="AC44:AF44"/>
    <mergeCell ref="AG101:AJ101"/>
    <mergeCell ref="AG111:AJ111"/>
    <mergeCell ref="W43:AH43"/>
    <mergeCell ref="F44:H44"/>
    <mergeCell ref="M44:P44"/>
    <mergeCell ref="Q44:T44"/>
    <mergeCell ref="I44:L44"/>
    <mergeCell ref="AK111:AN111"/>
    <mergeCell ref="AK101:AN101"/>
    <mergeCell ref="AG44:AJ44"/>
    <mergeCell ref="D137:AC137"/>
    <mergeCell ref="D113:E113"/>
    <mergeCell ref="D111:E112"/>
    <mergeCell ref="Y44:AB44"/>
    <mergeCell ref="D101:E102"/>
    <mergeCell ref="F101:H101"/>
    <mergeCell ref="I101:L101"/>
    <mergeCell ref="M111:P111"/>
    <mergeCell ref="F111:H111"/>
    <mergeCell ref="I111:L111"/>
    <mergeCell ref="Q111:T111"/>
    <mergeCell ref="AC101:AF101"/>
    <mergeCell ref="AC111:AF111"/>
    <mergeCell ref="Y111:AB111"/>
    <mergeCell ref="O68:V68"/>
    <mergeCell ref="P69:S69"/>
    <mergeCell ref="Q101:T101"/>
    <mergeCell ref="M101:P101"/>
    <mergeCell ref="D1:AC1"/>
    <mergeCell ref="D2:AC3"/>
    <mergeCell ref="AC6:AF6"/>
    <mergeCell ref="F6:H6"/>
    <mergeCell ref="I6:L6"/>
    <mergeCell ref="Q6:T6"/>
    <mergeCell ref="D5:E7"/>
    <mergeCell ref="M6:P6"/>
    <mergeCell ref="F5:AB5"/>
    <mergeCell ref="AC5:AN5"/>
    <mergeCell ref="AK6:AN6"/>
    <mergeCell ref="U6:X6"/>
    <mergeCell ref="D31:F31"/>
    <mergeCell ref="F43:V43"/>
  </mergeCells>
  <pageMargins left="0.7" right="0.7" top="0.75" bottom="0.75" header="0.3" footer="0.3"/>
  <pageSetup orientation="portrait"/>
  <drawing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BT87"/>
  <sheetViews>
    <sheetView zoomScaleNormal="100" workbookViewId="0">
      <pane xSplit="3" ySplit="4" topLeftCell="N42" activePane="bottomRight" state="frozen"/>
      <selection pane="topRight" activeCell="D1" sqref="D1"/>
      <selection pane="bottomLeft" activeCell="A5" sqref="A5"/>
      <selection pane="bottomRight" activeCell="S56" sqref="S56:AN56"/>
    </sheetView>
  </sheetViews>
  <sheetFormatPr defaultColWidth="10.85546875" defaultRowHeight="15" x14ac:dyDescent="0.25"/>
  <cols>
    <col min="1" max="1" width="19.140625" customWidth="1"/>
    <col min="2" max="2" width="37" customWidth="1"/>
    <col min="3" max="3" width="13.140625" customWidth="1"/>
    <col min="20" max="29" width="11.5703125" customWidth="1"/>
    <col min="30" max="32" width="12.140625" customWidth="1"/>
  </cols>
  <sheetData>
    <row r="1" spans="2:40" x14ac:dyDescent="0.25">
      <c r="B1" s="1264" t="s">
        <v>1699</v>
      </c>
      <c r="C1" s="1264"/>
      <c r="D1" s="1264"/>
      <c r="E1" s="1264"/>
      <c r="F1" s="1264"/>
      <c r="G1" s="1264"/>
      <c r="H1" s="1264"/>
      <c r="I1" s="1264"/>
      <c r="J1" s="1264"/>
      <c r="K1" s="1264"/>
      <c r="L1" s="1264"/>
      <c r="M1" s="1264"/>
      <c r="N1" s="1264"/>
      <c r="O1" s="1264"/>
      <c r="P1" s="1264"/>
      <c r="Q1" s="1264"/>
      <c r="R1" s="1264"/>
      <c r="S1" s="1264"/>
      <c r="T1" s="1264"/>
      <c r="U1" s="1264"/>
      <c r="V1" s="1264"/>
      <c r="W1" s="1264"/>
      <c r="X1" s="1264"/>
      <c r="Y1" s="1264"/>
      <c r="Z1" s="1264"/>
      <c r="AA1" s="1264"/>
      <c r="AB1" s="1264"/>
      <c r="AC1" s="1264"/>
    </row>
    <row r="2" spans="2:40" x14ac:dyDescent="0.25">
      <c r="B2" s="1306" t="s">
        <v>1954</v>
      </c>
      <c r="C2" s="1306"/>
      <c r="D2" s="1306"/>
      <c r="E2" s="1306"/>
      <c r="F2" s="1306"/>
      <c r="G2" s="1306"/>
      <c r="H2" s="1306"/>
      <c r="I2" s="1306"/>
      <c r="J2" s="1306"/>
      <c r="K2" s="1306"/>
      <c r="L2" s="1306"/>
      <c r="M2" s="1306"/>
      <c r="N2" s="1306"/>
      <c r="O2" s="1306"/>
      <c r="P2" s="1306"/>
      <c r="Q2" s="1306"/>
      <c r="R2" s="1306"/>
      <c r="S2" s="1306"/>
      <c r="T2" s="1306"/>
      <c r="U2" s="1306"/>
      <c r="V2" s="1306"/>
      <c r="W2" s="1306"/>
      <c r="X2" s="1306"/>
      <c r="Y2" s="1306"/>
      <c r="Z2" s="1306"/>
      <c r="AA2" s="1306"/>
      <c r="AB2" s="1306"/>
      <c r="AC2" s="1306"/>
    </row>
    <row r="3" spans="2:40" x14ac:dyDescent="0.25">
      <c r="B3" s="1306"/>
      <c r="C3" s="1306"/>
      <c r="D3" s="1306"/>
      <c r="E3" s="1306"/>
      <c r="F3" s="1306"/>
      <c r="G3" s="1306"/>
      <c r="H3" s="1306"/>
      <c r="I3" s="1306"/>
      <c r="J3" s="1306"/>
      <c r="K3" s="1306"/>
      <c r="L3" s="1306"/>
      <c r="M3" s="1306"/>
      <c r="N3" s="1306"/>
      <c r="O3" s="1306"/>
      <c r="P3" s="1306"/>
      <c r="Q3" s="1306"/>
      <c r="R3" s="1306"/>
      <c r="S3" s="1306"/>
      <c r="T3" s="1306"/>
      <c r="U3" s="1306"/>
      <c r="V3" s="1306"/>
      <c r="W3" s="1306"/>
      <c r="X3" s="1306"/>
      <c r="Y3" s="1306"/>
      <c r="Z3" s="1306"/>
      <c r="AA3" s="1306"/>
      <c r="AB3" s="1306"/>
      <c r="AC3" s="1306"/>
    </row>
    <row r="4" spans="2:40" x14ac:dyDescent="0.25">
      <c r="B4" s="1306"/>
      <c r="C4" s="1306"/>
      <c r="D4" s="1306"/>
      <c r="E4" s="1306"/>
      <c r="F4" s="1306"/>
      <c r="G4" s="1306"/>
      <c r="H4" s="1306"/>
      <c r="I4" s="1306"/>
      <c r="J4" s="1306"/>
      <c r="K4" s="1306"/>
      <c r="L4" s="1306"/>
      <c r="M4" s="1306"/>
      <c r="N4" s="1306"/>
      <c r="O4" s="1306"/>
      <c r="P4" s="1306"/>
      <c r="Q4" s="1306"/>
      <c r="R4" s="1306"/>
      <c r="S4" s="1306"/>
      <c r="T4" s="1306"/>
      <c r="U4" s="1306"/>
      <c r="V4" s="1306"/>
      <c r="W4" s="1306"/>
      <c r="X4" s="1306"/>
      <c r="Y4" s="1306"/>
      <c r="Z4" s="1306"/>
      <c r="AA4" s="1306"/>
      <c r="AB4" s="1306"/>
      <c r="AC4" s="1306"/>
    </row>
    <row r="5" spans="2:40" x14ac:dyDescent="0.25">
      <c r="B5" s="244"/>
      <c r="C5" s="244"/>
      <c r="D5" s="244"/>
      <c r="E5" s="244"/>
      <c r="F5" s="244"/>
      <c r="G5" s="244"/>
      <c r="H5" s="244"/>
      <c r="I5" s="244"/>
      <c r="J5" s="244"/>
      <c r="K5" s="244"/>
      <c r="L5" s="244"/>
      <c r="M5" s="244"/>
      <c r="N5" s="244"/>
      <c r="O5" s="244"/>
      <c r="P5" s="244"/>
      <c r="Q5" s="244"/>
      <c r="R5" s="244"/>
      <c r="S5" s="244"/>
      <c r="T5" s="244"/>
      <c r="U5" s="244"/>
      <c r="V5" s="244"/>
      <c r="W5" s="244"/>
      <c r="X5" s="244"/>
      <c r="Y5" s="244"/>
      <c r="Z5" s="244"/>
      <c r="AA5" s="244"/>
      <c r="AB5" s="244"/>
      <c r="AC5" s="244"/>
    </row>
    <row r="6" spans="2:40" x14ac:dyDescent="0.25">
      <c r="B6" s="56"/>
      <c r="C6" s="935"/>
      <c r="D6" s="916"/>
      <c r="E6" s="916"/>
      <c r="F6" s="916"/>
      <c r="G6" s="916"/>
      <c r="H6" s="916"/>
      <c r="I6" s="916"/>
      <c r="J6" s="916"/>
      <c r="K6" s="916"/>
      <c r="L6" s="916"/>
      <c r="M6" s="916"/>
      <c r="N6" s="916"/>
      <c r="O6" s="916"/>
      <c r="P6" s="916"/>
      <c r="Q6" s="916"/>
      <c r="R6" s="916"/>
      <c r="S6" s="916"/>
      <c r="T6" s="916"/>
      <c r="U6" s="916"/>
      <c r="V6" s="916"/>
      <c r="W6" s="916"/>
      <c r="X6" s="916"/>
      <c r="Y6" s="916"/>
      <c r="Z6" s="916"/>
      <c r="AA6" s="916"/>
      <c r="AB6" s="916"/>
      <c r="AC6" s="916"/>
      <c r="AD6" s="916"/>
      <c r="AE6" s="916"/>
      <c r="AF6" s="916"/>
    </row>
    <row r="7" spans="2:40" ht="14.45" customHeight="1" x14ac:dyDescent="0.25">
      <c r="B7" s="1377" t="s">
        <v>1724</v>
      </c>
      <c r="C7" s="1377"/>
      <c r="D7" s="1378"/>
      <c r="E7" s="1378"/>
      <c r="F7" s="1378"/>
      <c r="G7" s="244"/>
      <c r="H7" s="244"/>
      <c r="I7" s="244"/>
      <c r="J7" s="244"/>
      <c r="K7" s="244"/>
      <c r="L7" s="244"/>
      <c r="M7" s="244"/>
      <c r="N7" s="244"/>
      <c r="O7" s="244"/>
      <c r="P7" s="244"/>
      <c r="Q7" s="244"/>
      <c r="R7" s="244"/>
      <c r="S7" s="244"/>
      <c r="T7" s="244"/>
      <c r="U7" s="244"/>
      <c r="V7" s="244"/>
      <c r="W7" s="244"/>
      <c r="X7" s="244"/>
      <c r="Y7" s="244"/>
      <c r="Z7" s="244"/>
      <c r="AA7" s="244"/>
      <c r="AB7" s="244"/>
      <c r="AC7" s="244"/>
    </row>
    <row r="8" spans="2:40" x14ac:dyDescent="0.25">
      <c r="B8" s="1269" t="s">
        <v>1713</v>
      </c>
      <c r="C8" s="1270"/>
      <c r="D8" s="1293" t="s">
        <v>279</v>
      </c>
      <c r="E8" s="1294"/>
      <c r="F8" s="1294"/>
      <c r="G8" s="1294"/>
      <c r="H8" s="1294"/>
      <c r="I8" s="1294"/>
      <c r="J8" s="1294"/>
      <c r="K8" s="1294"/>
      <c r="L8" s="1294"/>
      <c r="M8" s="1294"/>
      <c r="N8" s="1294"/>
      <c r="O8" s="1294"/>
      <c r="P8" s="1294"/>
      <c r="Q8" s="1294"/>
      <c r="R8" s="1294"/>
      <c r="S8" s="1294"/>
      <c r="T8" s="1294"/>
      <c r="U8" s="1294"/>
      <c r="V8" s="1295"/>
      <c r="W8" s="910"/>
      <c r="X8" s="904"/>
      <c r="Y8" s="904"/>
      <c r="Z8" s="904"/>
      <c r="AA8" s="904"/>
      <c r="AB8" s="1296" t="s">
        <v>1739</v>
      </c>
      <c r="AC8" s="1277"/>
      <c r="AD8" s="1277"/>
      <c r="AE8" s="1277"/>
      <c r="AF8" s="1277"/>
      <c r="AG8" s="1277"/>
      <c r="AH8" s="1277"/>
      <c r="AI8" s="1277"/>
      <c r="AJ8" s="1277"/>
      <c r="AK8" s="1277"/>
      <c r="AL8" s="1277"/>
      <c r="AM8" s="1277"/>
      <c r="AN8" s="1278"/>
    </row>
    <row r="9" spans="2:40" x14ac:dyDescent="0.25">
      <c r="B9" s="1271"/>
      <c r="C9" s="1272"/>
      <c r="D9" s="907">
        <v>2018</v>
      </c>
      <c r="E9" s="1288">
        <v>2019</v>
      </c>
      <c r="F9" s="1300"/>
      <c r="G9" s="1300"/>
      <c r="H9" s="1290"/>
      <c r="I9" s="1288">
        <v>2020</v>
      </c>
      <c r="J9" s="1300"/>
      <c r="K9" s="1300"/>
      <c r="L9" s="1290"/>
      <c r="M9" s="1288">
        <v>2021</v>
      </c>
      <c r="N9" s="1300"/>
      <c r="O9" s="1300"/>
      <c r="P9" s="1290"/>
      <c r="Q9" s="1291">
        <v>2022</v>
      </c>
      <c r="R9" s="1292"/>
      <c r="S9" s="291"/>
      <c r="T9" s="298"/>
      <c r="U9" s="441"/>
      <c r="V9" s="291">
        <v>2023</v>
      </c>
      <c r="W9" s="291"/>
      <c r="X9" s="298"/>
      <c r="Y9" s="441"/>
      <c r="Z9" s="291">
        <v>2024</v>
      </c>
      <c r="AA9" s="291"/>
      <c r="AB9" s="298"/>
      <c r="AC9" s="1298">
        <v>2025</v>
      </c>
      <c r="AD9" s="1299"/>
      <c r="AE9" s="1299"/>
      <c r="AF9" s="1373"/>
      <c r="AG9" s="1299">
        <v>2026</v>
      </c>
      <c r="AH9" s="1299"/>
      <c r="AI9" s="1299"/>
      <c r="AJ9" s="1373"/>
      <c r="AK9" s="1275">
        <v>2027</v>
      </c>
      <c r="AL9" s="1276"/>
      <c r="AM9" s="1276"/>
      <c r="AN9" s="1280"/>
    </row>
    <row r="10" spans="2:40" x14ac:dyDescent="0.25">
      <c r="B10" s="1273"/>
      <c r="C10" s="1274"/>
      <c r="D10" s="908" t="s">
        <v>281</v>
      </c>
      <c r="E10" s="275" t="s">
        <v>282</v>
      </c>
      <c r="F10" s="276" t="s">
        <v>283</v>
      </c>
      <c r="G10" s="276" t="s">
        <v>238</v>
      </c>
      <c r="H10" s="274" t="s">
        <v>281</v>
      </c>
      <c r="I10" s="275" t="s">
        <v>282</v>
      </c>
      <c r="J10" s="276" t="s">
        <v>283</v>
      </c>
      <c r="K10" s="276" t="s">
        <v>238</v>
      </c>
      <c r="L10" s="274" t="s">
        <v>281</v>
      </c>
      <c r="M10" s="275" t="s">
        <v>282</v>
      </c>
      <c r="N10" s="276" t="s">
        <v>283</v>
      </c>
      <c r="O10" s="276" t="s">
        <v>238</v>
      </c>
      <c r="P10" s="274" t="s">
        <v>281</v>
      </c>
      <c r="Q10" s="275" t="s">
        <v>282</v>
      </c>
      <c r="R10" s="276" t="s">
        <v>283</v>
      </c>
      <c r="S10" s="276" t="s">
        <v>238</v>
      </c>
      <c r="T10" s="274" t="s">
        <v>281</v>
      </c>
      <c r="U10" s="275" t="s">
        <v>282</v>
      </c>
      <c r="V10" s="276" t="s">
        <v>283</v>
      </c>
      <c r="W10" s="276" t="s">
        <v>238</v>
      </c>
      <c r="X10" s="274" t="s">
        <v>281</v>
      </c>
      <c r="Y10" s="275" t="s">
        <v>282</v>
      </c>
      <c r="Z10" s="281" t="s">
        <v>283</v>
      </c>
      <c r="AA10" s="276" t="s">
        <v>238</v>
      </c>
      <c r="AB10" s="274" t="s">
        <v>281</v>
      </c>
      <c r="AC10" s="288" t="s">
        <v>282</v>
      </c>
      <c r="AD10" s="262" t="s">
        <v>283</v>
      </c>
      <c r="AE10" s="262" t="s">
        <v>238</v>
      </c>
      <c r="AF10" s="427" t="s">
        <v>281</v>
      </c>
      <c r="AG10" s="262" t="s">
        <v>282</v>
      </c>
      <c r="AH10" s="260" t="s">
        <v>283</v>
      </c>
      <c r="AI10" s="262" t="s">
        <v>238</v>
      </c>
      <c r="AJ10" s="290" t="s">
        <v>281</v>
      </c>
      <c r="AK10" s="288" t="s">
        <v>282</v>
      </c>
      <c r="AL10" s="260" t="s">
        <v>283</v>
      </c>
      <c r="AM10" s="262" t="s">
        <v>238</v>
      </c>
      <c r="AN10" s="290" t="s">
        <v>281</v>
      </c>
    </row>
    <row r="11" spans="2:40" x14ac:dyDescent="0.25">
      <c r="B11" s="1382" t="s">
        <v>1723</v>
      </c>
      <c r="C11" s="1383"/>
      <c r="D11" s="1383"/>
      <c r="E11" s="1383"/>
      <c r="F11" s="1383"/>
      <c r="G11" s="1383"/>
      <c r="H11" s="1383"/>
      <c r="I11" s="1383"/>
      <c r="J11" s="1383"/>
      <c r="K11" s="1383"/>
      <c r="L11" s="1383"/>
      <c r="M11" s="1383"/>
      <c r="N11" s="1383"/>
      <c r="O11" s="1383"/>
      <c r="P11" s="1383"/>
      <c r="Q11" s="1383"/>
      <c r="R11" s="1383"/>
      <c r="S11" s="1383"/>
      <c r="T11" s="1383"/>
      <c r="U11" s="1383"/>
      <c r="V11" s="1383"/>
      <c r="W11" s="1383"/>
      <c r="X11" s="1383"/>
      <c r="Y11" s="1383"/>
      <c r="Z11" s="1383"/>
      <c r="AA11" s="1383"/>
      <c r="AB11" s="1383"/>
      <c r="AC11" s="1383"/>
      <c r="AD11" s="1383"/>
      <c r="AE11" s="1383"/>
      <c r="AF11" s="1383"/>
      <c r="AG11" s="1383"/>
      <c r="AH11" s="1383"/>
      <c r="AI11" s="1383"/>
      <c r="AJ11" s="1383"/>
      <c r="AK11" s="1383"/>
      <c r="AL11" s="1383"/>
      <c r="AM11" s="1383"/>
      <c r="AN11" s="1384"/>
    </row>
    <row r="12" spans="2:40" x14ac:dyDescent="0.25">
      <c r="B12" s="945" t="s">
        <v>1702</v>
      </c>
      <c r="C12" s="946"/>
      <c r="D12" s="940">
        <f t="shared" ref="D12:T12" si="0">D45</f>
        <v>1.5264497223703488E-2</v>
      </c>
      <c r="E12" s="940">
        <f t="shared" si="0"/>
        <v>8.1697245486058723E-3</v>
      </c>
      <c r="F12" s="940">
        <f t="shared" si="0"/>
        <v>2.2550676192391039E-2</v>
      </c>
      <c r="G12" s="940">
        <f t="shared" si="0"/>
        <v>9.6649063963889503E-3</v>
      </c>
      <c r="H12" s="940">
        <f t="shared" si="0"/>
        <v>1.5834666967584843E-2</v>
      </c>
      <c r="I12" s="940">
        <f t="shared" si="0"/>
        <v>1.239349514115573E-2</v>
      </c>
      <c r="J12" s="940">
        <f t="shared" si="0"/>
        <v>-1.5843080973497181E-2</v>
      </c>
      <c r="K12" s="940">
        <f t="shared" si="0"/>
        <v>3.2862675445769929E-2</v>
      </c>
      <c r="L12" s="940">
        <f t="shared" si="0"/>
        <v>1.9524743592179927E-2</v>
      </c>
      <c r="M12" s="940">
        <f t="shared" si="0"/>
        <v>4.5919222990944863E-2</v>
      </c>
      <c r="N12" s="940">
        <f t="shared" si="0"/>
        <v>6.3763215063124212E-2</v>
      </c>
      <c r="O12" s="940">
        <f t="shared" si="0"/>
        <v>5.6353404292981857E-2</v>
      </c>
      <c r="P12" s="940">
        <f t="shared" si="0"/>
        <v>6.7661635913466744E-2</v>
      </c>
      <c r="Q12" s="940">
        <f t="shared" si="0"/>
        <v>7.7270298955965933E-2</v>
      </c>
      <c r="R12" s="940">
        <f t="shared" si="0"/>
        <v>7.554614845470442E-2</v>
      </c>
      <c r="S12" s="940">
        <f t="shared" si="0"/>
        <v>4.7220953130670873E-2</v>
      </c>
      <c r="T12" s="961">
        <f t="shared" si="0"/>
        <v>4.0176508092810925E-2</v>
      </c>
      <c r="U12" s="940">
        <f t="shared" ref="U12:AF12" si="1">U45+U13</f>
        <v>3.9428535960380762E-2</v>
      </c>
      <c r="V12" s="940">
        <f t="shared" si="1"/>
        <v>2.9211734875661532E-2</v>
      </c>
      <c r="W12" s="940">
        <f t="shared" si="1"/>
        <v>2.6927277215065937E-2</v>
      </c>
      <c r="X12" s="940">
        <f t="shared" si="1"/>
        <v>1.6533593023621451E-2</v>
      </c>
      <c r="Y12" s="940">
        <f t="shared" si="1"/>
        <v>3.4247515494288061E-2</v>
      </c>
      <c r="Z12" s="940">
        <f t="shared" si="1"/>
        <v>2.5312909540798456E-2</v>
      </c>
      <c r="AA12" s="940">
        <f t="shared" si="1"/>
        <v>1.5403536594506217E-2</v>
      </c>
      <c r="AB12" s="940">
        <f>AB45+AB13</f>
        <v>2.3839052457011789E-2</v>
      </c>
      <c r="AC12" s="940">
        <f t="shared" si="1"/>
        <v>3.6016899213072717E-2</v>
      </c>
      <c r="AD12" s="940">
        <f t="shared" si="1"/>
        <v>2.7483635680919154E-2</v>
      </c>
      <c r="AE12" s="940">
        <f t="shared" si="1"/>
        <v>2.3874932014508632E-2</v>
      </c>
      <c r="AF12" s="940">
        <f t="shared" si="1"/>
        <v>2.2011392938697361E-2</v>
      </c>
      <c r="AG12" s="916">
        <f>AG45+AG13</f>
        <v>2.1469131944638509E-2</v>
      </c>
      <c r="AH12" s="916">
        <f>AH45+AH13</f>
        <v>2.037795778240481E-2</v>
      </c>
      <c r="AI12" s="940">
        <f t="shared" ref="AI12" si="2">AI45+AI13</f>
        <v>2.031319568771961E-2</v>
      </c>
      <c r="AJ12" s="940">
        <f>AJ45+AJ13</f>
        <v>2.0411174157790368E-2</v>
      </c>
      <c r="AK12" s="916">
        <f t="shared" ref="AK12:AN12" si="3">AK45+AK13</f>
        <v>2.0278651758323107E-2</v>
      </c>
      <c r="AL12" s="916">
        <f t="shared" si="3"/>
        <v>2.0181831515000193E-2</v>
      </c>
      <c r="AM12" s="916">
        <f t="shared" si="3"/>
        <v>2.008748904793789E-2</v>
      </c>
      <c r="AN12" s="916">
        <f t="shared" si="3"/>
        <v>2.0063466029726529E-2</v>
      </c>
    </row>
    <row r="13" spans="2:40" x14ac:dyDescent="0.25">
      <c r="B13" s="950" t="s">
        <v>1734</v>
      </c>
      <c r="C13" s="947"/>
      <c r="D13" s="948"/>
      <c r="E13" s="949"/>
      <c r="F13" s="949"/>
      <c r="G13" s="949"/>
      <c r="H13" s="949"/>
      <c r="I13" s="949"/>
      <c r="J13" s="949"/>
      <c r="K13" s="949"/>
      <c r="L13" s="949"/>
      <c r="M13" s="949"/>
      <c r="N13" s="949"/>
      <c r="O13" s="949"/>
      <c r="P13" s="949"/>
      <c r="Q13" s="949"/>
      <c r="R13" s="949"/>
      <c r="S13" s="949"/>
      <c r="T13" s="949"/>
      <c r="U13" s="949"/>
      <c r="V13" s="949"/>
      <c r="W13" s="949"/>
      <c r="X13" s="949"/>
      <c r="Y13" s="949"/>
      <c r="Z13" s="949"/>
      <c r="AA13" s="949"/>
      <c r="AB13" s="949"/>
      <c r="AC13" s="949"/>
      <c r="AD13" s="949"/>
      <c r="AE13" s="949"/>
      <c r="AF13" s="949"/>
      <c r="AG13" s="916"/>
      <c r="AH13" s="916"/>
      <c r="AI13" s="949"/>
      <c r="AJ13" s="916"/>
    </row>
    <row r="14" spans="2:40" x14ac:dyDescent="0.25">
      <c r="B14" s="739" t="s">
        <v>1703</v>
      </c>
      <c r="C14" s="946"/>
      <c r="D14" s="916">
        <f t="shared" ref="D14:S14" si="4">D48</f>
        <v>2.9477765289275926E-2</v>
      </c>
      <c r="E14" s="916">
        <f t="shared" si="4"/>
        <v>3.7241332054374521E-2</v>
      </c>
      <c r="F14" s="916">
        <f t="shared" si="4"/>
        <v>-2.6356011696502479E-2</v>
      </c>
      <c r="G14" s="916">
        <f t="shared" si="4"/>
        <v>3.7347692764231333E-3</v>
      </c>
      <c r="H14" s="916">
        <f t="shared" si="4"/>
        <v>1.463826004028701E-2</v>
      </c>
      <c r="I14" s="916">
        <f t="shared" si="4"/>
        <v>1.2149501243322813E-2</v>
      </c>
      <c r="J14" s="916">
        <f t="shared" si="4"/>
        <v>2.5590697877679869E-3</v>
      </c>
      <c r="K14" s="916">
        <f t="shared" si="4"/>
        <v>2.2030538597398897E-2</v>
      </c>
      <c r="L14" s="916">
        <f t="shared" si="4"/>
        <v>3.0184246589695318E-2</v>
      </c>
      <c r="M14" s="916">
        <f t="shared" si="4"/>
        <v>3.1074822316861761E-2</v>
      </c>
      <c r="N14" s="916">
        <f t="shared" si="4"/>
        <v>4.3814411385844076E-2</v>
      </c>
      <c r="O14" s="916">
        <f t="shared" si="4"/>
        <v>4.8079114499886888E-2</v>
      </c>
      <c r="P14" s="916">
        <f t="shared" si="4"/>
        <v>5.0423609727379137E-2</v>
      </c>
      <c r="Q14" s="916">
        <f t="shared" si="4"/>
        <v>6.5677487260019429E-2</v>
      </c>
      <c r="R14" s="916">
        <f t="shared" si="4"/>
        <v>7.488961890096113E-2</v>
      </c>
      <c r="S14" s="916">
        <f t="shared" si="4"/>
        <v>5.3316340788000627E-2</v>
      </c>
      <c r="T14" s="916">
        <f>T48</f>
        <v>4.1496756379381328E-2</v>
      </c>
      <c r="U14" s="916">
        <f>U48+U15</f>
        <v>4.2898407970302532E-2</v>
      </c>
      <c r="V14" s="916">
        <f t="shared" ref="V14:AF14" si="5">V48+V15</f>
        <v>3.5017736429978852E-2</v>
      </c>
      <c r="W14" s="916">
        <f t="shared" si="5"/>
        <v>3.8113924198168725E-2</v>
      </c>
      <c r="X14" s="916">
        <f t="shared" si="5"/>
        <v>3.8299248311242984E-2</v>
      </c>
      <c r="Y14" s="916">
        <f t="shared" si="5"/>
        <v>3.5508670157945676E-2</v>
      </c>
      <c r="Z14" s="916">
        <f t="shared" si="5"/>
        <v>2.8203399736230539E-2</v>
      </c>
      <c r="AA14" s="916">
        <f t="shared" si="5"/>
        <v>2.4481644318991469E-2</v>
      </c>
      <c r="AB14" s="916">
        <f t="shared" si="5"/>
        <v>2.665590972416565E-2</v>
      </c>
      <c r="AC14" s="916">
        <f t="shared" si="5"/>
        <v>5.4576365396832749E-2</v>
      </c>
      <c r="AD14" s="916">
        <f t="shared" si="5"/>
        <v>1.5299895562953081E-2</v>
      </c>
      <c r="AE14" s="916">
        <f>AE48+AE15</f>
        <v>1.4729668703095777E-2</v>
      </c>
      <c r="AF14" s="916">
        <f t="shared" si="5"/>
        <v>1.5119603614899724E-2</v>
      </c>
      <c r="AG14" s="909">
        <f t="shared" ref="AG14:AH14" si="6">AG48+AG15</f>
        <v>2.1515602617293128E-2</v>
      </c>
      <c r="AH14" s="909">
        <f t="shared" si="6"/>
        <v>2.2790850007197161E-2</v>
      </c>
      <c r="AI14" s="916">
        <f t="shared" ref="AI14:AN14" si="7">AI48+AI15</f>
        <v>2.3263295207157642E-2</v>
      </c>
      <c r="AJ14" s="909">
        <f t="shared" si="7"/>
        <v>2.3889685874715294E-2</v>
      </c>
      <c r="AK14" s="909">
        <f t="shared" si="7"/>
        <v>2.2412555601408091E-2</v>
      </c>
      <c r="AL14" s="909">
        <f t="shared" si="7"/>
        <v>2.2147320108405477E-2</v>
      </c>
      <c r="AM14" s="909">
        <f t="shared" si="7"/>
        <v>2.2772302614111117E-2</v>
      </c>
      <c r="AN14" s="909">
        <f t="shared" si="7"/>
        <v>2.3247045836330082E-2</v>
      </c>
    </row>
    <row r="15" spans="2:40" x14ac:dyDescent="0.25">
      <c r="B15" s="333" t="s">
        <v>1735</v>
      </c>
      <c r="C15" s="947"/>
      <c r="D15" s="948"/>
      <c r="E15" s="949"/>
      <c r="F15" s="949"/>
      <c r="G15" s="949"/>
      <c r="H15" s="949"/>
      <c r="I15" s="949"/>
      <c r="J15" s="949"/>
      <c r="K15" s="949"/>
      <c r="L15" s="949"/>
      <c r="M15" s="949"/>
      <c r="N15" s="949"/>
      <c r="O15" s="949"/>
      <c r="P15" s="949"/>
      <c r="Q15" s="949"/>
      <c r="R15" s="949"/>
      <c r="S15" s="949"/>
      <c r="T15" s="949"/>
      <c r="U15" s="949"/>
      <c r="V15" s="949"/>
      <c r="W15" s="949"/>
      <c r="X15" s="949"/>
      <c r="Y15" s="949"/>
      <c r="Z15" s="949"/>
      <c r="AA15" s="949"/>
      <c r="AB15" s="949"/>
      <c r="AC15" s="949"/>
      <c r="AD15" s="949"/>
      <c r="AE15" s="949"/>
      <c r="AF15" s="949"/>
      <c r="AG15" s="916"/>
      <c r="AH15" s="916"/>
      <c r="AI15" s="916"/>
      <c r="AJ15" s="916"/>
    </row>
    <row r="16" spans="2:40" x14ac:dyDescent="0.25">
      <c r="B16" s="739" t="s">
        <v>1704</v>
      </c>
      <c r="C16" s="946"/>
      <c r="D16" s="916">
        <f t="shared" ref="D16:T16" si="8">D49</f>
        <v>1.7606158659444704E-2</v>
      </c>
      <c r="E16" s="916">
        <f t="shared" si="8"/>
        <v>-1.9289094877951052E-2</v>
      </c>
      <c r="F16" s="916">
        <f t="shared" si="8"/>
        <v>3.0411677963670725E-2</v>
      </c>
      <c r="G16" s="916">
        <f t="shared" si="8"/>
        <v>1.5793384791695786E-2</v>
      </c>
      <c r="H16" s="916">
        <f t="shared" si="8"/>
        <v>2.3589262537388134E-2</v>
      </c>
      <c r="I16" s="916">
        <f t="shared" si="8"/>
        <v>5.264893740513088E-2</v>
      </c>
      <c r="J16" s="916">
        <f t="shared" si="8"/>
        <v>-5.217742186237273E-3</v>
      </c>
      <c r="K16" s="916">
        <f t="shared" si="8"/>
        <v>4.8875550231923137E-2</v>
      </c>
      <c r="L16" s="916">
        <f t="shared" si="8"/>
        <v>4.9958958569866319E-2</v>
      </c>
      <c r="M16" s="916">
        <f t="shared" si="8"/>
        <v>9.1754054615137415E-2</v>
      </c>
      <c r="N16" s="916">
        <f t="shared" si="8"/>
        <v>8.1251965588764241E-2</v>
      </c>
      <c r="O16" s="916">
        <f t="shared" si="8"/>
        <v>6.5854996027893797E-2</v>
      </c>
      <c r="P16" s="916">
        <f t="shared" si="8"/>
        <v>8.1420811365759738E-2</v>
      </c>
      <c r="Q16" s="916">
        <f t="shared" si="8"/>
        <v>9.5809760841454095E-2</v>
      </c>
      <c r="R16" s="916">
        <f t="shared" si="8"/>
        <v>0.14288883985037359</v>
      </c>
      <c r="S16" s="916">
        <f t="shared" si="8"/>
        <v>5.753757100426693E-3</v>
      </c>
      <c r="T16" s="916">
        <f t="shared" si="8"/>
        <v>1.1355976812321922E-2</v>
      </c>
      <c r="U16" s="934">
        <f>U49+U17</f>
        <v>-2.087064600501487E-2</v>
      </c>
      <c r="V16" s="916">
        <f t="shared" ref="V16:AF16" si="9">V49+V17</f>
        <v>-3.6759658065968148E-2</v>
      </c>
      <c r="W16" s="916">
        <f t="shared" si="9"/>
        <v>4.0372871979416969E-2</v>
      </c>
      <c r="X16" s="916">
        <f t="shared" si="9"/>
        <v>-1.1102871005200798E-3</v>
      </c>
      <c r="Y16" s="916">
        <f t="shared" si="9"/>
        <v>3.8608393322818291E-2</v>
      </c>
      <c r="Z16" s="916">
        <f t="shared" si="9"/>
        <v>1.6292943839810503E-2</v>
      </c>
      <c r="AA16" s="916">
        <f t="shared" si="9"/>
        <v>2.3887845221117976E-2</v>
      </c>
      <c r="AB16" s="916">
        <f t="shared" si="9"/>
        <v>1.7801857364531548E-2</v>
      </c>
      <c r="AC16" s="916">
        <f t="shared" si="9"/>
        <v>4.3275185098242019E-2</v>
      </c>
      <c r="AD16" s="916">
        <f t="shared" si="9"/>
        <v>2.8606309371189242E-2</v>
      </c>
      <c r="AE16" s="916">
        <f t="shared" si="9"/>
        <v>3.1343868352262882E-2</v>
      </c>
      <c r="AF16" s="916">
        <f t="shared" si="9"/>
        <v>3.2394354805230341E-2</v>
      </c>
      <c r="AG16" s="909">
        <f t="shared" ref="AG16:AH16" si="10">AG49+AG17</f>
        <v>3.3164637629816696E-2</v>
      </c>
      <c r="AH16" s="909">
        <f t="shared" si="10"/>
        <v>3.1425713898589613E-2</v>
      </c>
      <c r="AI16" s="909">
        <f t="shared" ref="AI16:AM16" si="11">AI49+AI17</f>
        <v>3.1013053419121528E-2</v>
      </c>
      <c r="AJ16" s="909">
        <f t="shared" si="11"/>
        <v>3.1015398756455648E-2</v>
      </c>
      <c r="AK16" s="909">
        <f t="shared" si="11"/>
        <v>3.0542269425562596E-2</v>
      </c>
      <c r="AL16" s="909">
        <f t="shared" si="11"/>
        <v>3.0334679878840642E-2</v>
      </c>
      <c r="AM16" s="909">
        <f t="shared" si="11"/>
        <v>2.9994558057691467E-2</v>
      </c>
      <c r="AN16" s="909">
        <f>AN49+AN17</f>
        <v>2.9803649988641601E-2</v>
      </c>
    </row>
    <row r="17" spans="2:40" x14ac:dyDescent="0.25">
      <c r="B17" s="333" t="s">
        <v>1736</v>
      </c>
      <c r="C17" s="947"/>
      <c r="D17" s="948"/>
      <c r="E17" s="949"/>
      <c r="F17" s="949"/>
      <c r="G17" s="949"/>
      <c r="H17" s="949"/>
      <c r="I17" s="949"/>
      <c r="J17" s="949"/>
      <c r="K17" s="949"/>
      <c r="L17" s="949"/>
      <c r="M17" s="949"/>
      <c r="N17" s="949"/>
      <c r="O17" s="949"/>
      <c r="P17" s="949"/>
      <c r="Q17" s="949"/>
      <c r="R17" s="949"/>
      <c r="S17" s="949"/>
      <c r="T17" s="949"/>
      <c r="U17" s="949"/>
      <c r="V17" s="949"/>
      <c r="W17" s="949"/>
      <c r="X17" s="949"/>
      <c r="Y17" s="949"/>
      <c r="Z17" s="949"/>
      <c r="AA17" s="949"/>
      <c r="AB17" s="949"/>
      <c r="AC17" s="949"/>
      <c r="AD17" s="949"/>
      <c r="AE17" s="949"/>
      <c r="AF17" s="949"/>
      <c r="AG17" s="916"/>
      <c r="AH17" s="916"/>
      <c r="AI17" s="916"/>
      <c r="AJ17" s="949"/>
    </row>
    <row r="18" spans="2:40" x14ac:dyDescent="0.25">
      <c r="B18" s="739" t="s">
        <v>1705</v>
      </c>
      <c r="C18" s="946"/>
      <c r="D18" s="916">
        <f t="shared" ref="D18:T18" si="12">D51</f>
        <v>1.2331231439726587E-2</v>
      </c>
      <c r="E18" s="916">
        <f t="shared" si="12"/>
        <v>-2.700843667145636E-2</v>
      </c>
      <c r="F18" s="916">
        <f t="shared" si="12"/>
        <v>2.7562863533678428E-2</v>
      </c>
      <c r="G18" s="916">
        <f t="shared" si="12"/>
        <v>1.5442696812244527E-2</v>
      </c>
      <c r="H18" s="916">
        <f t="shared" si="12"/>
        <v>2.7307145143274258E-2</v>
      </c>
      <c r="I18" s="916">
        <f t="shared" si="12"/>
        <v>6.2563226282339235E-2</v>
      </c>
      <c r="J18" s="916">
        <f t="shared" si="12"/>
        <v>-3.1076845521187391E-3</v>
      </c>
      <c r="K18" s="916">
        <f t="shared" si="12"/>
        <v>5.0835204325521355E-2</v>
      </c>
      <c r="L18" s="916">
        <f t="shared" si="12"/>
        <v>5.6516511024412575E-2</v>
      </c>
      <c r="M18" s="916">
        <f t="shared" si="12"/>
        <v>9.8643019696944334E-2</v>
      </c>
      <c r="N18" s="916">
        <f t="shared" si="12"/>
        <v>7.7982454628441111E-2</v>
      </c>
      <c r="O18" s="916">
        <f t="shared" si="12"/>
        <v>6.0955299775054206E-2</v>
      </c>
      <c r="P18" s="916">
        <f t="shared" si="12"/>
        <v>7.2782919540383961E-2</v>
      </c>
      <c r="Q18" s="916">
        <f t="shared" si="12"/>
        <v>9.0061872181369962E-2</v>
      </c>
      <c r="R18" s="916">
        <f t="shared" si="12"/>
        <v>0.1436965164831121</v>
      </c>
      <c r="S18" s="916">
        <f t="shared" si="12"/>
        <v>-1.1746560973159292E-2</v>
      </c>
      <c r="T18" s="916">
        <f t="shared" si="12"/>
        <v>2.1967430570584145E-3</v>
      </c>
      <c r="U18" s="934">
        <f>U51+U19</f>
        <v>-3.5599925493891349E-2</v>
      </c>
      <c r="V18" s="916">
        <f t="shared" ref="V18:AF18" si="13">V51+V19</f>
        <v>-4.5280831786954745E-2</v>
      </c>
      <c r="W18" s="916">
        <f t="shared" si="13"/>
        <v>4.8134298648978557E-2</v>
      </c>
      <c r="X18" s="916">
        <f t="shared" si="13"/>
        <v>-4.2594526301267255E-3</v>
      </c>
      <c r="Y18" s="916">
        <f t="shared" si="13"/>
        <v>4.217111451589628E-2</v>
      </c>
      <c r="Z18" s="916">
        <f t="shared" si="13"/>
        <v>1.9463682308167529E-2</v>
      </c>
      <c r="AA18" s="916">
        <f t="shared" si="13"/>
        <v>2.1874539845902152E-2</v>
      </c>
      <c r="AB18" s="916">
        <f t="shared" si="13"/>
        <v>1.9072730382637015E-2</v>
      </c>
      <c r="AC18" s="916">
        <f t="shared" si="13"/>
        <v>4.779852512065097E-2</v>
      </c>
      <c r="AD18" s="916">
        <f t="shared" si="13"/>
        <v>2.8606309371189242E-2</v>
      </c>
      <c r="AE18" s="916">
        <f t="shared" si="13"/>
        <v>3.1343868352262882E-2</v>
      </c>
      <c r="AF18" s="916">
        <f t="shared" si="13"/>
        <v>3.2394354805230341E-2</v>
      </c>
      <c r="AG18" s="909">
        <f t="shared" ref="AG18:AH18" si="14">AG51+AG19</f>
        <v>3.3164637629816696E-2</v>
      </c>
      <c r="AH18" s="909">
        <f t="shared" si="14"/>
        <v>3.1425713898589613E-2</v>
      </c>
      <c r="AI18" s="909">
        <f t="shared" ref="AI18:AN18" si="15">AI51+AI19</f>
        <v>3.1013053419121528E-2</v>
      </c>
      <c r="AJ18" s="909">
        <f t="shared" si="15"/>
        <v>3.1015398756455648E-2</v>
      </c>
      <c r="AK18" s="909">
        <f t="shared" si="15"/>
        <v>3.0542269425562596E-2</v>
      </c>
      <c r="AL18" s="909">
        <f t="shared" si="15"/>
        <v>3.0334679878840642E-2</v>
      </c>
      <c r="AM18" s="909">
        <f t="shared" si="15"/>
        <v>2.9994558057691467E-2</v>
      </c>
      <c r="AN18" s="909">
        <f t="shared" si="15"/>
        <v>2.9803649988641601E-2</v>
      </c>
    </row>
    <row r="19" spans="2:40" x14ac:dyDescent="0.25">
      <c r="B19" s="333" t="s">
        <v>1737</v>
      </c>
      <c r="C19" s="947"/>
      <c r="D19" s="948"/>
      <c r="E19" s="949"/>
      <c r="F19" s="949"/>
      <c r="G19" s="949"/>
      <c r="H19" s="949"/>
      <c r="I19" s="949"/>
      <c r="J19" s="949"/>
      <c r="K19" s="949"/>
      <c r="L19" s="949"/>
      <c r="M19" s="949"/>
      <c r="N19" s="949"/>
      <c r="O19" s="949"/>
      <c r="P19" s="949"/>
      <c r="Q19" s="949"/>
      <c r="R19" s="949"/>
      <c r="S19" s="949"/>
      <c r="T19" s="949"/>
      <c r="U19" s="949"/>
      <c r="V19" s="949"/>
      <c r="W19" s="949"/>
      <c r="X19" s="949"/>
      <c r="Y19" s="949"/>
      <c r="Z19" s="949"/>
      <c r="AA19" s="949"/>
      <c r="AB19" s="949"/>
      <c r="AC19" s="949"/>
      <c r="AD19" s="949"/>
      <c r="AE19" s="949"/>
      <c r="AF19" s="949"/>
      <c r="AG19" s="916"/>
      <c r="AH19" s="916"/>
      <c r="AI19" s="916"/>
      <c r="AJ19" s="916"/>
    </row>
    <row r="20" spans="2:40" x14ac:dyDescent="0.25">
      <c r="B20" s="739" t="s">
        <v>1706</v>
      </c>
      <c r="C20" s="946"/>
      <c r="D20" s="916">
        <f t="shared" ref="D20:T20" si="16">D52</f>
        <v>4.0962242441666019E-2</v>
      </c>
      <c r="E20" s="916">
        <f t="shared" si="16"/>
        <v>1.51792670994777E-2</v>
      </c>
      <c r="F20" s="916">
        <f t="shared" si="16"/>
        <v>4.2702169718882965E-2</v>
      </c>
      <c r="G20" s="916">
        <f t="shared" si="16"/>
        <v>1.755007684826615E-2</v>
      </c>
      <c r="H20" s="916">
        <f t="shared" si="16"/>
        <v>7.6166905113348449E-3</v>
      </c>
      <c r="I20" s="916">
        <f t="shared" si="16"/>
        <v>1.0120807804920418E-2</v>
      </c>
      <c r="J20" s="916">
        <f t="shared" si="16"/>
        <v>-1.4337681566159555E-2</v>
      </c>
      <c r="K20" s="916">
        <f t="shared" si="16"/>
        <v>3.9796166071044636E-2</v>
      </c>
      <c r="L20" s="916">
        <f t="shared" si="16"/>
        <v>2.0329576447674524E-2</v>
      </c>
      <c r="M20" s="916">
        <f t="shared" si="16"/>
        <v>5.9674403216350091E-2</v>
      </c>
      <c r="N20" s="916">
        <f t="shared" si="16"/>
        <v>9.5803328528480503E-2</v>
      </c>
      <c r="O20" s="916">
        <f t="shared" si="16"/>
        <v>8.9244367976453631E-2</v>
      </c>
      <c r="P20" s="916">
        <f t="shared" si="16"/>
        <v>0.12456668920888303</v>
      </c>
      <c r="Q20" s="916">
        <f t="shared" si="16"/>
        <v>0.12433979312392585</v>
      </c>
      <c r="R20" s="916">
        <f t="shared" si="16"/>
        <v>0.13846732874655276</v>
      </c>
      <c r="S20" s="916">
        <f t="shared" si="16"/>
        <v>9.552027198699542E-2</v>
      </c>
      <c r="T20" s="916">
        <f t="shared" si="16"/>
        <v>5.5161829119105388E-2</v>
      </c>
      <c r="U20" s="916">
        <f>U52+U21</f>
        <v>5.0122233379745529E-2</v>
      </c>
      <c r="V20" s="916">
        <f t="shared" ref="V20:AF20" si="17">V52+V21</f>
        <v>2.1164173736800684E-3</v>
      </c>
      <c r="W20" s="916">
        <f t="shared" si="17"/>
        <v>5.8706332638096548E-3</v>
      </c>
      <c r="X20" s="916">
        <f t="shared" si="17"/>
        <v>1.2084409350409553E-2</v>
      </c>
      <c r="Y20" s="916">
        <f t="shared" si="17"/>
        <v>2.380676700323181E-2</v>
      </c>
      <c r="Z20" s="916">
        <f t="shared" si="17"/>
        <v>3.3212249496941126E-3</v>
      </c>
      <c r="AA20" s="916">
        <f t="shared" si="17"/>
        <v>3.2150473499066079E-2</v>
      </c>
      <c r="AB20" s="916">
        <f t="shared" si="17"/>
        <v>1.2769263183438628E-2</v>
      </c>
      <c r="AC20" s="916">
        <f t="shared" si="17"/>
        <v>2.4705923786078277E-2</v>
      </c>
      <c r="AD20" s="916">
        <f t="shared" si="17"/>
        <v>2.8606309371189242E-2</v>
      </c>
      <c r="AE20" s="916">
        <f t="shared" si="17"/>
        <v>3.1343868352262882E-2</v>
      </c>
      <c r="AF20" s="916">
        <f t="shared" si="17"/>
        <v>3.2394354805230341E-2</v>
      </c>
      <c r="AG20" s="909">
        <f t="shared" ref="AG20:AH20" si="18">AG52+AG21</f>
        <v>3.3164637629816696E-2</v>
      </c>
      <c r="AH20" s="909">
        <f t="shared" si="18"/>
        <v>3.1425713898589613E-2</v>
      </c>
      <c r="AI20" s="909">
        <f t="shared" ref="AI20:AN20" si="19">AI52+AI21</f>
        <v>3.1013053419121528E-2</v>
      </c>
      <c r="AJ20" s="909">
        <f t="shared" si="19"/>
        <v>3.1015398756455648E-2</v>
      </c>
      <c r="AK20" s="909">
        <f t="shared" si="19"/>
        <v>3.0542269425562596E-2</v>
      </c>
      <c r="AL20" s="909">
        <f t="shared" si="19"/>
        <v>3.0334679878840642E-2</v>
      </c>
      <c r="AM20" s="909">
        <f t="shared" si="19"/>
        <v>2.9994558057691467E-2</v>
      </c>
      <c r="AN20" s="909">
        <f t="shared" si="19"/>
        <v>2.9803649988641601E-2</v>
      </c>
    </row>
    <row r="21" spans="2:40" x14ac:dyDescent="0.25">
      <c r="B21" s="333" t="s">
        <v>1738</v>
      </c>
      <c r="C21" s="947"/>
      <c r="D21" s="920"/>
      <c r="E21" s="920"/>
      <c r="F21" s="920"/>
      <c r="G21" s="920"/>
      <c r="H21" s="920"/>
      <c r="I21" s="920"/>
      <c r="J21" s="920"/>
      <c r="K21" s="920"/>
      <c r="L21" s="920"/>
      <c r="M21" s="920"/>
      <c r="N21" s="920"/>
      <c r="O21" s="920"/>
      <c r="P21" s="920"/>
      <c r="Q21" s="920"/>
      <c r="R21" s="920"/>
      <c r="S21" s="920"/>
      <c r="T21" s="920"/>
      <c r="U21" s="920"/>
      <c r="V21" s="920"/>
      <c r="W21" s="920"/>
      <c r="X21" s="920"/>
      <c r="Y21" s="920"/>
      <c r="Z21" s="920"/>
      <c r="AA21" s="920"/>
      <c r="AB21" s="920"/>
      <c r="AC21" s="920"/>
      <c r="AD21" s="920"/>
      <c r="AE21" s="920"/>
      <c r="AF21" s="920"/>
      <c r="AG21" s="35"/>
      <c r="AH21" s="35"/>
      <c r="AI21" s="35"/>
      <c r="AJ21" s="35"/>
      <c r="AK21" s="35"/>
      <c r="AL21" s="35"/>
      <c r="AM21" s="35"/>
      <c r="AN21" s="35"/>
    </row>
    <row r="22" spans="2:40" x14ac:dyDescent="0.25">
      <c r="B22" s="1379" t="s">
        <v>1727</v>
      </c>
      <c r="C22" s="1380"/>
      <c r="D22" s="1380"/>
      <c r="E22" s="1380"/>
      <c r="F22" s="1380"/>
      <c r="G22" s="1380"/>
      <c r="H22" s="1380"/>
      <c r="I22" s="1380"/>
      <c r="J22" s="1380"/>
      <c r="K22" s="1380"/>
      <c r="L22" s="1380"/>
      <c r="M22" s="1380"/>
      <c r="N22" s="1380"/>
      <c r="O22" s="1380"/>
      <c r="P22" s="1380"/>
      <c r="Q22" s="1380"/>
      <c r="R22" s="1380"/>
      <c r="S22" s="1380"/>
      <c r="T22" s="1380"/>
      <c r="U22" s="1380"/>
      <c r="V22" s="1380"/>
      <c r="W22" s="1380"/>
      <c r="X22" s="1380"/>
      <c r="Y22" s="1380"/>
      <c r="Z22" s="1380"/>
      <c r="AA22" s="1380"/>
      <c r="AB22" s="1380"/>
      <c r="AC22" s="1380"/>
      <c r="AD22" s="1380"/>
      <c r="AE22" s="1380"/>
      <c r="AF22" s="1380"/>
      <c r="AG22" s="1380"/>
      <c r="AH22" s="1380"/>
      <c r="AI22" s="1380"/>
      <c r="AJ22" s="1380"/>
      <c r="AK22" s="1380"/>
      <c r="AL22" s="1380"/>
      <c r="AM22" s="1380"/>
      <c r="AN22" s="1381"/>
    </row>
    <row r="23" spans="2:40" x14ac:dyDescent="0.25">
      <c r="B23" s="933" t="s">
        <v>1702</v>
      </c>
      <c r="C23" s="941"/>
      <c r="D23" s="931">
        <f t="shared" ref="D23:AF23" si="20">(D12+1)^0.25-1</f>
        <v>3.7944725878693575E-3</v>
      </c>
      <c r="E23" s="931">
        <f t="shared" si="20"/>
        <v>2.0362035034391379E-3</v>
      </c>
      <c r="F23" s="931">
        <f t="shared" si="20"/>
        <v>5.590611661529854E-3</v>
      </c>
      <c r="G23" s="931">
        <f t="shared" si="20"/>
        <v>2.407518418966248E-3</v>
      </c>
      <c r="H23" s="931">
        <f t="shared" si="20"/>
        <v>3.9353749698576301E-3</v>
      </c>
      <c r="I23" s="931">
        <f t="shared" si="20"/>
        <v>3.0840771307514281E-3</v>
      </c>
      <c r="J23" s="931">
        <f t="shared" si="20"/>
        <v>-3.9845216658365157E-3</v>
      </c>
      <c r="K23" s="931">
        <f t="shared" si="20"/>
        <v>8.1163211139745339E-3</v>
      </c>
      <c r="L23" s="931">
        <f t="shared" si="20"/>
        <v>4.8458485958486897E-3</v>
      </c>
      <c r="M23" s="931">
        <f t="shared" si="20"/>
        <v>1.128726029998095E-2</v>
      </c>
      <c r="N23" s="931">
        <f t="shared" si="20"/>
        <v>1.5573224192473534E-2</v>
      </c>
      <c r="O23" s="931">
        <f t="shared" si="20"/>
        <v>1.3800051761748033E-2</v>
      </c>
      <c r="P23" s="931">
        <f t="shared" si="20"/>
        <v>1.6502402421568085E-2</v>
      </c>
      <c r="Q23" s="931">
        <f t="shared" si="20"/>
        <v>1.8781785076822377E-2</v>
      </c>
      <c r="R23" s="931">
        <f t="shared" si="20"/>
        <v>1.8373905005062419E-2</v>
      </c>
      <c r="S23" s="932">
        <f t="shared" si="20"/>
        <v>1.1601770523549382E-2</v>
      </c>
      <c r="T23" s="931">
        <f t="shared" si="20"/>
        <v>9.8962517305620779E-3</v>
      </c>
      <c r="U23" s="931">
        <f t="shared" si="20"/>
        <v>9.7146532173442157E-3</v>
      </c>
      <c r="V23" s="931">
        <f t="shared" si="20"/>
        <v>7.2242708682535017E-3</v>
      </c>
      <c r="W23" s="931">
        <f t="shared" si="20"/>
        <v>6.6648915811020615E-3</v>
      </c>
      <c r="X23" s="931">
        <f t="shared" si="20"/>
        <v>4.1080151756858196E-3</v>
      </c>
      <c r="Y23" s="931">
        <f t="shared" si="20"/>
        <v>8.4540665130061754E-3</v>
      </c>
      <c r="Z23" s="931">
        <f t="shared" si="20"/>
        <v>6.269029524843539E-3</v>
      </c>
      <c r="AA23" s="931">
        <f t="shared" si="20"/>
        <v>3.8288379639017656E-3</v>
      </c>
      <c r="AB23" s="931">
        <f t="shared" si="20"/>
        <v>5.9072139122564593E-3</v>
      </c>
      <c r="AC23" s="931">
        <f t="shared" si="20"/>
        <v>8.885104195118787E-3</v>
      </c>
      <c r="AD23" s="931">
        <f>(AD12+1)^0.25-1</f>
        <v>6.8012091173692557E-3</v>
      </c>
      <c r="AE23" s="931">
        <f t="shared" si="20"/>
        <v>5.9160265843611892E-3</v>
      </c>
      <c r="AF23" s="932">
        <f t="shared" si="20"/>
        <v>5.4580007617439641E-3</v>
      </c>
      <c r="AG23" s="932">
        <f t="shared" ref="AG23" si="21">(AG12+1)^0.25-1</f>
        <v>5.3246047022768028E-3</v>
      </c>
      <c r="AH23" s="932">
        <f>(AH12+1)^0.25-1</f>
        <v>5.0560151008076648E-3</v>
      </c>
      <c r="AI23" s="932">
        <f>(AI12+1)^0.25-1</f>
        <v>5.0400673136283825E-3</v>
      </c>
      <c r="AJ23" s="932">
        <f>(AJ12+1)^0.25-1</f>
        <v>5.0641944009628403E-3</v>
      </c>
      <c r="AK23" s="932">
        <f>(AK12+1)^0.25-1</f>
        <v>5.0315604958042215E-3</v>
      </c>
      <c r="AL23" s="932">
        <f t="shared" ref="AL23:AN23" si="22">(AL12+1)^0.25-1</f>
        <v>5.0077163079846887E-3</v>
      </c>
      <c r="AM23" s="932">
        <f t="shared" si="22"/>
        <v>4.9844806962866528E-3</v>
      </c>
      <c r="AN23" s="932">
        <f t="shared" si="22"/>
        <v>4.9785638082857631E-3</v>
      </c>
    </row>
    <row r="24" spans="2:40" x14ac:dyDescent="0.25">
      <c r="B24" s="917" t="s">
        <v>1703</v>
      </c>
      <c r="C24" s="941"/>
      <c r="D24" s="931">
        <f t="shared" ref="D24:AF24" si="23">(D14+1)^0.25-1</f>
        <v>7.2893513350869021E-3</v>
      </c>
      <c r="E24" s="931">
        <f t="shared" si="23"/>
        <v>9.183063847828965E-3</v>
      </c>
      <c r="F24" s="931">
        <f t="shared" si="23"/>
        <v>-6.6551450859820838E-3</v>
      </c>
      <c r="G24" s="931">
        <f t="shared" si="23"/>
        <v>9.3238748870549948E-4</v>
      </c>
      <c r="H24" s="931">
        <f t="shared" si="23"/>
        <v>3.6396462148640119E-3</v>
      </c>
      <c r="I24" s="931">
        <f t="shared" si="23"/>
        <v>3.0236341019997948E-3</v>
      </c>
      <c r="J24" s="931">
        <f t="shared" si="23"/>
        <v>6.3915440825756953E-4</v>
      </c>
      <c r="K24" s="931">
        <f t="shared" si="23"/>
        <v>5.4627096183730295E-3</v>
      </c>
      <c r="L24" s="931">
        <f t="shared" si="23"/>
        <v>7.4621204938085661E-3</v>
      </c>
      <c r="M24" s="931">
        <f t="shared" si="23"/>
        <v>7.6797831590638133E-3</v>
      </c>
      <c r="N24" s="931">
        <f t="shared" si="23"/>
        <v>1.0778096367762835E-2</v>
      </c>
      <c r="O24" s="931">
        <f t="shared" si="23"/>
        <v>1.1808950038346699E-2</v>
      </c>
      <c r="P24" s="931">
        <f t="shared" si="23"/>
        <v>1.2374316216290149E-2</v>
      </c>
      <c r="Q24" s="931">
        <f t="shared" si="23"/>
        <v>1.602980443097346E-2</v>
      </c>
      <c r="R24" s="931">
        <f t="shared" si="23"/>
        <v>1.8218461729688551E-2</v>
      </c>
      <c r="S24" s="932">
        <f t="shared" si="23"/>
        <v>1.3070584644896854E-2</v>
      </c>
      <c r="T24" s="931">
        <f t="shared" si="23"/>
        <v>1.0216553053776778E-2</v>
      </c>
      <c r="U24" s="931">
        <f t="shared" si="23"/>
        <v>1.0556270288231362E-2</v>
      </c>
      <c r="V24" s="931">
        <f t="shared" si="23"/>
        <v>8.6417671359919623E-3</v>
      </c>
      <c r="W24" s="931">
        <f t="shared" si="23"/>
        <v>9.3952438667612714E-3</v>
      </c>
      <c r="X24" s="931">
        <f t="shared" si="23"/>
        <v>9.4402901647081539E-3</v>
      </c>
      <c r="Y24" s="931">
        <f t="shared" si="23"/>
        <v>8.7613516107596379E-3</v>
      </c>
      <c r="Z24" s="931">
        <f t="shared" si="23"/>
        <v>6.977481763400073E-3</v>
      </c>
      <c r="AA24" s="931">
        <f t="shared" si="23"/>
        <v>6.0650111043811794E-3</v>
      </c>
      <c r="AB24" s="931">
        <f t="shared" si="23"/>
        <v>6.5983817107628795E-3</v>
      </c>
      <c r="AC24" s="931">
        <f t="shared" si="23"/>
        <v>1.3373419033796408E-2</v>
      </c>
      <c r="AD24" s="931">
        <f t="shared" si="23"/>
        <v>3.8032220794554927E-3</v>
      </c>
      <c r="AE24" s="931">
        <f t="shared" si="23"/>
        <v>3.6622499009297815E-3</v>
      </c>
      <c r="AF24" s="932">
        <f t="shared" si="23"/>
        <v>3.7586565053258081E-3</v>
      </c>
      <c r="AG24" s="932">
        <f t="shared" ref="AG24" si="24">(AG14+1)^0.25-1</f>
        <v>5.3360385557714718E-3</v>
      </c>
      <c r="AH24" s="932">
        <f>(AH14+1)^0.25-1</f>
        <v>5.6496540320822852E-3</v>
      </c>
      <c r="AI24" s="932">
        <f>(AI14+1)^0.25-1</f>
        <v>5.7657657657657069E-3</v>
      </c>
      <c r="AJ24" s="932">
        <f>(AJ14+1)^0.25-1</f>
        <v>5.9196503336531592E-3</v>
      </c>
      <c r="AK24" s="932">
        <f t="shared" ref="AK24:AN24" si="25">(AK14+1)^0.25-1</f>
        <v>5.5566525119521426E-3</v>
      </c>
      <c r="AL24" s="932">
        <f t="shared" si="25"/>
        <v>5.4914304880231413E-3</v>
      </c>
      <c r="AM24" s="932">
        <f t="shared" si="25"/>
        <v>5.6450948628539166E-3</v>
      </c>
      <c r="AN24" s="932">
        <f t="shared" si="25"/>
        <v>5.7617728642578303E-3</v>
      </c>
    </row>
    <row r="25" spans="2:40" x14ac:dyDescent="0.25">
      <c r="B25" s="917" t="s">
        <v>1704</v>
      </c>
      <c r="C25" s="941"/>
      <c r="D25" s="931">
        <f t="shared" ref="D25:AF25" si="26">(D16+1)^0.25-1</f>
        <v>4.372774229274734E-3</v>
      </c>
      <c r="E25" s="931">
        <f t="shared" si="26"/>
        <v>-4.8575529720429333E-3</v>
      </c>
      <c r="F25" s="931">
        <f t="shared" si="26"/>
        <v>7.5177196568785298E-3</v>
      </c>
      <c r="G25" s="931">
        <f t="shared" si="26"/>
        <v>3.9251751633120335E-3</v>
      </c>
      <c r="H25" s="931">
        <f t="shared" si="26"/>
        <v>5.8458545430506437E-3</v>
      </c>
      <c r="I25" s="931">
        <f t="shared" si="26"/>
        <v>1.2910070794133643E-2</v>
      </c>
      <c r="J25" s="931">
        <f t="shared" si="26"/>
        <v>-1.3069956711562192E-3</v>
      </c>
      <c r="K25" s="931">
        <f t="shared" si="26"/>
        <v>1.200111379246338E-2</v>
      </c>
      <c r="L25" s="931">
        <f t="shared" si="26"/>
        <v>1.2262342593526654E-2</v>
      </c>
      <c r="M25" s="931">
        <f t="shared" si="26"/>
        <v>2.2189000634230238E-2</v>
      </c>
      <c r="N25" s="931">
        <f t="shared" si="26"/>
        <v>1.972185536124238E-2</v>
      </c>
      <c r="O25" s="931">
        <f t="shared" si="26"/>
        <v>1.6072111539932488E-2</v>
      </c>
      <c r="P25" s="931">
        <f t="shared" si="26"/>
        <v>1.976166237499255E-2</v>
      </c>
      <c r="Q25" s="931">
        <f t="shared" si="26"/>
        <v>2.3137001585530559E-2</v>
      </c>
      <c r="R25" s="931">
        <f t="shared" si="26"/>
        <v>3.395347693115025E-2</v>
      </c>
      <c r="S25" s="932">
        <f t="shared" si="26"/>
        <v>1.4353459897542553E-3</v>
      </c>
      <c r="T25" s="931">
        <f t="shared" si="26"/>
        <v>2.8269838378878198E-3</v>
      </c>
      <c r="U25" s="931">
        <f t="shared" si="26"/>
        <v>-5.2590018951358397E-3</v>
      </c>
      <c r="V25" s="931">
        <f t="shared" si="26"/>
        <v>-9.3193833648214097E-3</v>
      </c>
      <c r="W25" s="931">
        <f t="shared" si="26"/>
        <v>9.9439102564102821E-3</v>
      </c>
      <c r="X25" s="931">
        <f t="shared" si="26"/>
        <v>-2.7768741917311157E-4</v>
      </c>
      <c r="Y25" s="931">
        <f t="shared" si="26"/>
        <v>9.5154199006395324E-3</v>
      </c>
      <c r="Z25" s="931">
        <f t="shared" si="26"/>
        <v>4.0485829959513442E-3</v>
      </c>
      <c r="AA25" s="931">
        <f t="shared" si="26"/>
        <v>5.9191982461634929E-3</v>
      </c>
      <c r="AB25" s="931">
        <f t="shared" si="26"/>
        <v>4.4210591861515436E-3</v>
      </c>
      <c r="AC25" s="931">
        <f t="shared" si="26"/>
        <v>1.064753107467209E-2</v>
      </c>
      <c r="AD25" s="931">
        <f t="shared" si="26"/>
        <v>7.076115293487284E-3</v>
      </c>
      <c r="AE25" s="931">
        <f t="shared" si="26"/>
        <v>7.7455120761196206E-3</v>
      </c>
      <c r="AF25" s="932">
        <f t="shared" si="26"/>
        <v>8.0020266414988495E-3</v>
      </c>
      <c r="AG25" s="932">
        <f t="shared" ref="AG25" si="27">(AG16+1)^0.25-1</f>
        <v>8.189994905591913E-3</v>
      </c>
      <c r="AH25" s="932">
        <f>(AH16+1)^0.25-1</f>
        <v>7.7655046872424638E-3</v>
      </c>
      <c r="AI25" s="932">
        <f>(AI16+1)^0.25-1</f>
        <v>7.6646909789201967E-3</v>
      </c>
      <c r="AJ25" s="932">
        <f>(AJ16+1)^0.25-1</f>
        <v>7.6652640346144274E-3</v>
      </c>
      <c r="AK25" s="932">
        <f t="shared" ref="AK25:AN25" si="28">(AK16+1)^0.25-1</f>
        <v>7.549640626419496E-3</v>
      </c>
      <c r="AL25" s="932">
        <f t="shared" si="28"/>
        <v>7.4988972991580916E-3</v>
      </c>
      <c r="AM25" s="932">
        <f t="shared" si="28"/>
        <v>7.4157411184010424E-3</v>
      </c>
      <c r="AN25" s="932">
        <f t="shared" si="28"/>
        <v>7.3690570943414357E-3</v>
      </c>
    </row>
    <row r="26" spans="2:40" x14ac:dyDescent="0.25">
      <c r="B26" s="917" t="s">
        <v>1705</v>
      </c>
      <c r="C26" s="941"/>
      <c r="D26" s="931">
        <f t="shared" ref="D26:AF26" si="29">(D18+1)^0.25-1</f>
        <v>3.0686539854383188E-3</v>
      </c>
      <c r="E26" s="931">
        <f t="shared" si="29"/>
        <v>-6.8215934786326482E-3</v>
      </c>
      <c r="F26" s="931">
        <f t="shared" si="29"/>
        <v>6.8206168209994367E-3</v>
      </c>
      <c r="G26" s="931">
        <f t="shared" si="29"/>
        <v>3.838516280439741E-3</v>
      </c>
      <c r="H26" s="931">
        <f t="shared" si="29"/>
        <v>6.757971851248934E-3</v>
      </c>
      <c r="I26" s="931">
        <f t="shared" si="29"/>
        <v>1.5286696061748373E-2</v>
      </c>
      <c r="J26" s="931">
        <f t="shared" si="29"/>
        <v>-7.7782819256788649E-4</v>
      </c>
      <c r="K26" s="931">
        <f t="shared" si="29"/>
        <v>1.2473473018932424E-2</v>
      </c>
      <c r="L26" s="931">
        <f t="shared" si="29"/>
        <v>1.3839183561393131E-2</v>
      </c>
      <c r="M26" s="931">
        <f t="shared" si="29"/>
        <v>2.3797701481488298E-2</v>
      </c>
      <c r="N26" s="931">
        <f t="shared" si="29"/>
        <v>1.8950115958131564E-2</v>
      </c>
      <c r="O26" s="931">
        <f t="shared" si="29"/>
        <v>1.4902381611741955E-2</v>
      </c>
      <c r="P26" s="931">
        <f t="shared" si="29"/>
        <v>1.7719187543701054E-2</v>
      </c>
      <c r="Q26" s="931">
        <f t="shared" si="29"/>
        <v>2.1792680474562731E-2</v>
      </c>
      <c r="R26" s="931">
        <f t="shared" si="29"/>
        <v>3.413610161291647E-2</v>
      </c>
      <c r="S26" s="932">
        <f t="shared" si="29"/>
        <v>-2.9496653874211409E-3</v>
      </c>
      <c r="T26" s="931">
        <f t="shared" si="29"/>
        <v>5.4873393561516437E-4</v>
      </c>
      <c r="U26" s="931">
        <f t="shared" si="29"/>
        <v>-9.0213253002472404E-3</v>
      </c>
      <c r="V26" s="931">
        <f t="shared" si="29"/>
        <v>-1.1517669516674878E-2</v>
      </c>
      <c r="W26" s="931">
        <f t="shared" si="29"/>
        <v>1.1822268382531975E-2</v>
      </c>
      <c r="X26" s="931">
        <f t="shared" si="29"/>
        <v>-1.0665682964577927E-3</v>
      </c>
      <c r="Y26" s="931">
        <f t="shared" si="29"/>
        <v>1.0380039497134064E-2</v>
      </c>
      <c r="Z26" s="931">
        <f t="shared" si="29"/>
        <v>4.8308027236829698E-3</v>
      </c>
      <c r="AA26" s="931">
        <f t="shared" si="29"/>
        <v>5.424339946389134E-3</v>
      </c>
      <c r="AB26" s="931">
        <f t="shared" si="29"/>
        <v>4.734453768294733E-3</v>
      </c>
      <c r="AC26" s="931">
        <f t="shared" si="29"/>
        <v>1.1741223435481896E-2</v>
      </c>
      <c r="AD26" s="931">
        <f t="shared" si="29"/>
        <v>7.076115293487284E-3</v>
      </c>
      <c r="AE26" s="931">
        <f t="shared" si="29"/>
        <v>7.7455120761196206E-3</v>
      </c>
      <c r="AF26" s="932">
        <f t="shared" si="29"/>
        <v>8.0020266414988495E-3</v>
      </c>
      <c r="AG26" s="932">
        <f t="shared" ref="AG26" si="30">(AG18+1)^0.25-1</f>
        <v>8.189994905591913E-3</v>
      </c>
      <c r="AH26" s="932">
        <f>(AH18+1)^0.25-1</f>
        <v>7.7655046872424638E-3</v>
      </c>
      <c r="AI26" s="932">
        <f>(AI18+1)^0.25-1</f>
        <v>7.6646909789201967E-3</v>
      </c>
      <c r="AJ26" s="932">
        <f>(AJ18+1)^0.25-1</f>
        <v>7.6652640346144274E-3</v>
      </c>
      <c r="AK26" s="932">
        <f t="shared" ref="AK26:AN26" si="31">(AK18+1)^0.25-1</f>
        <v>7.549640626419496E-3</v>
      </c>
      <c r="AL26" s="932">
        <f t="shared" si="31"/>
        <v>7.4988972991580916E-3</v>
      </c>
      <c r="AM26" s="932">
        <f t="shared" si="31"/>
        <v>7.4157411184010424E-3</v>
      </c>
      <c r="AN26" s="932">
        <f t="shared" si="31"/>
        <v>7.3690570943414357E-3</v>
      </c>
    </row>
    <row r="27" spans="2:40" x14ac:dyDescent="0.25">
      <c r="B27" s="918" t="s">
        <v>1706</v>
      </c>
      <c r="C27" s="942"/>
      <c r="D27" s="943">
        <f t="shared" ref="D27:AF27" si="32">(D20+1)^0.25-1</f>
        <v>1.0086913000375342E-2</v>
      </c>
      <c r="E27" s="943">
        <f t="shared" si="32"/>
        <v>3.7734051169659999E-3</v>
      </c>
      <c r="F27" s="943">
        <f t="shared" si="32"/>
        <v>1.0508728795056044E-2</v>
      </c>
      <c r="G27" s="943">
        <f t="shared" si="32"/>
        <v>4.3589358184279448E-3</v>
      </c>
      <c r="H27" s="943">
        <f t="shared" si="32"/>
        <v>1.8987578569289454E-3</v>
      </c>
      <c r="I27" s="943">
        <f t="shared" si="32"/>
        <v>2.520655370396474E-3</v>
      </c>
      <c r="J27" s="943">
        <f t="shared" si="32"/>
        <v>-3.6038552870513163E-3</v>
      </c>
      <c r="K27" s="943">
        <f t="shared" si="32"/>
        <v>9.8039215686274161E-3</v>
      </c>
      <c r="L27" s="943">
        <f t="shared" si="32"/>
        <v>5.044101178190985E-3</v>
      </c>
      <c r="M27" s="943">
        <f t="shared" si="32"/>
        <v>1.4595918668041996E-2</v>
      </c>
      <c r="N27" s="943">
        <f t="shared" si="32"/>
        <v>2.3135500149758847E-2</v>
      </c>
      <c r="O27" s="943">
        <f t="shared" si="32"/>
        <v>2.1601050334439265E-2</v>
      </c>
      <c r="P27" s="943">
        <f t="shared" si="32"/>
        <v>2.9784388812184703E-2</v>
      </c>
      <c r="Q27" s="943">
        <f t="shared" si="32"/>
        <v>2.9732441753590244E-2</v>
      </c>
      <c r="R27" s="943">
        <f t="shared" si="32"/>
        <v>3.2952005044342814E-2</v>
      </c>
      <c r="S27" s="944">
        <f t="shared" si="32"/>
        <v>2.3069422313125587E-2</v>
      </c>
      <c r="T27" s="943">
        <f t="shared" si="32"/>
        <v>1.3514037086113317E-2</v>
      </c>
      <c r="U27" s="943">
        <f t="shared" si="32"/>
        <v>1.230169348981236E-2</v>
      </c>
      <c r="V27" s="943">
        <f t="shared" si="32"/>
        <v>5.2868493398983141E-4</v>
      </c>
      <c r="W27" s="943">
        <f t="shared" si="32"/>
        <v>1.464438304874971E-3</v>
      </c>
      <c r="X27" s="943">
        <f t="shared" si="32"/>
        <v>3.0075074622366582E-3</v>
      </c>
      <c r="Y27" s="943">
        <f t="shared" si="32"/>
        <v>5.8992838194293906E-3</v>
      </c>
      <c r="Z27" s="943">
        <f t="shared" si="32"/>
        <v>8.2927412365885189E-4</v>
      </c>
      <c r="AA27" s="943">
        <f t="shared" si="32"/>
        <v>7.9424915834969134E-3</v>
      </c>
      <c r="AB27" s="943">
        <f t="shared" si="32"/>
        <v>3.1771423493078821E-3</v>
      </c>
      <c r="AC27" s="943">
        <f t="shared" si="32"/>
        <v>6.1200685093314444E-3</v>
      </c>
      <c r="AD27" s="943">
        <f t="shared" si="32"/>
        <v>7.076115293487284E-3</v>
      </c>
      <c r="AE27" s="943">
        <f t="shared" si="32"/>
        <v>7.7455120761196206E-3</v>
      </c>
      <c r="AF27" s="944">
        <f t="shared" si="32"/>
        <v>8.0020266414988495E-3</v>
      </c>
      <c r="AG27" s="944">
        <f t="shared" ref="AG27" si="33">(AG20+1)^0.25-1</f>
        <v>8.189994905591913E-3</v>
      </c>
      <c r="AH27" s="944">
        <f>(AH20+1)^0.25-1</f>
        <v>7.7655046872424638E-3</v>
      </c>
      <c r="AI27" s="944">
        <f>(AI20+1)^0.25-1</f>
        <v>7.6646909789201967E-3</v>
      </c>
      <c r="AJ27" s="944">
        <f>(AJ20+1)^0.25-1</f>
        <v>7.6652640346144274E-3</v>
      </c>
      <c r="AK27" s="944">
        <f t="shared" ref="AK27:AN27" si="34">(AK20+1)^0.25-1</f>
        <v>7.549640626419496E-3</v>
      </c>
      <c r="AL27" s="944">
        <f t="shared" si="34"/>
        <v>7.4988972991580916E-3</v>
      </c>
      <c r="AM27" s="944">
        <f t="shared" si="34"/>
        <v>7.4157411184010424E-3</v>
      </c>
      <c r="AN27" s="944">
        <f t="shared" si="34"/>
        <v>7.3690570943414357E-3</v>
      </c>
    </row>
    <row r="28" spans="2:40" x14ac:dyDescent="0.25">
      <c r="B28" s="56"/>
      <c r="C28" s="935"/>
      <c r="D28" s="916"/>
      <c r="E28" s="916"/>
      <c r="F28" s="916"/>
      <c r="G28" s="916"/>
      <c r="H28" s="916"/>
      <c r="I28" s="916"/>
      <c r="J28" s="916"/>
      <c r="K28" s="916"/>
      <c r="L28" s="916"/>
      <c r="M28" s="916"/>
      <c r="N28" s="916"/>
      <c r="O28" s="916"/>
      <c r="P28" s="916"/>
      <c r="Q28" s="916"/>
      <c r="R28" s="916"/>
      <c r="S28" s="916"/>
      <c r="T28" s="916"/>
      <c r="U28" s="916"/>
      <c r="V28" s="916"/>
      <c r="W28" s="916"/>
      <c r="X28" s="916"/>
      <c r="Y28" s="916"/>
      <c r="Z28" s="916"/>
      <c r="AA28" s="916"/>
      <c r="AB28" s="916"/>
      <c r="AC28" s="916"/>
      <c r="AD28" s="916"/>
      <c r="AE28" s="916"/>
      <c r="AF28" s="916"/>
    </row>
    <row r="29" spans="2:40" x14ac:dyDescent="0.25">
      <c r="B29" s="56"/>
      <c r="C29" s="935"/>
      <c r="D29" s="916"/>
      <c r="E29" s="916"/>
      <c r="F29" s="916"/>
      <c r="G29" s="916"/>
      <c r="H29" s="916"/>
      <c r="I29" s="916"/>
      <c r="J29" s="916"/>
      <c r="K29" s="916"/>
      <c r="L29" s="916"/>
      <c r="M29" s="916"/>
      <c r="N29" s="916"/>
      <c r="O29" s="916"/>
      <c r="P29" s="916"/>
      <c r="Q29" s="107"/>
      <c r="R29" s="916"/>
      <c r="S29" s="916"/>
      <c r="T29" s="916"/>
      <c r="U29" s="916"/>
      <c r="V29" s="916"/>
      <c r="W29" s="916"/>
      <c r="X29" s="916"/>
      <c r="Y29" s="916"/>
      <c r="Z29" s="916"/>
      <c r="AA29" s="916"/>
      <c r="AB29" s="916"/>
      <c r="AC29" s="916"/>
      <c r="AD29" s="916"/>
      <c r="AE29" s="916"/>
      <c r="AF29" s="916"/>
    </row>
    <row r="30" spans="2:40" x14ac:dyDescent="0.25">
      <c r="B30" s="56"/>
      <c r="C30" s="935"/>
      <c r="D30" s="916"/>
      <c r="E30" s="916"/>
      <c r="F30" s="916"/>
      <c r="G30" s="916"/>
      <c r="H30" s="916"/>
      <c r="I30" s="916"/>
      <c r="J30" s="916"/>
      <c r="K30" s="916"/>
      <c r="L30" s="916"/>
      <c r="M30" s="916"/>
      <c r="N30" s="916"/>
      <c r="O30" s="916"/>
      <c r="P30" s="916"/>
      <c r="Q30" s="107"/>
      <c r="R30" s="916"/>
      <c r="S30" s="916"/>
      <c r="T30" s="916"/>
      <c r="U30" s="916"/>
      <c r="V30" s="916"/>
      <c r="W30" s="916"/>
      <c r="X30" s="916"/>
      <c r="Y30" s="916"/>
      <c r="Z30" s="916"/>
      <c r="AA30" s="916"/>
      <c r="AB30" s="916"/>
      <c r="AC30" s="916"/>
      <c r="AD30" s="916"/>
      <c r="AE30" s="916"/>
      <c r="AF30" s="916"/>
    </row>
    <row r="31" spans="2:40" x14ac:dyDescent="0.25">
      <c r="B31" s="56"/>
      <c r="C31" s="935"/>
      <c r="D31" s="916"/>
      <c r="E31" s="916"/>
      <c r="F31" s="916"/>
      <c r="G31" s="916"/>
      <c r="H31" s="916"/>
      <c r="I31" s="916"/>
      <c r="J31" s="916"/>
      <c r="K31" s="916"/>
      <c r="L31" s="916"/>
      <c r="M31" s="916"/>
      <c r="N31" s="916"/>
      <c r="O31" s="916"/>
      <c r="P31" s="916"/>
      <c r="Q31" s="56"/>
      <c r="R31" s="916"/>
      <c r="S31" s="916"/>
      <c r="T31" s="916"/>
      <c r="U31" s="916"/>
      <c r="V31" s="916"/>
      <c r="W31" s="916"/>
      <c r="X31" s="916"/>
      <c r="Y31" s="916"/>
      <c r="Z31" s="916"/>
      <c r="AA31" s="916"/>
      <c r="AB31" s="916"/>
      <c r="AC31" s="916"/>
      <c r="AD31" s="916"/>
      <c r="AE31" s="916"/>
      <c r="AF31" s="916"/>
    </row>
    <row r="32" spans="2:40" x14ac:dyDescent="0.25">
      <c r="B32" s="56"/>
      <c r="C32" s="935"/>
      <c r="D32" s="916"/>
      <c r="E32" s="916"/>
      <c r="F32" s="916"/>
      <c r="G32" s="916"/>
      <c r="H32" s="916"/>
      <c r="I32" s="916"/>
      <c r="J32" s="916"/>
      <c r="K32" s="916"/>
      <c r="L32" s="916"/>
      <c r="M32" s="916"/>
      <c r="N32" s="916"/>
      <c r="O32" s="916"/>
      <c r="P32" s="916"/>
      <c r="Q32" s="56"/>
      <c r="R32" s="916"/>
      <c r="S32" s="916"/>
      <c r="T32" s="916"/>
      <c r="U32" s="916"/>
      <c r="V32" s="916"/>
      <c r="W32" s="916"/>
      <c r="X32" s="916"/>
      <c r="Y32" s="916"/>
      <c r="Z32" s="916"/>
      <c r="AA32" s="916"/>
      <c r="AB32" s="916"/>
      <c r="AC32" s="916"/>
      <c r="AD32" s="916"/>
      <c r="AE32" s="916"/>
      <c r="AF32" s="916"/>
    </row>
    <row r="33" spans="2:40" x14ac:dyDescent="0.25">
      <c r="B33" s="56"/>
      <c r="C33" s="935"/>
      <c r="D33" s="916"/>
      <c r="E33" s="916"/>
      <c r="F33" s="916"/>
      <c r="G33" s="916"/>
      <c r="H33" s="916"/>
      <c r="I33" s="916"/>
      <c r="J33" s="916"/>
      <c r="K33" s="916"/>
      <c r="L33" s="916"/>
      <c r="M33" s="916"/>
      <c r="N33" s="916"/>
      <c r="O33" s="916"/>
      <c r="P33" s="916"/>
      <c r="Q33" s="56"/>
      <c r="R33" s="916"/>
      <c r="S33" s="916"/>
      <c r="T33" s="916"/>
      <c r="U33" s="916"/>
      <c r="V33" s="916"/>
      <c r="W33" s="916"/>
      <c r="X33" s="916"/>
      <c r="Y33" s="916"/>
      <c r="Z33" s="916"/>
      <c r="AA33" s="916"/>
      <c r="AB33" s="916"/>
      <c r="AC33" s="916"/>
      <c r="AD33" s="916"/>
      <c r="AE33" s="916"/>
      <c r="AF33" s="916"/>
    </row>
    <row r="34" spans="2:40" x14ac:dyDescent="0.25">
      <c r="B34" s="56"/>
      <c r="C34" s="935"/>
      <c r="D34" s="916"/>
      <c r="E34" s="916"/>
      <c r="F34" s="916"/>
      <c r="G34" s="916"/>
      <c r="H34" s="916"/>
      <c r="I34" s="916"/>
      <c r="J34" s="916"/>
      <c r="K34" s="916"/>
      <c r="L34" s="916"/>
      <c r="M34" s="916"/>
      <c r="N34" s="916"/>
      <c r="O34" s="916"/>
      <c r="P34" s="916"/>
      <c r="Q34" s="56"/>
      <c r="R34" s="916"/>
      <c r="S34" s="916"/>
      <c r="T34" s="916"/>
      <c r="U34" s="916"/>
      <c r="V34" s="916"/>
      <c r="W34" s="916"/>
      <c r="X34" s="916"/>
      <c r="Y34" s="916"/>
      <c r="Z34" s="916"/>
      <c r="AA34" s="916"/>
      <c r="AB34" s="916"/>
      <c r="AC34" s="916"/>
      <c r="AD34" s="916"/>
      <c r="AE34" s="916"/>
      <c r="AF34" s="916"/>
    </row>
    <row r="35" spans="2:40" x14ac:dyDescent="0.25">
      <c r="B35" s="56"/>
      <c r="C35" s="935"/>
      <c r="D35" s="916"/>
      <c r="E35" s="916"/>
      <c r="F35" s="916"/>
      <c r="G35" s="916"/>
      <c r="H35" s="916"/>
      <c r="I35" s="916"/>
      <c r="J35" s="916"/>
      <c r="K35" s="916"/>
      <c r="L35" s="916"/>
      <c r="M35" s="916"/>
      <c r="N35" s="916"/>
      <c r="O35" s="916"/>
      <c r="P35" s="916"/>
      <c r="Q35" s="56"/>
      <c r="R35" s="916"/>
      <c r="S35" s="916"/>
      <c r="T35" s="916"/>
      <c r="U35" s="916"/>
      <c r="V35" s="916"/>
      <c r="W35" s="916"/>
      <c r="X35" s="916"/>
      <c r="Y35" s="916"/>
      <c r="Z35" s="916"/>
      <c r="AA35" s="916"/>
      <c r="AB35" s="916"/>
      <c r="AC35" s="916"/>
      <c r="AD35" s="916"/>
      <c r="AE35" s="916"/>
      <c r="AF35" s="916"/>
    </row>
    <row r="36" spans="2:40" x14ac:dyDescent="0.25">
      <c r="B36" s="56"/>
      <c r="C36" s="935"/>
      <c r="D36" s="916"/>
      <c r="E36" s="916"/>
      <c r="F36" s="916"/>
      <c r="G36" s="916"/>
      <c r="H36" s="916"/>
      <c r="I36" s="916"/>
      <c r="J36" s="916"/>
      <c r="K36" s="916"/>
      <c r="L36" s="916"/>
      <c r="M36" s="916"/>
      <c r="N36" s="916"/>
      <c r="O36" s="916"/>
      <c r="P36" s="916"/>
      <c r="Q36" s="56"/>
      <c r="R36" s="916"/>
      <c r="S36" s="916"/>
      <c r="T36" s="916"/>
      <c r="U36" s="916"/>
      <c r="V36" s="916"/>
      <c r="W36" s="916"/>
      <c r="X36" s="916"/>
      <c r="Y36" s="916"/>
      <c r="Z36" s="916"/>
      <c r="AA36" s="916"/>
      <c r="AB36" s="916"/>
      <c r="AC36" s="916"/>
      <c r="AD36" s="916"/>
      <c r="AE36" s="916"/>
      <c r="AF36" s="916"/>
    </row>
    <row r="37" spans="2:40" x14ac:dyDescent="0.25">
      <c r="B37" s="56"/>
      <c r="C37" s="935"/>
      <c r="D37" s="916"/>
      <c r="E37" s="916"/>
      <c r="F37" s="916"/>
      <c r="G37" s="916"/>
      <c r="H37" s="916"/>
      <c r="I37" s="916"/>
      <c r="J37" s="916"/>
      <c r="K37" s="916"/>
      <c r="L37" s="916"/>
      <c r="M37" s="916"/>
      <c r="N37" s="916"/>
      <c r="O37" s="916"/>
      <c r="P37" s="916"/>
      <c r="Q37" s="56"/>
      <c r="R37" s="916"/>
      <c r="S37" s="916"/>
      <c r="T37" s="916"/>
      <c r="U37" s="916"/>
      <c r="V37" s="916"/>
      <c r="W37" s="916"/>
      <c r="X37" s="916"/>
      <c r="Y37" s="916"/>
      <c r="Z37" s="916"/>
      <c r="AA37" s="916"/>
      <c r="AB37" s="916"/>
      <c r="AC37" s="916"/>
      <c r="AD37" s="916"/>
      <c r="AE37" s="916"/>
      <c r="AF37" s="916"/>
    </row>
    <row r="38" spans="2:40" x14ac:dyDescent="0.25">
      <c r="B38" s="56"/>
      <c r="C38" s="935"/>
      <c r="D38" s="916"/>
      <c r="E38" s="916"/>
      <c r="F38" s="916"/>
      <c r="G38" s="916"/>
      <c r="H38" s="916"/>
      <c r="I38" s="916"/>
      <c r="J38" s="916"/>
      <c r="K38" s="916"/>
      <c r="L38" s="916"/>
      <c r="M38" s="916"/>
      <c r="N38" s="916"/>
      <c r="O38" s="916"/>
      <c r="P38" s="916"/>
      <c r="Q38" s="56"/>
      <c r="R38" s="916"/>
      <c r="S38" s="916"/>
      <c r="T38" s="916"/>
      <c r="U38" s="916"/>
      <c r="V38" s="916"/>
      <c r="W38" s="916"/>
      <c r="X38" s="916"/>
      <c r="Y38" s="916"/>
      <c r="Z38" s="916"/>
      <c r="AA38" s="916"/>
      <c r="AB38" s="916"/>
      <c r="AC38" s="916"/>
      <c r="AD38" s="916"/>
      <c r="AE38" s="916"/>
      <c r="AF38" s="916"/>
    </row>
    <row r="39" spans="2:40" x14ac:dyDescent="0.25">
      <c r="B39" s="56"/>
      <c r="C39" s="935"/>
      <c r="D39" s="916"/>
      <c r="E39" s="916"/>
      <c r="F39" s="916"/>
      <c r="G39" s="916"/>
      <c r="H39" s="916"/>
      <c r="I39" s="916"/>
      <c r="J39" s="916"/>
      <c r="K39" s="916"/>
      <c r="L39" s="916"/>
      <c r="M39" s="916"/>
      <c r="N39" s="916"/>
      <c r="O39" s="916"/>
      <c r="P39" s="916"/>
      <c r="Q39" s="916"/>
      <c r="R39" s="916"/>
      <c r="S39" s="916"/>
      <c r="T39" s="916"/>
      <c r="U39" s="916"/>
      <c r="V39" s="916"/>
      <c r="W39" s="916"/>
      <c r="X39" s="916"/>
      <c r="Y39" s="916"/>
      <c r="Z39" s="916"/>
      <c r="AA39" s="916"/>
      <c r="AB39" s="916"/>
      <c r="AC39" s="916"/>
      <c r="AD39" s="916"/>
      <c r="AE39" s="916"/>
      <c r="AF39" s="916"/>
    </row>
    <row r="40" spans="2:40" x14ac:dyDescent="0.25">
      <c r="B40" s="56"/>
      <c r="C40" s="935"/>
      <c r="D40" s="916"/>
      <c r="E40" s="916"/>
      <c r="F40" s="916"/>
      <c r="G40" s="916"/>
      <c r="H40" s="916"/>
      <c r="I40" s="916"/>
      <c r="J40" s="916"/>
      <c r="K40" s="916"/>
      <c r="L40" s="916"/>
      <c r="M40" s="916"/>
      <c r="N40" s="916"/>
      <c r="O40" s="916"/>
      <c r="P40" s="916"/>
      <c r="Q40" s="916"/>
      <c r="R40" s="916"/>
      <c r="S40" s="916"/>
      <c r="T40" s="916"/>
      <c r="U40" s="916"/>
      <c r="V40" s="916"/>
      <c r="W40" s="916"/>
      <c r="X40" s="916"/>
      <c r="Y40" s="916"/>
      <c r="Z40" s="916"/>
      <c r="AA40" s="916"/>
      <c r="AB40" s="916"/>
      <c r="AC40" s="916"/>
      <c r="AD40" s="916"/>
      <c r="AE40" s="916"/>
      <c r="AF40" s="916"/>
    </row>
    <row r="41" spans="2:40" x14ac:dyDescent="0.25">
      <c r="B41" s="937" t="s">
        <v>1819</v>
      </c>
      <c r="C41" s="937"/>
      <c r="D41" s="244"/>
      <c r="E41" s="244"/>
      <c r="F41" s="244"/>
      <c r="G41" s="244"/>
      <c r="H41" s="244"/>
      <c r="I41" s="244"/>
      <c r="J41" s="244"/>
      <c r="K41" s="244"/>
      <c r="L41" s="244"/>
      <c r="M41" s="244"/>
      <c r="N41" s="244"/>
      <c r="O41" s="244"/>
      <c r="P41" s="244"/>
      <c r="Q41" s="244"/>
      <c r="R41" s="244"/>
      <c r="S41" s="244"/>
      <c r="T41" s="244"/>
      <c r="U41" s="244"/>
      <c r="V41" s="244"/>
      <c r="W41" s="244"/>
      <c r="X41" s="244"/>
      <c r="Y41" s="244"/>
      <c r="Z41" s="244"/>
      <c r="AA41" s="244"/>
      <c r="AB41" s="244"/>
      <c r="AC41" s="244"/>
    </row>
    <row r="42" spans="2:40" x14ac:dyDescent="0.25">
      <c r="B42" s="1269" t="s">
        <v>1701</v>
      </c>
      <c r="C42" s="1270"/>
      <c r="D42" s="1293" t="s">
        <v>1725</v>
      </c>
      <c r="E42" s="1294"/>
      <c r="F42" s="1294"/>
      <c r="G42" s="1294"/>
      <c r="H42" s="1294"/>
      <c r="I42" s="1294"/>
      <c r="J42" s="1294"/>
      <c r="K42" s="1294"/>
      <c r="L42" s="1294"/>
      <c r="M42" s="1294"/>
      <c r="N42" s="1294"/>
      <c r="O42" s="1294"/>
      <c r="P42" s="1294"/>
      <c r="Q42" s="1294"/>
      <c r="R42" s="1294"/>
      <c r="S42" s="1294"/>
      <c r="T42" s="1294"/>
      <c r="U42" s="1294"/>
      <c r="V42" s="1294"/>
      <c r="W42" s="1294"/>
      <c r="X42" s="1294"/>
      <c r="Y42" s="1294"/>
      <c r="Z42" s="1294"/>
      <c r="AA42" s="1294"/>
      <c r="AB42" s="1295"/>
      <c r="AC42" s="1296" t="s">
        <v>1733</v>
      </c>
      <c r="AD42" s="1277"/>
      <c r="AE42" s="1277"/>
      <c r="AF42" s="1277"/>
      <c r="AG42" s="1277"/>
      <c r="AH42" s="1277"/>
      <c r="AI42" s="1277"/>
      <c r="AJ42" s="1277"/>
      <c r="AK42" s="1277"/>
      <c r="AL42" s="1277"/>
      <c r="AM42" s="1277"/>
      <c r="AN42" s="1278"/>
    </row>
    <row r="43" spans="2:40" x14ac:dyDescent="0.25">
      <c r="B43" s="1271"/>
      <c r="C43" s="1272"/>
      <c r="D43" s="214">
        <v>2018</v>
      </c>
      <c r="E43" s="1266">
        <v>2019</v>
      </c>
      <c r="F43" s="1267"/>
      <c r="G43" s="1267"/>
      <c r="H43" s="1328"/>
      <c r="I43" s="1266">
        <v>2020</v>
      </c>
      <c r="J43" s="1267"/>
      <c r="K43" s="1267"/>
      <c r="L43" s="1267"/>
      <c r="M43" s="1266">
        <v>2021</v>
      </c>
      <c r="N43" s="1267"/>
      <c r="O43" s="1267"/>
      <c r="P43" s="1267"/>
      <c r="Q43" s="1288">
        <v>2022</v>
      </c>
      <c r="R43" s="1300"/>
      <c r="S43" s="1300"/>
      <c r="T43" s="1290"/>
      <c r="U43" s="441"/>
      <c r="V43" s="431">
        <v>2023</v>
      </c>
      <c r="W43" s="291"/>
      <c r="X43" s="291"/>
      <c r="Y43" s="441"/>
      <c r="Z43" s="291">
        <v>2024</v>
      </c>
      <c r="AA43" s="291"/>
      <c r="AB43" s="298"/>
      <c r="AC43" s="1275">
        <v>2025</v>
      </c>
      <c r="AD43" s="1276"/>
      <c r="AE43" s="1276"/>
      <c r="AF43" s="1276"/>
      <c r="AG43" s="1275">
        <v>2026</v>
      </c>
      <c r="AH43" s="1281"/>
      <c r="AI43" s="1281"/>
      <c r="AJ43" s="1280"/>
      <c r="AK43" s="1275">
        <v>2027</v>
      </c>
      <c r="AL43" s="1281"/>
      <c r="AM43" s="1281"/>
      <c r="AN43" s="1280"/>
    </row>
    <row r="44" spans="2:40" x14ac:dyDescent="0.25">
      <c r="B44" s="1273"/>
      <c r="C44" s="1274"/>
      <c r="D44" s="214" t="s">
        <v>281</v>
      </c>
      <c r="E44" s="214" t="s">
        <v>282</v>
      </c>
      <c r="F44" s="215" t="s">
        <v>283</v>
      </c>
      <c r="G44" s="215" t="s">
        <v>238</v>
      </c>
      <c r="H44" s="221" t="s">
        <v>281</v>
      </c>
      <c r="I44" s="215" t="s">
        <v>282</v>
      </c>
      <c r="J44" s="215" t="s">
        <v>283</v>
      </c>
      <c r="K44" s="215" t="s">
        <v>238</v>
      </c>
      <c r="L44" s="215" t="s">
        <v>281</v>
      </c>
      <c r="M44" s="214" t="s">
        <v>282</v>
      </c>
      <c r="N44" s="215" t="s">
        <v>283</v>
      </c>
      <c r="O44" s="215" t="s">
        <v>238</v>
      </c>
      <c r="P44" s="215" t="s">
        <v>281</v>
      </c>
      <c r="Q44" s="214" t="s">
        <v>282</v>
      </c>
      <c r="R44" s="215" t="s">
        <v>283</v>
      </c>
      <c r="S44" s="215" t="s">
        <v>238</v>
      </c>
      <c r="T44" s="221" t="s">
        <v>281</v>
      </c>
      <c r="U44" s="214" t="s">
        <v>282</v>
      </c>
      <c r="V44" s="215" t="s">
        <v>283</v>
      </c>
      <c r="W44" s="215" t="s">
        <v>238</v>
      </c>
      <c r="X44" s="215" t="s">
        <v>281</v>
      </c>
      <c r="Y44" s="214" t="s">
        <v>282</v>
      </c>
      <c r="Z44" s="295" t="s">
        <v>283</v>
      </c>
      <c r="AA44" s="215" t="s">
        <v>238</v>
      </c>
      <c r="AB44" s="221" t="s">
        <v>281</v>
      </c>
      <c r="AC44" s="288" t="s">
        <v>282</v>
      </c>
      <c r="AD44" s="318" t="s">
        <v>283</v>
      </c>
      <c r="AE44" s="318" t="s">
        <v>238</v>
      </c>
      <c r="AF44" s="318" t="s">
        <v>281</v>
      </c>
      <c r="AG44" s="288" t="s">
        <v>282</v>
      </c>
      <c r="AH44" s="260" t="s">
        <v>283</v>
      </c>
      <c r="AI44" s="262" t="s">
        <v>238</v>
      </c>
      <c r="AJ44" s="290" t="s">
        <v>281</v>
      </c>
      <c r="AK44" s="288" t="s">
        <v>282</v>
      </c>
      <c r="AL44" s="260" t="s">
        <v>283</v>
      </c>
      <c r="AM44" s="262" t="s">
        <v>238</v>
      </c>
      <c r="AN44" s="290" t="s">
        <v>281</v>
      </c>
    </row>
    <row r="45" spans="2:40" x14ac:dyDescent="0.25">
      <c r="B45" s="945" t="s">
        <v>1895</v>
      </c>
      <c r="C45" s="958"/>
      <c r="D45" s="953">
        <f>('Haver Pivoted'!GO76+1)^4-1</f>
        <v>1.5264497223703488E-2</v>
      </c>
      <c r="E45" s="940">
        <f>('Haver Pivoted'!GP76+1)^4-1</f>
        <v>8.1697245486058723E-3</v>
      </c>
      <c r="F45" s="940">
        <f>('Haver Pivoted'!GQ76+1)^4-1</f>
        <v>2.2550676192391039E-2</v>
      </c>
      <c r="G45" s="940">
        <f>('Haver Pivoted'!GR76+1)^4-1</f>
        <v>9.6649063963889503E-3</v>
      </c>
      <c r="H45" s="940">
        <f>('Haver Pivoted'!GS76+1)^4-1</f>
        <v>1.5834666967584843E-2</v>
      </c>
      <c r="I45" s="940">
        <f>('Haver Pivoted'!GT76+1)^4-1</f>
        <v>1.239349514115573E-2</v>
      </c>
      <c r="J45" s="940">
        <f>('Haver Pivoted'!GU76+1)^4-1</f>
        <v>-1.5843080973497181E-2</v>
      </c>
      <c r="K45" s="940">
        <f>('Haver Pivoted'!GV76+1)^4-1</f>
        <v>3.2862675445769929E-2</v>
      </c>
      <c r="L45" s="940">
        <f>('Haver Pivoted'!GW76+1)^4-1</f>
        <v>1.9524743592179927E-2</v>
      </c>
      <c r="M45" s="940">
        <f>('Haver Pivoted'!GX76+1)^4-1</f>
        <v>4.5919222990944863E-2</v>
      </c>
      <c r="N45" s="940">
        <f>('Haver Pivoted'!GY76+1)^4-1</f>
        <v>6.3763215063124212E-2</v>
      </c>
      <c r="O45" s="940">
        <f>('Haver Pivoted'!GZ76+1)^4-1</f>
        <v>5.6353404292981857E-2</v>
      </c>
      <c r="P45" s="940">
        <f>('Haver Pivoted'!HA76+1)^4-1</f>
        <v>6.7661635913466744E-2</v>
      </c>
      <c r="Q45" s="940">
        <f>('Haver Pivoted'!HB76+1)^4-1</f>
        <v>7.7270298955965933E-2</v>
      </c>
      <c r="R45" s="940">
        <f>('Haver Pivoted'!HC76+1)^4-1</f>
        <v>7.554614845470442E-2</v>
      </c>
      <c r="S45" s="954">
        <f>('Haver Pivoted'!HD76+1)^4-1</f>
        <v>4.7220953130670873E-2</v>
      </c>
      <c r="T45" s="939">
        <f>('Haver Pivoted'!HE76+1)^4-1</f>
        <v>4.0176508092810925E-2</v>
      </c>
      <c r="U45" s="954">
        <f>('Haver Pivoted'!HF76+1)^4-1</f>
        <v>3.9428535960380762E-2</v>
      </c>
      <c r="V45" s="954">
        <f>('Haver Pivoted'!HG76+1)^4-1</f>
        <v>2.9211734875661532E-2</v>
      </c>
      <c r="W45" s="954">
        <f>('Haver Pivoted'!HH76+1)^4-1</f>
        <v>2.6927277215065937E-2</v>
      </c>
      <c r="X45" s="954">
        <f>('Haver Pivoted'!HI76+1)^4-1</f>
        <v>1.6533593023621451E-2</v>
      </c>
      <c r="Y45" s="954">
        <f>('Haver Pivoted'!HJ76+1)^4-1</f>
        <v>3.4247515494288061E-2</v>
      </c>
      <c r="Z45" s="954">
        <f>('Haver Pivoted'!HK76+1)^4-1</f>
        <v>2.5312909540798456E-2</v>
      </c>
      <c r="AA45" s="954">
        <f>('Haver Pivoted'!HL76+1)^4-1</f>
        <v>1.5403536594506217E-2</v>
      </c>
      <c r="AB45" s="954">
        <f>('Haver Pivoted'!HM76+1)^4-1</f>
        <v>2.3839052457011789E-2</v>
      </c>
      <c r="AC45" s="954">
        <f>('Haver Pivoted'!HN76+1)^4-1</f>
        <v>3.6016899213072717E-2</v>
      </c>
      <c r="AD45" s="961">
        <f t="shared" ref="AD45:AF45" si="35">AD46+AD47</f>
        <v>2.7483635680919154E-2</v>
      </c>
      <c r="AE45" s="961">
        <f t="shared" si="35"/>
        <v>2.3874932014508632E-2</v>
      </c>
      <c r="AF45" s="961">
        <f t="shared" si="35"/>
        <v>2.2011392938697361E-2</v>
      </c>
      <c r="AG45" s="916">
        <f t="shared" ref="AG45" si="36">AG46+AG47</f>
        <v>2.1469131944638509E-2</v>
      </c>
      <c r="AH45" s="916">
        <f>AH46+AH47</f>
        <v>2.037795778240481E-2</v>
      </c>
      <c r="AI45" s="916">
        <f t="shared" ref="AI45" si="37">AI46+AI47</f>
        <v>2.031319568771961E-2</v>
      </c>
      <c r="AJ45" s="916">
        <f>AJ46+AJ47</f>
        <v>2.0411174157790368E-2</v>
      </c>
      <c r="AK45" s="916">
        <f t="shared" ref="AK45:AN45" si="38">AK46+AK47</f>
        <v>2.0278651758323107E-2</v>
      </c>
      <c r="AL45" s="916">
        <f t="shared" si="38"/>
        <v>2.0181831515000193E-2</v>
      </c>
      <c r="AM45" s="916">
        <f t="shared" si="38"/>
        <v>2.008748904793789E-2</v>
      </c>
      <c r="AN45" s="938">
        <f t="shared" si="38"/>
        <v>2.0063466029726529E-2</v>
      </c>
    </row>
    <row r="46" spans="2:40" x14ac:dyDescent="0.25">
      <c r="B46" s="77" t="s">
        <v>1894</v>
      </c>
      <c r="C46" s="935" t="s">
        <v>1692</v>
      </c>
      <c r="D46" s="962">
        <f>('Haver Pivoted'!GO76+1)^4-1</f>
        <v>1.5264497223703488E-2</v>
      </c>
      <c r="E46" s="916">
        <f>('Haver Pivoted'!GP76+1)^4-1</f>
        <v>8.1697245486058723E-3</v>
      </c>
      <c r="F46" s="916">
        <f>('Haver Pivoted'!GQ76+1)^4-1</f>
        <v>2.2550676192391039E-2</v>
      </c>
      <c r="G46" s="916">
        <f>('Haver Pivoted'!GR76+1)^4-1</f>
        <v>9.6649063963889503E-3</v>
      </c>
      <c r="H46" s="916">
        <f>('Haver Pivoted'!GS76+1)^4-1</f>
        <v>1.5834666967584843E-2</v>
      </c>
      <c r="I46" s="916">
        <f>('Haver Pivoted'!GT76+1)^4-1</f>
        <v>1.239349514115573E-2</v>
      </c>
      <c r="J46" s="916">
        <f>('Haver Pivoted'!GU76+1)^4-1</f>
        <v>-1.5843080973497181E-2</v>
      </c>
      <c r="K46" s="916">
        <f>('Haver Pivoted'!GV76+1)^4-1</f>
        <v>3.2862675445769929E-2</v>
      </c>
      <c r="L46" s="916">
        <f>('Haver Pivoted'!GW76+1)^4-1</f>
        <v>1.9524743592179927E-2</v>
      </c>
      <c r="M46" s="916">
        <f>('Haver Pivoted'!GX76+1)^4-1</f>
        <v>4.5919222990944863E-2</v>
      </c>
      <c r="N46" s="916">
        <f>('Haver Pivoted'!GY76+1)^4-1</f>
        <v>6.3763215063124212E-2</v>
      </c>
      <c r="O46" s="916">
        <f>('Haver Pivoted'!GZ76+1)^4-1</f>
        <v>5.6353404292981857E-2</v>
      </c>
      <c r="P46" s="916">
        <f>('Haver Pivoted'!HA76+1)^4-1</f>
        <v>6.7661635913466744E-2</v>
      </c>
      <c r="Q46" s="916">
        <f>('Haver Pivoted'!HB76+1)^4-1</f>
        <v>7.7270298955965933E-2</v>
      </c>
      <c r="R46" s="916">
        <f>('Haver Pivoted'!HC76+1)^4-1</f>
        <v>7.554614845470442E-2</v>
      </c>
      <c r="S46" s="916">
        <f>('Haver Pivoted'!HD76+1)^4-1</f>
        <v>4.7220953130670873E-2</v>
      </c>
      <c r="T46" s="916">
        <f>('Haver Pivoted'!HE76+1)^4-1</f>
        <v>4.0176508092810925E-2</v>
      </c>
      <c r="U46" s="916">
        <f>('Haver Pivoted'!HF76+1)^4-1</f>
        <v>3.9428535960380762E-2</v>
      </c>
      <c r="V46" s="916">
        <f>('Haver Pivoted'!HG76+1)^4-1</f>
        <v>2.9211734875661532E-2</v>
      </c>
      <c r="W46" s="916">
        <f>('Haver Pivoted'!HH76+1)^4-1</f>
        <v>2.6927277215065937E-2</v>
      </c>
      <c r="X46" s="916">
        <f>('Haver Pivoted'!HI76+1)^4-1</f>
        <v>1.6533593023621451E-2</v>
      </c>
      <c r="Y46" s="916">
        <f t="shared" ref="Y46:AH46" si="39">(Y72/X72)^4-1</f>
        <v>3.4257335695615954E-2</v>
      </c>
      <c r="Z46" s="916">
        <f t="shared" si="39"/>
        <v>2.5320587670252914E-2</v>
      </c>
      <c r="AA46" s="916">
        <f t="shared" si="39"/>
        <v>1.4999009292827825E-2</v>
      </c>
      <c r="AB46" s="916">
        <f t="shared" si="39"/>
        <v>2.4498276208370307E-2</v>
      </c>
      <c r="AC46" s="916">
        <f t="shared" si="39"/>
        <v>2.3058368307400823E-2</v>
      </c>
      <c r="AD46" s="916">
        <f t="shared" si="39"/>
        <v>2.1483635680919155E-2</v>
      </c>
      <c r="AE46" s="916">
        <f t="shared" si="39"/>
        <v>2.187493201450863E-2</v>
      </c>
      <c r="AF46" s="916">
        <f t="shared" si="39"/>
        <v>2.2011392938697361E-2</v>
      </c>
      <c r="AG46" s="916">
        <f t="shared" si="39"/>
        <v>2.1469131944638509E-2</v>
      </c>
      <c r="AH46" s="916">
        <f t="shared" si="39"/>
        <v>2.037795778240481E-2</v>
      </c>
      <c r="AI46" s="916">
        <f t="shared" ref="AI46" si="40">(AI72/AH72)^4-1</f>
        <v>2.031319568771961E-2</v>
      </c>
      <c r="AJ46" s="916">
        <f>(AJ72/AI72)^4-1</f>
        <v>2.0411174157790368E-2</v>
      </c>
      <c r="AK46" s="916">
        <f>(AK72/AJ72)^4-1</f>
        <v>2.0278651758323107E-2</v>
      </c>
      <c r="AL46" s="916">
        <f t="shared" ref="AL46:AN46" si="41">(AL72/AK72)^4-1</f>
        <v>2.0181831515000193E-2</v>
      </c>
      <c r="AM46" s="916">
        <f t="shared" si="41"/>
        <v>2.008748904793789E-2</v>
      </c>
      <c r="AN46" s="906">
        <f t="shared" si="41"/>
        <v>2.0063466029726529E-2</v>
      </c>
    </row>
    <row r="47" spans="2:40" x14ac:dyDescent="0.25">
      <c r="B47" s="77" t="s">
        <v>1896</v>
      </c>
      <c r="C47" s="935"/>
      <c r="D47" s="962"/>
      <c r="E47" s="916"/>
      <c r="F47" s="916"/>
      <c r="G47" s="916"/>
      <c r="H47" s="916"/>
      <c r="I47" s="916"/>
      <c r="J47" s="916"/>
      <c r="K47" s="916"/>
      <c r="L47" s="916"/>
      <c r="M47" s="916"/>
      <c r="N47" s="916"/>
      <c r="O47" s="916"/>
      <c r="P47" s="916"/>
      <c r="Q47" s="916"/>
      <c r="R47" s="916"/>
      <c r="S47" s="916"/>
      <c r="T47" s="916"/>
      <c r="U47" s="916"/>
      <c r="V47" s="916"/>
      <c r="W47" s="916"/>
      <c r="X47" s="916"/>
      <c r="Y47" s="916"/>
      <c r="Z47" s="916"/>
      <c r="AA47" s="916">
        <v>-7.4999999999999997E-3</v>
      </c>
      <c r="AB47" s="916">
        <v>5.0000000000000001E-4</v>
      </c>
      <c r="AC47" s="916">
        <v>1.2E-2</v>
      </c>
      <c r="AD47" s="916">
        <v>6.0000000000000001E-3</v>
      </c>
      <c r="AE47" s="916">
        <v>2E-3</v>
      </c>
      <c r="AN47" s="228"/>
    </row>
    <row r="48" spans="2:40" x14ac:dyDescent="0.25">
      <c r="B48" s="67" t="s">
        <v>1703</v>
      </c>
      <c r="C48" s="935" t="s">
        <v>1693</v>
      </c>
      <c r="D48" s="962">
        <f>('Haver Pivoted'!GO77+1)^4-1</f>
        <v>2.9477765289275926E-2</v>
      </c>
      <c r="E48" s="916">
        <f>('Haver Pivoted'!GP77+1)^4-1</f>
        <v>3.7241332054374521E-2</v>
      </c>
      <c r="F48" s="916">
        <f>('Haver Pivoted'!GQ77+1)^4-1</f>
        <v>-2.6356011696502479E-2</v>
      </c>
      <c r="G48" s="916">
        <f>('Haver Pivoted'!GR77+1)^4-1</f>
        <v>3.7347692764231333E-3</v>
      </c>
      <c r="H48" s="916">
        <f>('Haver Pivoted'!GS77+1)^4-1</f>
        <v>1.463826004028701E-2</v>
      </c>
      <c r="I48" s="916">
        <f>('Haver Pivoted'!GT77+1)^4-1</f>
        <v>1.2149501243322813E-2</v>
      </c>
      <c r="J48" s="916">
        <f>('Haver Pivoted'!GU77+1)^4-1</f>
        <v>2.5590697877679869E-3</v>
      </c>
      <c r="K48" s="916">
        <f>('Haver Pivoted'!GV77+1)^4-1</f>
        <v>2.2030538597398897E-2</v>
      </c>
      <c r="L48" s="916">
        <f>('Haver Pivoted'!GW77+1)^4-1</f>
        <v>3.0184246589695318E-2</v>
      </c>
      <c r="M48" s="916">
        <f>('Haver Pivoted'!GX77+1)^4-1</f>
        <v>3.1074822316861761E-2</v>
      </c>
      <c r="N48" s="916">
        <f>('Haver Pivoted'!GY77+1)^4-1</f>
        <v>4.3814411385844076E-2</v>
      </c>
      <c r="O48" s="916">
        <f>('Haver Pivoted'!GZ77+1)^4-1</f>
        <v>4.8079114499886888E-2</v>
      </c>
      <c r="P48" s="916">
        <f>('Haver Pivoted'!HA77+1)^4-1</f>
        <v>5.0423609727379137E-2</v>
      </c>
      <c r="Q48" s="916">
        <f>('Haver Pivoted'!HB77+1)^4-1</f>
        <v>6.5677487260019429E-2</v>
      </c>
      <c r="R48" s="916">
        <f>('Haver Pivoted'!HC77+1)^4-1</f>
        <v>7.488961890096113E-2</v>
      </c>
      <c r="S48" s="936">
        <f>('Haver Pivoted'!HD77+1)^4-1</f>
        <v>5.3316340788000627E-2</v>
      </c>
      <c r="T48" s="936">
        <f>('Haver Pivoted'!HE77+1)^4-1</f>
        <v>4.1496756379381328E-2</v>
      </c>
      <c r="U48" s="936">
        <f>('Haver Pivoted'!HF77+1)^4-1</f>
        <v>4.2898407970302532E-2</v>
      </c>
      <c r="V48" s="936">
        <f>('Haver Pivoted'!HG77+1)^4-1</f>
        <v>3.5017736429978852E-2</v>
      </c>
      <c r="W48" s="936">
        <f>('Haver Pivoted'!HH77+1)^4-1</f>
        <v>3.8113924198168725E-2</v>
      </c>
      <c r="X48" s="936">
        <f>('Haver Pivoted'!HI77+1)^4-1</f>
        <v>3.8299248311242984E-2</v>
      </c>
      <c r="Y48" s="936">
        <f>('Haver Pivoted'!HJ77+1)^4-1</f>
        <v>3.5508670157945676E-2</v>
      </c>
      <c r="Z48" s="936">
        <f>('Haver Pivoted'!HK77+1)^4-1</f>
        <v>2.8203399736230539E-2</v>
      </c>
      <c r="AA48" s="936">
        <f>('Haver Pivoted'!HL77+1)^4-1</f>
        <v>2.4481644318991469E-2</v>
      </c>
      <c r="AB48" s="936">
        <f>('Haver Pivoted'!HM77+1)^4-1</f>
        <v>2.665590972416565E-2</v>
      </c>
      <c r="AC48" s="936">
        <f>('Haver Pivoted'!HN77+1)^4-1</f>
        <v>5.4576365396832749E-2</v>
      </c>
      <c r="AD48" s="916">
        <f t="shared" ref="AD48:AN48" si="42">(AD73/AC73)^4-1+AD50</f>
        <v>1.5299895562953081E-2</v>
      </c>
      <c r="AE48" s="916">
        <f t="shared" si="42"/>
        <v>1.4729668703095777E-2</v>
      </c>
      <c r="AF48" s="916">
        <f t="shared" si="42"/>
        <v>1.5119603614899724E-2</v>
      </c>
      <c r="AG48" s="916">
        <f t="shared" si="42"/>
        <v>2.1515602617293128E-2</v>
      </c>
      <c r="AH48" s="916">
        <f t="shared" si="42"/>
        <v>2.2790850007197161E-2</v>
      </c>
      <c r="AI48" s="916">
        <f t="shared" si="42"/>
        <v>2.3263295207157642E-2</v>
      </c>
      <c r="AJ48" s="916">
        <f t="shared" si="42"/>
        <v>2.3889685874715294E-2</v>
      </c>
      <c r="AK48" s="916">
        <f t="shared" si="42"/>
        <v>2.2412555601408091E-2</v>
      </c>
      <c r="AL48" s="916">
        <f t="shared" si="42"/>
        <v>2.2147320108405477E-2</v>
      </c>
      <c r="AM48" s="916">
        <f t="shared" si="42"/>
        <v>2.2772302614111117E-2</v>
      </c>
      <c r="AN48" s="906">
        <f t="shared" si="42"/>
        <v>2.3247045836330082E-2</v>
      </c>
    </row>
    <row r="49" spans="2:40" x14ac:dyDescent="0.25">
      <c r="B49" s="67" t="s">
        <v>1704</v>
      </c>
      <c r="C49" s="935" t="s">
        <v>1694</v>
      </c>
      <c r="D49" s="962">
        <f>('Haver Pivoted'!GO78+1)^4-1</f>
        <v>1.7606158659444704E-2</v>
      </c>
      <c r="E49" s="916">
        <f>('Haver Pivoted'!GP78+1)^4-1</f>
        <v>-1.9289094877951052E-2</v>
      </c>
      <c r="F49" s="916">
        <f>('Haver Pivoted'!GQ78+1)^4-1</f>
        <v>3.0411677963670725E-2</v>
      </c>
      <c r="G49" s="916">
        <f>('Haver Pivoted'!GR78+1)^4-1</f>
        <v>1.5793384791695786E-2</v>
      </c>
      <c r="H49" s="916">
        <f>('Haver Pivoted'!GS78+1)^4-1</f>
        <v>2.3589262537388134E-2</v>
      </c>
      <c r="I49" s="916">
        <f>('Haver Pivoted'!GT78+1)^4-1</f>
        <v>5.264893740513088E-2</v>
      </c>
      <c r="J49" s="916">
        <f>('Haver Pivoted'!GU78+1)^4-1</f>
        <v>-5.217742186237273E-3</v>
      </c>
      <c r="K49" s="916">
        <f>('Haver Pivoted'!GV78+1)^4-1</f>
        <v>4.8875550231923137E-2</v>
      </c>
      <c r="L49" s="916">
        <f>('Haver Pivoted'!GW78+1)^4-1</f>
        <v>4.9958958569866319E-2</v>
      </c>
      <c r="M49" s="916">
        <f>('Haver Pivoted'!GX78+1)^4-1</f>
        <v>9.1754054615137415E-2</v>
      </c>
      <c r="N49" s="916">
        <f>('Haver Pivoted'!GY78+1)^4-1</f>
        <v>8.1251965588764241E-2</v>
      </c>
      <c r="O49" s="916">
        <f>('Haver Pivoted'!GZ78+1)^4-1</f>
        <v>6.5854996027893797E-2</v>
      </c>
      <c r="P49" s="916">
        <f>('Haver Pivoted'!HA78+1)^4-1</f>
        <v>8.1420811365759738E-2</v>
      </c>
      <c r="Q49" s="916">
        <f>('Haver Pivoted'!HB78+1)^4-1</f>
        <v>9.5809760841454095E-2</v>
      </c>
      <c r="R49" s="916">
        <f>('Haver Pivoted'!HC78+1)^4-1</f>
        <v>0.14288883985037359</v>
      </c>
      <c r="S49" s="936">
        <f>('Haver Pivoted'!HD78+1)^4-1</f>
        <v>5.753757100426693E-3</v>
      </c>
      <c r="T49" s="936">
        <f>('Haver Pivoted'!HE78+1)^4-1</f>
        <v>1.1355976812321922E-2</v>
      </c>
      <c r="U49" s="936">
        <f>('Haver Pivoted'!HF78+1)^4-1</f>
        <v>-2.087064600501487E-2</v>
      </c>
      <c r="V49" s="936">
        <f>('Haver Pivoted'!HG78+1)^4-1</f>
        <v>-3.6759658065968148E-2</v>
      </c>
      <c r="W49" s="936">
        <f>('Haver Pivoted'!HH78+1)^4-1</f>
        <v>4.0372871979416969E-2</v>
      </c>
      <c r="X49" s="936">
        <f>('Haver Pivoted'!HI78+1)^4-1</f>
        <v>-1.1102871005200798E-3</v>
      </c>
      <c r="Y49" s="936">
        <f>('Haver Pivoted'!HJ78+1)^4-1</f>
        <v>3.8608393322818291E-2</v>
      </c>
      <c r="Z49" s="936">
        <f>('Haver Pivoted'!HK78+1)^4-1</f>
        <v>1.6292943839810503E-2</v>
      </c>
      <c r="AA49" s="936">
        <f>('Haver Pivoted'!HL78+1)^4-1</f>
        <v>2.3887845221117976E-2</v>
      </c>
      <c r="AB49" s="936">
        <f>('Haver Pivoted'!HM78+1)^4-1</f>
        <v>1.7801857364531548E-2</v>
      </c>
      <c r="AC49" s="936">
        <f>('Haver Pivoted'!HN78+1)^4-1</f>
        <v>4.3275185098242019E-2</v>
      </c>
      <c r="AD49" s="916">
        <f>(AD74/AC74)^4-1</f>
        <v>2.8606309371189242E-2</v>
      </c>
      <c r="AE49" s="916">
        <f t="shared" ref="AE49:AN49" si="43">(AE74/AD74)^4-1</f>
        <v>3.1343868352262882E-2</v>
      </c>
      <c r="AF49" s="916">
        <f t="shared" si="43"/>
        <v>3.2394354805230341E-2</v>
      </c>
      <c r="AG49" s="916">
        <f t="shared" si="43"/>
        <v>3.3164637629816696E-2</v>
      </c>
      <c r="AH49" s="916">
        <f t="shared" si="43"/>
        <v>3.1425713898589613E-2</v>
      </c>
      <c r="AI49" s="916">
        <f t="shared" si="43"/>
        <v>3.1013053419121528E-2</v>
      </c>
      <c r="AJ49" s="916">
        <f t="shared" si="43"/>
        <v>3.1015398756455648E-2</v>
      </c>
      <c r="AK49" s="916">
        <f t="shared" si="43"/>
        <v>3.0542269425562596E-2</v>
      </c>
      <c r="AL49" s="916">
        <f t="shared" si="43"/>
        <v>3.0334679878840642E-2</v>
      </c>
      <c r="AM49" s="916">
        <f t="shared" si="43"/>
        <v>2.9994558057691467E-2</v>
      </c>
      <c r="AN49" s="1424">
        <f t="shared" si="43"/>
        <v>2.9803649988641601E-2</v>
      </c>
    </row>
    <row r="50" spans="2:40" x14ac:dyDescent="0.25">
      <c r="B50" s="67" t="s">
        <v>2303</v>
      </c>
      <c r="C50" s="935"/>
      <c r="D50" s="962"/>
      <c r="E50" s="916"/>
      <c r="F50" s="916"/>
      <c r="G50" s="916"/>
      <c r="H50" s="916"/>
      <c r="I50" s="916"/>
      <c r="J50" s="916"/>
      <c r="K50" s="916"/>
      <c r="L50" s="916"/>
      <c r="M50" s="916"/>
      <c r="N50" s="916"/>
      <c r="O50" s="916"/>
      <c r="P50" s="916"/>
      <c r="Q50" s="916"/>
      <c r="R50" s="916"/>
      <c r="S50" s="936"/>
      <c r="T50" s="936"/>
      <c r="U50" s="936"/>
      <c r="V50" s="936"/>
      <c r="W50" s="936"/>
      <c r="X50" s="936"/>
      <c r="Y50" s="936"/>
      <c r="Z50" s="936"/>
      <c r="AA50" s="936"/>
      <c r="AB50" s="936"/>
      <c r="AC50" s="936"/>
      <c r="AD50" s="916"/>
      <c r="AE50" s="916"/>
      <c r="AF50" s="916"/>
      <c r="AG50" s="916"/>
      <c r="AH50" s="916"/>
      <c r="AI50" s="916"/>
      <c r="AJ50" s="916"/>
      <c r="AK50" s="916"/>
      <c r="AL50" s="916"/>
      <c r="AM50" s="916"/>
      <c r="AN50" s="906"/>
    </row>
    <row r="51" spans="2:40" x14ac:dyDescent="0.25">
      <c r="B51" s="67" t="s">
        <v>1705</v>
      </c>
      <c r="C51" s="935" t="s">
        <v>1695</v>
      </c>
      <c r="D51" s="962">
        <f>('Haver Pivoted'!GO79+1)^4-1</f>
        <v>1.2331231439726587E-2</v>
      </c>
      <c r="E51" s="916">
        <f>('Haver Pivoted'!GP79+1)^4-1</f>
        <v>-2.700843667145636E-2</v>
      </c>
      <c r="F51" s="916">
        <f>('Haver Pivoted'!GQ79+1)^4-1</f>
        <v>2.7562863533678428E-2</v>
      </c>
      <c r="G51" s="916">
        <f>('Haver Pivoted'!GR79+1)^4-1</f>
        <v>1.5442696812244527E-2</v>
      </c>
      <c r="H51" s="916">
        <f>('Haver Pivoted'!GS79+1)^4-1</f>
        <v>2.7307145143274258E-2</v>
      </c>
      <c r="I51" s="916">
        <f>('Haver Pivoted'!GT79+1)^4-1</f>
        <v>6.2563226282339235E-2</v>
      </c>
      <c r="J51" s="916">
        <f>('Haver Pivoted'!GU79+1)^4-1</f>
        <v>-3.1076845521187391E-3</v>
      </c>
      <c r="K51" s="916">
        <f>('Haver Pivoted'!GV79+1)^4-1</f>
        <v>5.0835204325521355E-2</v>
      </c>
      <c r="L51" s="916">
        <f>('Haver Pivoted'!GW79+1)^4-1</f>
        <v>5.6516511024412575E-2</v>
      </c>
      <c r="M51" s="916">
        <f>('Haver Pivoted'!GX79+1)^4-1</f>
        <v>9.8643019696944334E-2</v>
      </c>
      <c r="N51" s="916">
        <f>('Haver Pivoted'!GY79+1)^4-1</f>
        <v>7.7982454628441111E-2</v>
      </c>
      <c r="O51" s="916">
        <f>('Haver Pivoted'!GZ79+1)^4-1</f>
        <v>6.0955299775054206E-2</v>
      </c>
      <c r="P51" s="916">
        <f>('Haver Pivoted'!HA79+1)^4-1</f>
        <v>7.2782919540383961E-2</v>
      </c>
      <c r="Q51" s="916">
        <f>('Haver Pivoted'!HB79+1)^4-1</f>
        <v>9.0061872181369962E-2</v>
      </c>
      <c r="R51" s="916">
        <f>('Haver Pivoted'!HC79+1)^4-1</f>
        <v>0.1436965164831121</v>
      </c>
      <c r="S51" s="936">
        <f>('Haver Pivoted'!HD79+1)^4-1</f>
        <v>-1.1746560973159292E-2</v>
      </c>
      <c r="T51" s="936">
        <f>('Haver Pivoted'!HE79+1)^4-1</f>
        <v>2.1967430570584145E-3</v>
      </c>
      <c r="U51" s="936">
        <f>('Haver Pivoted'!HF79+1)^4-1</f>
        <v>-3.5599925493891349E-2</v>
      </c>
      <c r="V51" s="936">
        <f>('Haver Pivoted'!HG79+1)^4-1</f>
        <v>-4.5280831786954745E-2</v>
      </c>
      <c r="W51" s="936">
        <f>('Haver Pivoted'!HH79+1)^4-1</f>
        <v>4.8134298648978557E-2</v>
      </c>
      <c r="X51" s="936">
        <f>('Haver Pivoted'!HI79+1)^4-1</f>
        <v>-4.2594526301267255E-3</v>
      </c>
      <c r="Y51" s="936">
        <f>('Haver Pivoted'!HJ79+1)^4-1</f>
        <v>4.217111451589628E-2</v>
      </c>
      <c r="Z51" s="936">
        <f>('Haver Pivoted'!HK79+1)^4-1</f>
        <v>1.9463682308167529E-2</v>
      </c>
      <c r="AA51" s="936">
        <f>('Haver Pivoted'!HL79+1)^4-1</f>
        <v>2.1874539845902152E-2</v>
      </c>
      <c r="AB51" s="936">
        <f>('Haver Pivoted'!HM79+1)^4-1</f>
        <v>1.9072730382637015E-2</v>
      </c>
      <c r="AC51" s="936">
        <f>('Haver Pivoted'!HN79+1)^4-1</f>
        <v>4.779852512065097E-2</v>
      </c>
      <c r="AD51" s="916">
        <f t="shared" ref="AD51:AF51" si="44">AD49</f>
        <v>2.8606309371189242E-2</v>
      </c>
      <c r="AE51" s="916">
        <f t="shared" si="44"/>
        <v>3.1343868352262882E-2</v>
      </c>
      <c r="AF51" s="916">
        <f t="shared" si="44"/>
        <v>3.2394354805230341E-2</v>
      </c>
      <c r="AG51" s="916">
        <f t="shared" ref="AG51:AH51" si="45">AG49</f>
        <v>3.3164637629816696E-2</v>
      </c>
      <c r="AH51" s="916">
        <f t="shared" si="45"/>
        <v>3.1425713898589613E-2</v>
      </c>
      <c r="AI51" s="916">
        <f t="shared" ref="AI51:AN51" si="46">AI49</f>
        <v>3.1013053419121528E-2</v>
      </c>
      <c r="AJ51" s="916">
        <f t="shared" si="46"/>
        <v>3.1015398756455648E-2</v>
      </c>
      <c r="AK51" s="916">
        <f t="shared" si="46"/>
        <v>3.0542269425562596E-2</v>
      </c>
      <c r="AL51" s="916">
        <f>AL49</f>
        <v>3.0334679878840642E-2</v>
      </c>
      <c r="AM51" s="916">
        <f t="shared" si="46"/>
        <v>2.9994558057691467E-2</v>
      </c>
      <c r="AN51" s="906">
        <f t="shared" si="46"/>
        <v>2.9803649988641601E-2</v>
      </c>
    </row>
    <row r="52" spans="2:40" x14ac:dyDescent="0.25">
      <c r="B52" s="333" t="s">
        <v>1706</v>
      </c>
      <c r="C52" s="959" t="s">
        <v>1696</v>
      </c>
      <c r="D52" s="919">
        <f>('Haver Pivoted'!GO80+1)^4-1</f>
        <v>4.0962242441666019E-2</v>
      </c>
      <c r="E52" s="920">
        <f>('Haver Pivoted'!GP80+1)^4-1</f>
        <v>1.51792670994777E-2</v>
      </c>
      <c r="F52" s="920">
        <f>('Haver Pivoted'!GQ80+1)^4-1</f>
        <v>4.2702169718882965E-2</v>
      </c>
      <c r="G52" s="920">
        <f>('Haver Pivoted'!GR80+1)^4-1</f>
        <v>1.755007684826615E-2</v>
      </c>
      <c r="H52" s="920">
        <f>('Haver Pivoted'!GS80+1)^4-1</f>
        <v>7.6166905113348449E-3</v>
      </c>
      <c r="I52" s="920">
        <f>('Haver Pivoted'!GT80+1)^4-1</f>
        <v>1.0120807804920418E-2</v>
      </c>
      <c r="J52" s="920">
        <f>('Haver Pivoted'!GU80+1)^4-1</f>
        <v>-1.4337681566159555E-2</v>
      </c>
      <c r="K52" s="920">
        <f>('Haver Pivoted'!GV80+1)^4-1</f>
        <v>3.9796166071044636E-2</v>
      </c>
      <c r="L52" s="920">
        <f>('Haver Pivoted'!GW80+1)^4-1</f>
        <v>2.0329576447674524E-2</v>
      </c>
      <c r="M52" s="920">
        <f>('Haver Pivoted'!GX80+1)^4-1</f>
        <v>5.9674403216350091E-2</v>
      </c>
      <c r="N52" s="920">
        <f>('Haver Pivoted'!GY80+1)^4-1</f>
        <v>9.5803328528480503E-2</v>
      </c>
      <c r="O52" s="920">
        <f>('Haver Pivoted'!GZ80+1)^4-1</f>
        <v>8.9244367976453631E-2</v>
      </c>
      <c r="P52" s="920">
        <f>('Haver Pivoted'!HA80+1)^4-1</f>
        <v>0.12456668920888303</v>
      </c>
      <c r="Q52" s="920">
        <f>('Haver Pivoted'!HB80+1)^4-1</f>
        <v>0.12433979312392585</v>
      </c>
      <c r="R52" s="920">
        <f>('Haver Pivoted'!HC80+1)^4-1</f>
        <v>0.13846732874655276</v>
      </c>
      <c r="S52" s="952">
        <f>('Haver Pivoted'!HD80+1)^4-1</f>
        <v>9.552027198699542E-2</v>
      </c>
      <c r="T52" s="952">
        <f>('Haver Pivoted'!HE80+1)^4-1</f>
        <v>5.5161829119105388E-2</v>
      </c>
      <c r="U52" s="952">
        <f>('Haver Pivoted'!HF80+1)^4-1</f>
        <v>5.0122233379745529E-2</v>
      </c>
      <c r="V52" s="952">
        <f>('Haver Pivoted'!HG80+1)^4-1</f>
        <v>2.1164173736800684E-3</v>
      </c>
      <c r="W52" s="952">
        <f>('Haver Pivoted'!HH80+1)^4-1</f>
        <v>5.8706332638096548E-3</v>
      </c>
      <c r="X52" s="952">
        <f>('Haver Pivoted'!HI80+1)^4-1</f>
        <v>1.2084409350409553E-2</v>
      </c>
      <c r="Y52" s="952">
        <f>('Haver Pivoted'!HJ80+1)^4-1</f>
        <v>2.380676700323181E-2</v>
      </c>
      <c r="Z52" s="952">
        <f>('Haver Pivoted'!HK80+1)^4-1</f>
        <v>3.3212249496941126E-3</v>
      </c>
      <c r="AA52" s="952">
        <f>('Haver Pivoted'!HL80+1)^4-1</f>
        <v>3.2150473499066079E-2</v>
      </c>
      <c r="AB52" s="952">
        <f>('Haver Pivoted'!HM80+1)^4-1</f>
        <v>1.2769263183438628E-2</v>
      </c>
      <c r="AC52" s="952">
        <f>('Haver Pivoted'!HN80+1)^4-1</f>
        <v>2.4705923786078277E-2</v>
      </c>
      <c r="AD52" s="920">
        <f t="shared" ref="AD52:AF52" si="47">AD51</f>
        <v>2.8606309371189242E-2</v>
      </c>
      <c r="AE52" s="920">
        <f t="shared" si="47"/>
        <v>3.1343868352262882E-2</v>
      </c>
      <c r="AF52" s="920">
        <f t="shared" si="47"/>
        <v>3.2394354805230341E-2</v>
      </c>
      <c r="AG52" s="920">
        <f t="shared" ref="AG52:AH52" si="48">AG51</f>
        <v>3.3164637629816696E-2</v>
      </c>
      <c r="AH52" s="920">
        <f t="shared" si="48"/>
        <v>3.1425713898589613E-2</v>
      </c>
      <c r="AI52" s="920">
        <f>AI51</f>
        <v>3.1013053419121528E-2</v>
      </c>
      <c r="AJ52" s="920">
        <f t="shared" ref="AJ52:AN52" si="49">AJ51</f>
        <v>3.1015398756455648E-2</v>
      </c>
      <c r="AK52" s="920">
        <f t="shared" si="49"/>
        <v>3.0542269425562596E-2</v>
      </c>
      <c r="AL52" s="920">
        <f t="shared" si="49"/>
        <v>3.0334679878840642E-2</v>
      </c>
      <c r="AM52" s="920">
        <f t="shared" si="49"/>
        <v>2.9994558057691467E-2</v>
      </c>
      <c r="AN52" s="921">
        <f t="shared" si="49"/>
        <v>2.9803649988641601E-2</v>
      </c>
    </row>
    <row r="53" spans="2:40" x14ac:dyDescent="0.25">
      <c r="B53" s="56"/>
      <c r="C53" s="935"/>
      <c r="D53" s="916"/>
      <c r="E53" s="916"/>
      <c r="F53" s="916"/>
      <c r="G53" s="916"/>
      <c r="H53" s="916"/>
      <c r="I53" s="916"/>
      <c r="J53" s="916"/>
      <c r="K53" s="916"/>
      <c r="L53" s="916"/>
      <c r="M53" s="916"/>
      <c r="N53" s="916"/>
      <c r="O53" s="916"/>
      <c r="P53" s="916"/>
      <c r="Q53" s="916"/>
      <c r="R53" s="916"/>
      <c r="X53" s="916"/>
      <c r="AB53" s="916"/>
      <c r="AC53" s="916"/>
      <c r="AD53" s="916"/>
      <c r="AE53" s="916"/>
      <c r="AF53" s="916"/>
    </row>
    <row r="54" spans="2:40" x14ac:dyDescent="0.25">
      <c r="B54" s="56"/>
      <c r="C54" s="935"/>
      <c r="D54" s="916"/>
      <c r="E54" s="916"/>
      <c r="F54" s="916"/>
      <c r="G54" s="916"/>
      <c r="H54" s="916"/>
      <c r="I54" s="916"/>
      <c r="J54" s="916"/>
      <c r="K54" s="916"/>
      <c r="L54" s="916"/>
      <c r="M54" s="916"/>
      <c r="N54" s="916"/>
      <c r="O54" s="916"/>
      <c r="P54" s="916"/>
      <c r="Q54" s="916"/>
      <c r="R54" s="916"/>
      <c r="X54" s="916"/>
      <c r="AB54" s="916"/>
      <c r="AC54" s="916"/>
      <c r="AD54" s="916"/>
      <c r="AE54" s="916"/>
      <c r="AF54" s="916"/>
    </row>
    <row r="55" spans="2:40" x14ac:dyDescent="0.25">
      <c r="B55" s="945" t="s">
        <v>1702</v>
      </c>
      <c r="C55" s="935"/>
      <c r="D55" s="916"/>
      <c r="E55" s="916"/>
      <c r="F55" s="916"/>
      <c r="G55" s="916"/>
      <c r="H55" s="916"/>
      <c r="I55" s="916"/>
      <c r="J55" s="916"/>
      <c r="K55" s="916"/>
      <c r="L55" s="916"/>
      <c r="M55" s="916"/>
      <c r="N55" s="916"/>
      <c r="O55" s="916"/>
      <c r="P55" s="916"/>
      <c r="Q55" s="916"/>
      <c r="R55" s="916"/>
      <c r="S55" s="1428">
        <f>S72</f>
        <v>1.1700921610724198</v>
      </c>
      <c r="T55">
        <f>S55*(1+T45)^0.25</f>
        <v>1.1816716876463498</v>
      </c>
      <c r="U55">
        <f t="shared" ref="U55:AN55" si="50">T55*(1+U45)^0.25</f>
        <v>1.1931512183085879</v>
      </c>
      <c r="V55">
        <f t="shared" si="50"/>
        <v>1.2017708658964359</v>
      </c>
      <c r="W55">
        <f t="shared" si="50"/>
        <v>1.2097805384229627</v>
      </c>
      <c r="X55">
        <f t="shared" si="50"/>
        <v>1.2147503352340536</v>
      </c>
      <c r="Y55">
        <f t="shared" si="50"/>
        <v>1.2250199153648189</v>
      </c>
      <c r="Z55">
        <f t="shared" si="50"/>
        <v>1.2326996013827622</v>
      </c>
      <c r="AA55">
        <f t="shared" si="50"/>
        <v>1.2374194084146231</v>
      </c>
      <c r="AB55">
        <f t="shared" si="50"/>
        <v>1.244729109559306</v>
      </c>
      <c r="AC55">
        <f t="shared" si="50"/>
        <v>1.2557886573924379</v>
      </c>
      <c r="AD55">
        <f t="shared" si="50"/>
        <v>1.2643295386585842</v>
      </c>
      <c r="AE55">
        <f t="shared" si="50"/>
        <v>1.2718093458206816</v>
      </c>
      <c r="AF55">
        <f t="shared" si="50"/>
        <v>1.2787508821989639</v>
      </c>
      <c r="AG55">
        <f t="shared" si="50"/>
        <v>1.2855597251593611</v>
      </c>
      <c r="AH55">
        <f t="shared" si="50"/>
        <v>1.292059534542757</v>
      </c>
      <c r="AI55">
        <f t="shared" si="50"/>
        <v>1.2985716015700679</v>
      </c>
      <c r="AJ55">
        <f t="shared" si="50"/>
        <v>1.3051478206039884</v>
      </c>
      <c r="AK55">
        <f t="shared" si="50"/>
        <v>1.3117147508193243</v>
      </c>
      <c r="AL55">
        <f t="shared" si="50"/>
        <v>1.3182834461684263</v>
      </c>
      <c r="AM55">
        <f t="shared" si="50"/>
        <v>1.324854404558087</v>
      </c>
      <c r="AN55">
        <f t="shared" si="50"/>
        <v>1.331450276747868</v>
      </c>
    </row>
    <row r="56" spans="2:40" x14ac:dyDescent="0.25">
      <c r="B56" s="67" t="s">
        <v>1703</v>
      </c>
      <c r="C56" s="935"/>
      <c r="D56" s="916"/>
      <c r="E56" s="916"/>
      <c r="F56" s="916"/>
      <c r="G56" s="916"/>
      <c r="H56" s="916"/>
      <c r="I56" s="916"/>
      <c r="J56" s="916"/>
      <c r="K56" s="916"/>
      <c r="L56" s="916"/>
      <c r="M56" s="916"/>
      <c r="N56" s="916"/>
      <c r="O56" s="916"/>
      <c r="P56" s="916"/>
      <c r="Q56" s="916"/>
      <c r="R56" s="916"/>
      <c r="S56" s="1428">
        <f t="shared" ref="S56:S57" si="51">S73</f>
        <v>1.1617241135253733</v>
      </c>
      <c r="T56">
        <f>S56*(1+T48)^0.25</f>
        <v>1.1735929295650571</v>
      </c>
      <c r="U56">
        <f t="shared" ref="U56:AN56" si="52">T56*(1+U48)^0.25</f>
        <v>1.1859816937379031</v>
      </c>
      <c r="V56">
        <f t="shared" si="52"/>
        <v>1.1962306713627353</v>
      </c>
      <c r="W56">
        <f t="shared" si="52"/>
        <v>1.2074695502410877</v>
      </c>
      <c r="X56">
        <f t="shared" si="52"/>
        <v>1.2188684131604133</v>
      </c>
      <c r="Y56">
        <f t="shared" si="52"/>
        <v>1.2295473478953602</v>
      </c>
      <c r="Z56">
        <f t="shared" si="52"/>
        <v>1.238126492092537</v>
      </c>
      <c r="AA56">
        <f t="shared" si="52"/>
        <v>1.2456357430157068</v>
      </c>
      <c r="AB56">
        <f t="shared" si="52"/>
        <v>1.2538549231206941</v>
      </c>
      <c r="AC56">
        <f t="shared" si="52"/>
        <v>1.2706232504151758</v>
      </c>
      <c r="AD56">
        <f t="shared" si="52"/>
        <v>1.2754557128158244</v>
      </c>
      <c r="AE56">
        <f t="shared" si="52"/>
        <v>1.2801267503737244</v>
      </c>
      <c r="AF56">
        <f t="shared" si="52"/>
        <v>1.2849383071116582</v>
      </c>
      <c r="AG56">
        <f t="shared" si="52"/>
        <v>1.2917947874601938</v>
      </c>
      <c r="AH56">
        <f t="shared" si="52"/>
        <v>1.2990929810897911</v>
      </c>
      <c r="AI56">
        <f t="shared" si="52"/>
        <v>1.3065832469267051</v>
      </c>
      <c r="AJ56">
        <f t="shared" si="52"/>
        <v>1.3143177628803204</v>
      </c>
      <c r="AK56">
        <f t="shared" si="52"/>
        <v>1.3216209699789327</v>
      </c>
      <c r="AL56">
        <f t="shared" si="52"/>
        <v>1.3288785596670858</v>
      </c>
      <c r="AM56">
        <f t="shared" si="52"/>
        <v>1.3363802051976192</v>
      </c>
      <c r="AN56">
        <f t="shared" si="52"/>
        <v>1.3440801244002583</v>
      </c>
    </row>
    <row r="57" spans="2:40" x14ac:dyDescent="0.25">
      <c r="B57" s="333" t="s">
        <v>1704</v>
      </c>
      <c r="C57" s="935"/>
      <c r="D57" s="916"/>
      <c r="E57" s="916"/>
      <c r="F57" s="916"/>
      <c r="G57" s="916"/>
      <c r="H57" s="916"/>
      <c r="I57" s="916"/>
      <c r="J57" s="916"/>
      <c r="K57" s="916"/>
      <c r="L57" s="916"/>
      <c r="M57" s="916"/>
      <c r="N57" s="916"/>
      <c r="O57" s="916"/>
      <c r="P57" s="916"/>
      <c r="Q57" s="916"/>
      <c r="R57" s="916"/>
      <c r="S57" s="1428">
        <f t="shared" si="51"/>
        <v>1.2627669039145906</v>
      </c>
      <c r="T57">
        <f>S57*(1+T49)^0.25</f>
        <v>1.2663367255429767</v>
      </c>
      <c r="U57">
        <f t="shared" ref="U57:AN57" si="53">T57*(1+U49)^0.25</f>
        <v>1.259677058303466</v>
      </c>
      <c r="V57">
        <f t="shared" si="53"/>
        <v>1.2479376448812656</v>
      </c>
      <c r="W57">
        <f t="shared" si="53"/>
        <v>1.2603470248275608</v>
      </c>
      <c r="X57">
        <f t="shared" si="53"/>
        <v>1.259997042314974</v>
      </c>
      <c r="Y57">
        <f t="shared" si="53"/>
        <v>1.2719864432461649</v>
      </c>
      <c r="Z57">
        <f t="shared" si="53"/>
        <v>1.2771361859313719</v>
      </c>
      <c r="AA57">
        <f t="shared" si="53"/>
        <v>1.2846958082032489</v>
      </c>
      <c r="AB57">
        <f t="shared" si="53"/>
        <v>1.2903755244075163</v>
      </c>
      <c r="AC57">
        <f t="shared" si="53"/>
        <v>1.3041148379016416</v>
      </c>
      <c r="AD57">
        <f t="shared" si="53"/>
        <v>1.3133429048505811</v>
      </c>
      <c r="AE57">
        <f t="shared" si="53"/>
        <v>1.3235154181801874</v>
      </c>
      <c r="AF57">
        <f t="shared" si="53"/>
        <v>1.3341062238168997</v>
      </c>
      <c r="AG57">
        <f t="shared" si="53"/>
        <v>1.3450325469934785</v>
      </c>
      <c r="AH57">
        <f t="shared" si="53"/>
        <v>1.3554774035416501</v>
      </c>
      <c r="AI57">
        <f t="shared" si="53"/>
        <v>1.3658667189687059</v>
      </c>
      <c r="AJ57">
        <f t="shared" si="53"/>
        <v>1.3763364480056937</v>
      </c>
      <c r="AK57">
        <f t="shared" si="53"/>
        <v>1.3867272935691795</v>
      </c>
      <c r="AL57">
        <f t="shared" si="53"/>
        <v>1.3971262191255942</v>
      </c>
      <c r="AM57">
        <f t="shared" si="53"/>
        <v>1.4074869454763601</v>
      </c>
      <c r="AN57">
        <f t="shared" si="53"/>
        <v>1.4178587971371157</v>
      </c>
    </row>
    <row r="58" spans="2:40" x14ac:dyDescent="0.25">
      <c r="B58" s="56"/>
      <c r="C58" s="935"/>
      <c r="D58" s="916"/>
      <c r="E58" s="916"/>
      <c r="F58" s="916"/>
      <c r="G58" s="916"/>
      <c r="H58" s="916"/>
      <c r="I58" s="916"/>
      <c r="J58" s="916"/>
      <c r="K58" s="916"/>
      <c r="L58" s="916"/>
      <c r="M58" s="916"/>
      <c r="N58" s="916"/>
      <c r="O58" s="916"/>
      <c r="P58" s="916"/>
      <c r="Q58" s="916"/>
      <c r="R58" s="916"/>
      <c r="X58" s="916"/>
      <c r="AB58" s="916"/>
      <c r="AC58" s="916"/>
      <c r="AD58" s="916"/>
      <c r="AE58" s="916"/>
      <c r="AF58" s="916"/>
    </row>
    <row r="59" spans="2:40" x14ac:dyDescent="0.25">
      <c r="B59" s="56"/>
      <c r="C59" s="935"/>
      <c r="D59" s="916"/>
      <c r="E59" s="916"/>
      <c r="F59" s="916"/>
      <c r="G59" s="916"/>
      <c r="H59" s="916"/>
      <c r="I59" s="916"/>
      <c r="J59" s="916"/>
      <c r="K59" s="916"/>
      <c r="L59" s="916"/>
      <c r="M59" s="916"/>
      <c r="N59" s="916"/>
      <c r="O59" s="916"/>
      <c r="P59" s="916"/>
      <c r="Q59" s="916"/>
      <c r="R59" s="916"/>
      <c r="X59" s="916"/>
      <c r="AB59" s="916"/>
      <c r="AC59" s="916"/>
      <c r="AD59" s="916"/>
      <c r="AE59" s="916"/>
      <c r="AF59" s="916"/>
    </row>
    <row r="60" spans="2:40" x14ac:dyDescent="0.25">
      <c r="B60" s="56"/>
      <c r="C60" s="935"/>
      <c r="D60" s="916"/>
      <c r="E60" s="916"/>
      <c r="F60" s="916"/>
      <c r="G60" s="916"/>
      <c r="H60" s="916"/>
      <c r="I60" s="916"/>
      <c r="J60" s="916"/>
      <c r="K60" s="916"/>
      <c r="L60" s="916"/>
      <c r="M60" s="916"/>
      <c r="N60" s="916"/>
      <c r="O60" s="916"/>
      <c r="P60" s="916"/>
      <c r="Q60" s="916"/>
      <c r="R60" s="916"/>
      <c r="X60" s="916"/>
      <c r="AB60" s="916"/>
      <c r="AC60" s="916"/>
      <c r="AD60" s="916"/>
      <c r="AE60" s="916"/>
      <c r="AF60" s="916"/>
    </row>
    <row r="61" spans="2:40" x14ac:dyDescent="0.25">
      <c r="B61" s="56"/>
      <c r="C61" s="935"/>
      <c r="D61" s="916"/>
      <c r="E61" s="916"/>
      <c r="F61" s="916"/>
      <c r="G61" s="916"/>
      <c r="H61" s="916"/>
      <c r="I61" s="916"/>
      <c r="J61" s="916"/>
      <c r="K61" s="916"/>
      <c r="L61" s="916"/>
      <c r="M61" s="916"/>
      <c r="N61" s="916"/>
      <c r="O61" s="916"/>
      <c r="P61" s="916"/>
      <c r="Q61" s="916"/>
      <c r="R61" s="916"/>
      <c r="X61" s="916"/>
      <c r="Y61" s="916"/>
      <c r="Z61" s="916"/>
      <c r="AA61" s="916"/>
      <c r="AB61" s="916"/>
      <c r="AC61" s="916"/>
      <c r="AD61" s="916"/>
      <c r="AE61" s="916"/>
      <c r="AF61" s="916"/>
    </row>
    <row r="62" spans="2:40" ht="14.45" customHeight="1" x14ac:dyDescent="0.25">
      <c r="B62" s="1360" t="s">
        <v>1726</v>
      </c>
      <c r="C62" s="1360"/>
      <c r="D62" s="1360"/>
      <c r="E62" s="1360"/>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row>
    <row r="63" spans="2:40" ht="30" customHeight="1" x14ac:dyDescent="0.25">
      <c r="B63" s="928" t="s">
        <v>1970</v>
      </c>
      <c r="C63" s="951"/>
      <c r="D63" s="285">
        <v>2018</v>
      </c>
      <c r="E63" s="1288">
        <v>2019</v>
      </c>
      <c r="F63" s="1300"/>
      <c r="G63" s="1300"/>
      <c r="H63" s="1290"/>
      <c r="I63" s="1288">
        <v>2020</v>
      </c>
      <c r="J63" s="1300"/>
      <c r="K63" s="1300"/>
      <c r="L63" s="1300"/>
      <c r="M63" s="1288">
        <v>2021</v>
      </c>
      <c r="N63" s="1300"/>
      <c r="O63" s="1300"/>
      <c r="P63" s="1300"/>
      <c r="Q63" s="1291">
        <v>2022</v>
      </c>
      <c r="R63" s="1292"/>
      <c r="S63" s="291"/>
      <c r="T63" s="298"/>
      <c r="U63" s="1288">
        <v>2023</v>
      </c>
      <c r="V63" s="1300"/>
      <c r="W63" s="1300"/>
      <c r="X63" s="1290"/>
      <c r="Y63" s="441"/>
      <c r="Z63" s="291">
        <v>2024</v>
      </c>
      <c r="AA63" s="291"/>
      <c r="AB63" s="324"/>
      <c r="AC63" s="1275">
        <v>2025</v>
      </c>
      <c r="AD63" s="1276"/>
      <c r="AE63" s="1276"/>
      <c r="AF63" s="1280"/>
      <c r="AG63" s="1275">
        <v>2026</v>
      </c>
      <c r="AH63" s="1281"/>
      <c r="AI63" s="1281"/>
      <c r="AJ63" s="1280"/>
      <c r="AK63" s="1275">
        <v>2027</v>
      </c>
      <c r="AL63" s="1281"/>
      <c r="AM63" s="1281"/>
      <c r="AN63" s="1280"/>
    </row>
    <row r="64" spans="2:40" x14ac:dyDescent="0.25">
      <c r="B64" s="914"/>
      <c r="C64" s="238"/>
      <c r="D64" s="275" t="s">
        <v>281</v>
      </c>
      <c r="E64" s="275" t="s">
        <v>282</v>
      </c>
      <c r="F64" s="276" t="s">
        <v>283</v>
      </c>
      <c r="G64" s="276" t="s">
        <v>238</v>
      </c>
      <c r="H64" s="274" t="s">
        <v>281</v>
      </c>
      <c r="I64" s="276" t="s">
        <v>282</v>
      </c>
      <c r="J64" s="276" t="s">
        <v>283</v>
      </c>
      <c r="K64" s="276" t="s">
        <v>238</v>
      </c>
      <c r="L64" s="276" t="s">
        <v>281</v>
      </c>
      <c r="M64" s="275" t="s">
        <v>282</v>
      </c>
      <c r="N64" s="276" t="s">
        <v>283</v>
      </c>
      <c r="O64" s="276" t="s">
        <v>238</v>
      </c>
      <c r="P64" s="276" t="s">
        <v>281</v>
      </c>
      <c r="Q64" s="275" t="s">
        <v>282</v>
      </c>
      <c r="R64" s="276" t="s">
        <v>283</v>
      </c>
      <c r="S64" s="276" t="s">
        <v>238</v>
      </c>
      <c r="T64" s="274" t="s">
        <v>281</v>
      </c>
      <c r="U64" s="275" t="s">
        <v>282</v>
      </c>
      <c r="V64" s="276" t="s">
        <v>283</v>
      </c>
      <c r="W64" s="276" t="s">
        <v>238</v>
      </c>
      <c r="X64" s="274" t="s">
        <v>281</v>
      </c>
      <c r="Y64" s="275" t="s">
        <v>282</v>
      </c>
      <c r="Z64" s="281" t="s">
        <v>283</v>
      </c>
      <c r="AA64" s="276" t="s">
        <v>238</v>
      </c>
      <c r="AB64" s="290" t="s">
        <v>281</v>
      </c>
      <c r="AC64" s="288" t="s">
        <v>282</v>
      </c>
      <c r="AD64" s="262" t="s">
        <v>283</v>
      </c>
      <c r="AE64" s="262" t="s">
        <v>238</v>
      </c>
      <c r="AF64" s="290" t="s">
        <v>281</v>
      </c>
      <c r="AG64" s="288" t="s">
        <v>282</v>
      </c>
      <c r="AH64" s="260" t="s">
        <v>283</v>
      </c>
      <c r="AI64" s="262" t="s">
        <v>238</v>
      </c>
      <c r="AJ64" s="290" t="s">
        <v>281</v>
      </c>
      <c r="AK64" s="288" t="s">
        <v>282</v>
      </c>
      <c r="AL64" s="260" t="s">
        <v>283</v>
      </c>
      <c r="AM64" s="262" t="s">
        <v>238</v>
      </c>
      <c r="AN64" s="290" t="s">
        <v>281</v>
      </c>
    </row>
    <row r="65" spans="2:72" ht="28.5" customHeight="1" x14ac:dyDescent="0.25">
      <c r="B65" s="922" t="s">
        <v>1914</v>
      </c>
      <c r="C65" s="56" t="s">
        <v>1708</v>
      </c>
      <c r="D65" s="222"/>
      <c r="E65" s="222"/>
      <c r="F65" s="222"/>
      <c r="G65" s="222"/>
      <c r="H65" s="222"/>
      <c r="I65" s="222"/>
      <c r="J65" s="222"/>
      <c r="K65" s="222"/>
      <c r="L65" s="222"/>
      <c r="M65" s="744">
        <v>15217.7</v>
      </c>
      <c r="N65" s="744">
        <v>15950.9</v>
      </c>
      <c r="O65" s="744">
        <v>16285.1</v>
      </c>
      <c r="P65" s="744">
        <v>16718.2</v>
      </c>
      <c r="Q65" s="744">
        <v>17175.099999999999</v>
      </c>
      <c r="R65" s="744">
        <v>17603.8</v>
      </c>
      <c r="S65" s="911">
        <v>17876.2</v>
      </c>
      <c r="T65" s="911">
        <v>18108.3</v>
      </c>
      <c r="U65" s="911">
        <v>18506.2</v>
      </c>
      <c r="V65" s="911">
        <v>18685.7</v>
      </c>
      <c r="W65" s="911">
        <v>18929</v>
      </c>
      <c r="X65" s="911">
        <v>19170.2</v>
      </c>
      <c r="Y65" s="911">
        <v>19424.8</v>
      </c>
      <c r="Z65" s="911">
        <v>19682.7</v>
      </c>
      <c r="AA65" s="911">
        <v>19928.2</v>
      </c>
      <c r="AB65" s="911">
        <v>20185.7</v>
      </c>
      <c r="AC65" s="911">
        <v>20403.099999999999</v>
      </c>
      <c r="AD65" s="911">
        <v>20642.2</v>
      </c>
      <c r="AE65" s="911">
        <v>20846.8</v>
      </c>
      <c r="AF65" s="911">
        <v>21044.3</v>
      </c>
      <c r="AG65" s="911">
        <v>21224.400000000001</v>
      </c>
      <c r="AH65" s="905">
        <v>21419</v>
      </c>
      <c r="AI65" s="905">
        <v>21589.1</v>
      </c>
      <c r="AJ65" s="905">
        <v>21781.8</v>
      </c>
      <c r="AK65" s="905">
        <v>21986.799999999999</v>
      </c>
      <c r="AL65" s="905">
        <v>22169.7</v>
      </c>
      <c r="AM65" s="905">
        <v>22353.1</v>
      </c>
      <c r="AN65" s="905">
        <v>22549.7</v>
      </c>
      <c r="AO65" s="905">
        <v>22756.3</v>
      </c>
      <c r="AP65" s="905">
        <v>22960.5</v>
      </c>
      <c r="AQ65" s="905">
        <v>23175.7</v>
      </c>
      <c r="AR65" s="905">
        <v>23394.799999999999</v>
      </c>
      <c r="AS65" s="905">
        <v>23623.8</v>
      </c>
      <c r="AT65" s="905">
        <v>23858.3</v>
      </c>
      <c r="AU65" s="905">
        <v>24089.9</v>
      </c>
      <c r="AV65" s="905">
        <v>24324.3</v>
      </c>
      <c r="AW65" s="905">
        <v>24567.4</v>
      </c>
      <c r="AX65" s="905">
        <v>24824.5</v>
      </c>
      <c r="AY65" s="905">
        <v>25079.200000000001</v>
      </c>
      <c r="AZ65" s="905">
        <v>25340.7</v>
      </c>
      <c r="BA65" s="905">
        <v>25603</v>
      </c>
      <c r="BB65" s="905">
        <v>25871.9</v>
      </c>
      <c r="BC65" s="905">
        <v>26140.7</v>
      </c>
      <c r="BD65" s="905">
        <v>26411.5</v>
      </c>
      <c r="BE65" s="905">
        <v>26684.9</v>
      </c>
      <c r="BF65" s="905">
        <v>26961.599999999999</v>
      </c>
      <c r="BG65" s="905">
        <v>27241.4</v>
      </c>
      <c r="BH65" s="905">
        <v>27524.400000000001</v>
      </c>
      <c r="BI65" s="905">
        <v>27809.7</v>
      </c>
      <c r="BJ65" s="905">
        <v>28100.3</v>
      </c>
      <c r="BK65" s="905">
        <v>28394.3</v>
      </c>
      <c r="BL65" s="905">
        <v>28690.400000000001</v>
      </c>
      <c r="BM65" s="905">
        <v>28988.400000000001</v>
      </c>
      <c r="BN65" s="905">
        <v>29289</v>
      </c>
      <c r="BO65" s="905">
        <v>29593.3</v>
      </c>
      <c r="BP65" s="905">
        <v>29899.7</v>
      </c>
      <c r="BQ65">
        <v>30207</v>
      </c>
      <c r="BR65">
        <v>30516</v>
      </c>
      <c r="BS65">
        <v>30827</v>
      </c>
      <c r="BT65">
        <v>31138.6</v>
      </c>
    </row>
    <row r="66" spans="2:72" ht="26.25" customHeight="1" x14ac:dyDescent="0.25">
      <c r="B66" s="922" t="s">
        <v>1915</v>
      </c>
      <c r="C66" s="56" t="s">
        <v>1709</v>
      </c>
      <c r="D66" s="67"/>
      <c r="E66" s="56"/>
      <c r="F66" s="56"/>
      <c r="G66" s="56"/>
      <c r="H66" s="56"/>
      <c r="I66" s="56"/>
      <c r="J66" s="56"/>
      <c r="K66" s="56"/>
      <c r="L66" s="56"/>
      <c r="M66" s="905">
        <v>1609.9</v>
      </c>
      <c r="N66" s="905">
        <v>1588.5</v>
      </c>
      <c r="O66" s="905">
        <v>1576.4</v>
      </c>
      <c r="P66" s="905">
        <v>1602.5</v>
      </c>
      <c r="Q66" s="905">
        <v>1606.5</v>
      </c>
      <c r="R66" s="905">
        <v>1622.1</v>
      </c>
      <c r="S66" s="911">
        <v>1641.4</v>
      </c>
      <c r="T66" s="911">
        <v>1694.2</v>
      </c>
      <c r="U66" s="911">
        <v>1731.6</v>
      </c>
      <c r="V66" s="911">
        <v>1741.8</v>
      </c>
      <c r="W66" s="911">
        <v>1780.9</v>
      </c>
      <c r="X66" s="911">
        <v>1796.2</v>
      </c>
      <c r="Y66" s="911">
        <v>1810.3</v>
      </c>
      <c r="Z66" s="911">
        <v>1842.2</v>
      </c>
      <c r="AA66" s="911">
        <v>1893.4</v>
      </c>
      <c r="AB66" s="911">
        <v>1899.3</v>
      </c>
      <c r="AC66" s="911">
        <v>1905.1</v>
      </c>
      <c r="AD66" s="911">
        <v>1910.7</v>
      </c>
      <c r="AE66" s="911">
        <v>1916.3</v>
      </c>
      <c r="AF66" s="911">
        <v>1922.1</v>
      </c>
      <c r="AG66" s="923">
        <v>1932.1</v>
      </c>
      <c r="AH66" s="923">
        <v>1942.5</v>
      </c>
      <c r="AI66" s="923">
        <v>1953.7</v>
      </c>
      <c r="AJ66" s="923">
        <v>1963.7</v>
      </c>
      <c r="AK66" s="923">
        <v>1973.3</v>
      </c>
      <c r="AL66" s="923">
        <v>1984.4</v>
      </c>
      <c r="AM66" s="923">
        <v>1996</v>
      </c>
      <c r="AN66" s="923">
        <v>2006.3</v>
      </c>
      <c r="AO66" s="923">
        <v>2016.1</v>
      </c>
      <c r="AP66" s="905">
        <v>2026.1</v>
      </c>
      <c r="AQ66" s="905">
        <v>2036.2</v>
      </c>
      <c r="AR66" s="905">
        <v>2047.6</v>
      </c>
      <c r="AS66" s="905">
        <v>2057.4</v>
      </c>
      <c r="AT66" s="905">
        <v>2068.8000000000002</v>
      </c>
      <c r="AU66" s="905">
        <v>2080.3000000000002</v>
      </c>
      <c r="AV66" s="905">
        <v>2091.8000000000002</v>
      </c>
      <c r="AW66" s="905">
        <v>2103.1999999999998</v>
      </c>
      <c r="AX66" s="905">
        <v>2114.6999999999998</v>
      </c>
      <c r="AY66" s="905">
        <v>2124.6999999999998</v>
      </c>
      <c r="AZ66" s="905">
        <v>2134.8000000000002</v>
      </c>
      <c r="BA66" s="905">
        <v>2144.9</v>
      </c>
      <c r="BB66" s="905">
        <v>2156.6</v>
      </c>
      <c r="BC66" s="905">
        <v>2169.1</v>
      </c>
      <c r="BD66" s="905">
        <v>2181.9</v>
      </c>
      <c r="BE66" s="905">
        <v>2194.8000000000002</v>
      </c>
      <c r="BF66" s="905">
        <v>2207.5</v>
      </c>
      <c r="BG66" s="905">
        <v>2221.3000000000002</v>
      </c>
      <c r="BH66" s="905">
        <v>2235.5</v>
      </c>
      <c r="BI66" s="905">
        <v>2249.3000000000002</v>
      </c>
      <c r="BJ66" s="905">
        <v>2263.1999999999998</v>
      </c>
      <c r="BK66" s="905">
        <v>2277.4</v>
      </c>
      <c r="BL66" s="905">
        <v>2290.6999999999998</v>
      </c>
      <c r="BM66" s="905">
        <v>2304.1999999999998</v>
      </c>
      <c r="BN66" s="905">
        <v>2317.3000000000002</v>
      </c>
      <c r="BO66" s="905">
        <v>2330.5</v>
      </c>
      <c r="BP66" s="905">
        <v>2343.6</v>
      </c>
      <c r="BQ66">
        <v>2356.9</v>
      </c>
      <c r="BR66">
        <v>2370.1999999999998</v>
      </c>
      <c r="BS66">
        <v>2383.6999999999998</v>
      </c>
      <c r="BT66">
        <v>2397.6</v>
      </c>
    </row>
    <row r="67" spans="2:72" ht="26.25" customHeight="1" x14ac:dyDescent="0.25">
      <c r="B67" s="922" t="s">
        <v>1916</v>
      </c>
      <c r="C67" s="56" t="s">
        <v>1709</v>
      </c>
      <c r="D67" s="67"/>
      <c r="E67" s="56"/>
      <c r="F67" s="56"/>
      <c r="G67" s="56"/>
      <c r="H67" s="56"/>
      <c r="I67" s="56"/>
      <c r="J67" s="56"/>
      <c r="K67" s="56"/>
      <c r="L67" s="56"/>
      <c r="M67" s="905">
        <v>2533.9</v>
      </c>
      <c r="N67" s="905">
        <v>2571.6999999999998</v>
      </c>
      <c r="O67" s="905">
        <v>2625.1</v>
      </c>
      <c r="P67" s="905">
        <v>2664.2</v>
      </c>
      <c r="Q67" s="905">
        <v>2726.1</v>
      </c>
      <c r="R67" s="905">
        <v>2815.5</v>
      </c>
      <c r="S67" s="911">
        <v>2838.7</v>
      </c>
      <c r="T67" s="911">
        <v>2870.6</v>
      </c>
      <c r="U67" s="911">
        <v>2893</v>
      </c>
      <c r="V67" s="911">
        <v>2904.1</v>
      </c>
      <c r="W67" s="911">
        <v>2975.5</v>
      </c>
      <c r="X67" s="911">
        <v>3019</v>
      </c>
      <c r="Y67" s="911">
        <v>3070.7</v>
      </c>
      <c r="Z67" s="911">
        <v>3100.9</v>
      </c>
      <c r="AA67" s="911">
        <v>3139.2</v>
      </c>
      <c r="AB67" s="911">
        <v>3171.3</v>
      </c>
      <c r="AC67" s="911">
        <v>3201.4</v>
      </c>
      <c r="AD67" s="911">
        <v>3227.6</v>
      </c>
      <c r="AE67" s="911">
        <v>3257.1</v>
      </c>
      <c r="AF67" s="911">
        <v>3287.7</v>
      </c>
      <c r="AG67" s="744">
        <v>3319.2</v>
      </c>
      <c r="AH67" s="744">
        <v>3348.5</v>
      </c>
      <c r="AI67" s="744">
        <v>3378.4</v>
      </c>
      <c r="AJ67" s="744">
        <v>3407.6</v>
      </c>
      <c r="AK67" s="744">
        <v>3436.1</v>
      </c>
      <c r="AL67" s="744">
        <v>3465.5</v>
      </c>
      <c r="AM67" s="744">
        <v>3495</v>
      </c>
      <c r="AN67" s="744">
        <v>3524.3</v>
      </c>
      <c r="AO67" s="744">
        <v>3553.2</v>
      </c>
      <c r="AP67" s="905">
        <v>3582.3</v>
      </c>
      <c r="AQ67" s="905">
        <v>3611.3</v>
      </c>
      <c r="AR67" s="905">
        <v>3640.4</v>
      </c>
      <c r="AS67" s="905">
        <v>3669.2</v>
      </c>
      <c r="AT67" s="905">
        <v>3698.1</v>
      </c>
      <c r="AU67" s="905">
        <v>3727.3</v>
      </c>
      <c r="AV67" s="905">
        <v>3756.6</v>
      </c>
      <c r="AW67" s="905">
        <v>3785.8</v>
      </c>
      <c r="AX67" s="905">
        <v>3815.2</v>
      </c>
      <c r="AY67" s="905">
        <v>3845</v>
      </c>
      <c r="AZ67" s="905">
        <v>3874.9</v>
      </c>
      <c r="BA67" s="905">
        <v>3905.2</v>
      </c>
      <c r="BB67" s="905">
        <v>3935.8</v>
      </c>
      <c r="BC67" s="905">
        <v>3966.6</v>
      </c>
      <c r="BD67" s="905">
        <v>3997.8</v>
      </c>
      <c r="BE67" s="905">
        <v>4029.2</v>
      </c>
      <c r="BF67" s="905">
        <v>4060.9</v>
      </c>
      <c r="BG67" s="905">
        <v>4092.8</v>
      </c>
      <c r="BH67" s="905">
        <v>4125</v>
      </c>
      <c r="BI67" s="905">
        <v>4157.3999999999996</v>
      </c>
      <c r="BJ67" s="905">
        <v>4190</v>
      </c>
      <c r="BK67" s="905">
        <v>4222.8</v>
      </c>
      <c r="BL67" s="905">
        <v>4255.8</v>
      </c>
      <c r="BM67" s="905">
        <v>4289</v>
      </c>
      <c r="BN67" s="905">
        <v>4322.3</v>
      </c>
      <c r="BO67" s="905">
        <v>4355.7</v>
      </c>
      <c r="BP67" s="905">
        <v>4389</v>
      </c>
      <c r="BQ67">
        <v>4422.3999999999996</v>
      </c>
      <c r="BR67">
        <v>4456</v>
      </c>
      <c r="BS67">
        <v>4489.8</v>
      </c>
      <c r="BT67">
        <v>4524</v>
      </c>
    </row>
    <row r="68" spans="2:72" ht="26.25" customHeight="1" x14ac:dyDescent="0.25">
      <c r="B68" s="922" t="s">
        <v>1917</v>
      </c>
      <c r="C68" s="56" t="s">
        <v>1710</v>
      </c>
      <c r="D68" s="67"/>
      <c r="E68" s="56"/>
      <c r="F68" s="56"/>
      <c r="G68" s="56"/>
      <c r="H68" s="56"/>
      <c r="I68" s="56"/>
      <c r="J68" s="56"/>
      <c r="K68" s="56"/>
      <c r="L68" s="56"/>
      <c r="M68" s="905">
        <v>14282.6</v>
      </c>
      <c r="N68" s="905">
        <v>14745.6</v>
      </c>
      <c r="O68" s="905">
        <v>14848.8</v>
      </c>
      <c r="P68" s="905">
        <v>14995.6</v>
      </c>
      <c r="Q68" s="905">
        <v>15123.4</v>
      </c>
      <c r="R68" s="905">
        <v>15219.9</v>
      </c>
      <c r="S68" s="911">
        <v>15277.6</v>
      </c>
      <c r="T68" s="911">
        <v>15324</v>
      </c>
      <c r="U68" s="911">
        <v>15510.2</v>
      </c>
      <c r="V68" s="911">
        <v>15548.5</v>
      </c>
      <c r="W68" s="911">
        <v>15646.7</v>
      </c>
      <c r="X68" s="911">
        <v>15781.4</v>
      </c>
      <c r="Y68" s="911">
        <v>15856.9</v>
      </c>
      <c r="Z68" s="911">
        <v>15967.3</v>
      </c>
      <c r="AA68" s="911">
        <v>16106.4</v>
      </c>
      <c r="AB68" s="911">
        <v>16216.1</v>
      </c>
      <c r="AC68" s="911">
        <v>16297.6</v>
      </c>
      <c r="AD68" s="911">
        <v>16401.2</v>
      </c>
      <c r="AE68" s="911">
        <v>16474.400000000001</v>
      </c>
      <c r="AF68" s="911">
        <v>16540.2</v>
      </c>
      <c r="AG68" s="744">
        <v>16593.400000000001</v>
      </c>
      <c r="AH68" s="744">
        <v>16661.3</v>
      </c>
      <c r="AI68" s="744">
        <v>16709.400000000001</v>
      </c>
      <c r="AJ68" s="744">
        <v>16773.599999999999</v>
      </c>
      <c r="AK68" s="744">
        <v>16846.7</v>
      </c>
      <c r="AL68" s="744">
        <v>16902.2</v>
      </c>
      <c r="AM68" s="744">
        <v>16957.5</v>
      </c>
      <c r="AN68" s="744">
        <v>17021.900000000001</v>
      </c>
      <c r="AO68" s="744">
        <v>17093.099999999999</v>
      </c>
      <c r="AP68" s="905">
        <v>17161.400000000001</v>
      </c>
      <c r="AQ68" s="905">
        <v>17237</v>
      </c>
      <c r="AR68" s="905">
        <v>17314.599999999999</v>
      </c>
      <c r="AS68" s="905">
        <v>17398.5</v>
      </c>
      <c r="AT68" s="905">
        <v>17485.3</v>
      </c>
      <c r="AU68" s="905">
        <v>17568.900000000001</v>
      </c>
      <c r="AV68" s="905">
        <v>17653.3</v>
      </c>
      <c r="AW68" s="905">
        <v>17742.900000000001</v>
      </c>
      <c r="AX68" s="905">
        <v>17841.3</v>
      </c>
      <c r="AY68" s="905">
        <v>17936.8</v>
      </c>
      <c r="AZ68" s="905">
        <v>18035.7</v>
      </c>
      <c r="BA68" s="905">
        <v>18133.900000000001</v>
      </c>
      <c r="BB68" s="905">
        <v>18235.5</v>
      </c>
      <c r="BC68" s="905">
        <v>18335.599999999999</v>
      </c>
      <c r="BD68" s="905">
        <v>18435.7</v>
      </c>
      <c r="BE68" s="905">
        <v>18536.2</v>
      </c>
      <c r="BF68" s="905">
        <v>18637.7</v>
      </c>
      <c r="BG68" s="905">
        <v>18739.900000000001</v>
      </c>
      <c r="BH68" s="905">
        <v>18842.900000000001</v>
      </c>
      <c r="BI68" s="905">
        <v>18946</v>
      </c>
      <c r="BJ68" s="905">
        <v>19051.3</v>
      </c>
      <c r="BK68" s="905">
        <v>19157.5</v>
      </c>
      <c r="BL68" s="905">
        <v>19263.7</v>
      </c>
      <c r="BM68" s="905">
        <v>19369.599999999999</v>
      </c>
      <c r="BN68" s="905">
        <v>19475.8</v>
      </c>
      <c r="BO68" s="905">
        <v>19583</v>
      </c>
      <c r="BP68" s="905">
        <v>19690.099999999999</v>
      </c>
      <c r="BQ68">
        <v>19796.2</v>
      </c>
      <c r="BR68">
        <v>19902.099999999999</v>
      </c>
      <c r="BS68">
        <v>20007.8</v>
      </c>
      <c r="BT68">
        <v>20112.400000000001</v>
      </c>
    </row>
    <row r="69" spans="2:72" ht="26.25" customHeight="1" x14ac:dyDescent="0.25">
      <c r="B69" s="922" t="s">
        <v>1918</v>
      </c>
      <c r="C69" s="56" t="s">
        <v>1711</v>
      </c>
      <c r="D69" s="67"/>
      <c r="E69" s="56"/>
      <c r="F69" s="56"/>
      <c r="G69" s="56"/>
      <c r="H69" s="56"/>
      <c r="I69" s="56"/>
      <c r="J69" s="56"/>
      <c r="K69" s="56"/>
      <c r="L69" s="56"/>
      <c r="M69" s="905">
        <v>1499.1</v>
      </c>
      <c r="N69" s="905">
        <v>1464.8</v>
      </c>
      <c r="O69" s="905">
        <v>1439.1</v>
      </c>
      <c r="P69" s="905">
        <v>1446.5</v>
      </c>
      <c r="Q69" s="905">
        <v>1426.3</v>
      </c>
      <c r="R69" s="905">
        <v>1414.4</v>
      </c>
      <c r="S69" s="911">
        <v>1412.9</v>
      </c>
      <c r="T69" s="911">
        <v>1443.6</v>
      </c>
      <c r="U69" s="911">
        <v>1460</v>
      </c>
      <c r="V69" s="911">
        <v>1456</v>
      </c>
      <c r="W69" s="911">
        <v>1474.8</v>
      </c>
      <c r="X69" s="911">
        <v>1473.5</v>
      </c>
      <c r="Y69" s="911">
        <v>1472.2</v>
      </c>
      <c r="Z69" s="911">
        <v>1487.8</v>
      </c>
      <c r="AA69" s="911">
        <v>1519.9</v>
      </c>
      <c r="AB69" s="911">
        <v>1513.2</v>
      </c>
      <c r="AC69" s="911">
        <v>1510.8</v>
      </c>
      <c r="AD69" s="911">
        <v>1509.5</v>
      </c>
      <c r="AE69" s="911">
        <v>1508.4</v>
      </c>
      <c r="AF69" s="911">
        <v>1507.3</v>
      </c>
      <c r="AG69" s="744">
        <v>1507.1</v>
      </c>
      <c r="AH69" s="744">
        <v>1506.7</v>
      </c>
      <c r="AI69" s="744">
        <v>1506.7</v>
      </c>
      <c r="AJ69" s="744">
        <v>1505.5</v>
      </c>
      <c r="AK69" s="744">
        <v>1504.5</v>
      </c>
      <c r="AL69" s="744">
        <v>1504.7</v>
      </c>
      <c r="AM69" s="744">
        <v>1505</v>
      </c>
      <c r="AN69" s="744">
        <v>1504.1</v>
      </c>
      <c r="AO69" s="744">
        <v>1503.1</v>
      </c>
      <c r="AP69" s="905">
        <v>1502.1</v>
      </c>
      <c r="AQ69" s="905">
        <v>1501.3</v>
      </c>
      <c r="AR69" s="905">
        <v>1501.5</v>
      </c>
      <c r="AS69" s="905">
        <v>1500.5</v>
      </c>
      <c r="AT69" s="905">
        <v>1500.8</v>
      </c>
      <c r="AU69" s="905">
        <v>1501.1</v>
      </c>
      <c r="AV69" s="905">
        <v>1501.5</v>
      </c>
      <c r="AW69" s="905">
        <v>1501.8</v>
      </c>
      <c r="AX69" s="905">
        <v>1502.2</v>
      </c>
      <c r="AY69" s="905">
        <v>1501.5</v>
      </c>
      <c r="AZ69" s="905">
        <v>1500.9</v>
      </c>
      <c r="BA69" s="905">
        <v>1500.2</v>
      </c>
      <c r="BB69" s="905">
        <v>1500.7</v>
      </c>
      <c r="BC69" s="905">
        <v>1501.7</v>
      </c>
      <c r="BD69" s="905">
        <v>1502.7</v>
      </c>
      <c r="BE69" s="905">
        <v>1504</v>
      </c>
      <c r="BF69" s="905">
        <v>1505</v>
      </c>
      <c r="BG69" s="905">
        <v>1506.6</v>
      </c>
      <c r="BH69" s="905">
        <v>1508.1</v>
      </c>
      <c r="BI69" s="905">
        <v>1509.4</v>
      </c>
      <c r="BJ69" s="905">
        <v>1510.6</v>
      </c>
      <c r="BK69" s="905">
        <v>1512</v>
      </c>
      <c r="BL69" s="905">
        <v>1513.2</v>
      </c>
      <c r="BM69" s="905">
        <v>1514.3</v>
      </c>
      <c r="BN69" s="905">
        <v>1515.2</v>
      </c>
      <c r="BO69" s="905">
        <v>1516.2</v>
      </c>
      <c r="BP69" s="905">
        <v>1517</v>
      </c>
      <c r="BQ69">
        <v>1517.9</v>
      </c>
      <c r="BR69">
        <v>1518.8</v>
      </c>
      <c r="BS69">
        <v>1519.7</v>
      </c>
      <c r="BT69">
        <v>1520.8</v>
      </c>
    </row>
    <row r="70" spans="2:72" ht="26.1" customHeight="1" x14ac:dyDescent="0.25">
      <c r="B70" s="922" t="s">
        <v>1919</v>
      </c>
      <c r="C70" s="35" t="s">
        <v>1712</v>
      </c>
      <c r="D70" s="333"/>
      <c r="E70" s="35"/>
      <c r="F70" s="35"/>
      <c r="G70" s="35"/>
      <c r="H70" s="35"/>
      <c r="I70" s="35"/>
      <c r="J70" s="35"/>
      <c r="K70" s="35"/>
      <c r="L70" s="35"/>
      <c r="M70" s="913">
        <v>2247</v>
      </c>
      <c r="N70" s="913">
        <v>2239.1999999999998</v>
      </c>
      <c r="O70" s="913">
        <v>2250.1</v>
      </c>
      <c r="P70" s="913">
        <v>2240.9</v>
      </c>
      <c r="Q70" s="913">
        <v>2235.3000000000002</v>
      </c>
      <c r="R70" s="913">
        <v>2232.9</v>
      </c>
      <c r="S70" s="912">
        <v>2248</v>
      </c>
      <c r="T70" s="912">
        <v>2266.9</v>
      </c>
      <c r="U70" s="912">
        <v>2296.6</v>
      </c>
      <c r="V70" s="912">
        <v>2327.1</v>
      </c>
      <c r="W70" s="912">
        <v>2360.8000000000002</v>
      </c>
      <c r="X70" s="912">
        <v>2395.9</v>
      </c>
      <c r="Y70" s="912">
        <v>2414</v>
      </c>
      <c r="Z70" s="911">
        <v>2427.9</v>
      </c>
      <c r="AA70" s="911">
        <v>2443.9</v>
      </c>
      <c r="AB70" s="911">
        <v>2449.9</v>
      </c>
      <c r="AC70" s="911">
        <v>2454.5</v>
      </c>
      <c r="AD70" s="911">
        <v>2457.1999999999998</v>
      </c>
      <c r="AE70" s="911">
        <v>2460.6</v>
      </c>
      <c r="AF70" s="911">
        <v>2464</v>
      </c>
      <c r="AG70" s="905">
        <v>2467.4</v>
      </c>
      <c r="AH70" s="905">
        <v>2470</v>
      </c>
      <c r="AI70" s="905">
        <v>2473.1</v>
      </c>
      <c r="AJ70" s="905">
        <v>2475.5</v>
      </c>
      <c r="AK70" s="744">
        <v>2477.5</v>
      </c>
      <c r="AL70" s="744">
        <v>2480.1</v>
      </c>
      <c r="AM70" s="744">
        <v>2482.8000000000002</v>
      </c>
      <c r="AN70" s="744">
        <v>2485.3000000000002</v>
      </c>
      <c r="AO70" s="744">
        <v>2487.4</v>
      </c>
      <c r="AP70" s="905">
        <v>2489.6</v>
      </c>
      <c r="AQ70" s="905">
        <v>2491.4</v>
      </c>
      <c r="AR70" s="905">
        <v>2493.1999999999998</v>
      </c>
      <c r="AS70" s="905">
        <v>2494.8000000000002</v>
      </c>
      <c r="AT70" s="905">
        <v>2496.1999999999998</v>
      </c>
      <c r="AU70" s="905">
        <v>2497.8000000000002</v>
      </c>
      <c r="AV70" s="905">
        <v>2499.3000000000002</v>
      </c>
      <c r="AW70" s="905">
        <v>2500.6</v>
      </c>
      <c r="AX70" s="905">
        <v>2501.9</v>
      </c>
      <c r="AY70" s="905">
        <v>2503.3000000000002</v>
      </c>
      <c r="AZ70" s="905">
        <v>2504.6999999999998</v>
      </c>
      <c r="BA70" s="905">
        <v>2506.3000000000002</v>
      </c>
      <c r="BB70" s="905">
        <v>2507.9</v>
      </c>
      <c r="BC70" s="905">
        <v>2509.6</v>
      </c>
      <c r="BD70" s="905">
        <v>2511.1999999999998</v>
      </c>
      <c r="BE70" s="905">
        <v>2512.8000000000002</v>
      </c>
      <c r="BF70" s="905">
        <v>2514.4</v>
      </c>
      <c r="BG70" s="905">
        <v>2515.9</v>
      </c>
      <c r="BH70" s="905">
        <v>2517.5</v>
      </c>
      <c r="BI70" s="905">
        <v>2519</v>
      </c>
      <c r="BJ70" s="905">
        <v>2520.5</v>
      </c>
      <c r="BK70" s="905">
        <v>2521.9</v>
      </c>
      <c r="BL70" s="905">
        <v>2523.3000000000002</v>
      </c>
      <c r="BM70" s="905">
        <v>2524.6999999999998</v>
      </c>
      <c r="BN70" s="905">
        <v>2526</v>
      </c>
      <c r="BO70" s="905">
        <v>2527</v>
      </c>
      <c r="BP70" s="905">
        <v>2527.8000000000002</v>
      </c>
      <c r="BQ70">
        <v>2528.5</v>
      </c>
      <c r="BR70">
        <v>2529.1</v>
      </c>
      <c r="BS70">
        <v>2529.6999999999998</v>
      </c>
      <c r="BT70">
        <v>2530.1999999999998</v>
      </c>
    </row>
    <row r="71" spans="2:72" x14ac:dyDescent="0.25">
      <c r="B71" s="930"/>
      <c r="C71" s="929"/>
      <c r="D71" s="955"/>
      <c r="E71" s="955"/>
      <c r="F71" s="955"/>
      <c r="G71" s="955"/>
      <c r="H71" s="955"/>
      <c r="I71" s="955"/>
      <c r="J71" s="955"/>
      <c r="K71" s="955"/>
      <c r="L71" s="955"/>
      <c r="M71" s="955"/>
      <c r="N71" s="955"/>
      <c r="O71" s="955"/>
      <c r="P71" s="955"/>
      <c r="Q71" s="955"/>
      <c r="R71" s="955"/>
      <c r="S71" s="955"/>
      <c r="T71" s="956"/>
      <c r="U71" s="956"/>
      <c r="V71" s="956"/>
      <c r="W71" s="956"/>
      <c r="X71" s="956"/>
      <c r="Y71" s="956"/>
      <c r="Z71" s="930"/>
      <c r="AA71" s="930"/>
      <c r="AB71" s="930"/>
      <c r="AC71" s="930"/>
      <c r="AD71" s="930"/>
      <c r="AE71" s="930"/>
      <c r="AF71" s="930"/>
      <c r="AG71" s="383"/>
      <c r="AH71" s="383"/>
      <c r="AI71" s="383"/>
      <c r="AJ71" s="383"/>
      <c r="AK71" s="383"/>
      <c r="AL71" s="383"/>
      <c r="AM71" s="383"/>
      <c r="AN71" s="383"/>
      <c r="AO71" s="238"/>
      <c r="AP71" s="56"/>
      <c r="AQ71" s="56"/>
      <c r="AR71" s="56"/>
      <c r="AS71" s="56"/>
      <c r="AT71" s="56"/>
      <c r="AU71" s="56"/>
      <c r="AV71" s="56"/>
    </row>
    <row r="72" spans="2:72" x14ac:dyDescent="0.25">
      <c r="B72" s="77" t="s">
        <v>1702</v>
      </c>
      <c r="C72" s="738"/>
      <c r="D72" s="915"/>
      <c r="E72" s="915"/>
      <c r="F72" s="915"/>
      <c r="G72" s="915"/>
      <c r="H72" s="915"/>
      <c r="I72" s="915"/>
      <c r="J72" s="915"/>
      <c r="K72" s="915"/>
      <c r="L72" s="915"/>
      <c r="M72" s="915"/>
      <c r="N72" s="915"/>
      <c r="O72" s="915"/>
      <c r="P72" s="915"/>
      <c r="Q72" s="915"/>
      <c r="R72" s="915"/>
      <c r="S72" s="927">
        <f t="shared" ref="S72:AE72" si="54">S65/S68</f>
        <v>1.1700921610724198</v>
      </c>
      <c r="T72" s="927">
        <f t="shared" si="54"/>
        <v>1.1816953797963978</v>
      </c>
      <c r="U72" s="927">
        <f t="shared" si="54"/>
        <v>1.1931632087271602</v>
      </c>
      <c r="V72" s="927">
        <f>V65/V68</f>
        <v>1.201768659356208</v>
      </c>
      <c r="W72" s="927">
        <f t="shared" si="54"/>
        <v>1.2097758632810751</v>
      </c>
      <c r="X72" s="927">
        <f t="shared" si="54"/>
        <v>1.2147338005500146</v>
      </c>
      <c r="Y72" s="927">
        <f t="shared" si="54"/>
        <v>1.2250061487428185</v>
      </c>
      <c r="Z72" s="927">
        <f t="shared" si="54"/>
        <v>1.2326880562148892</v>
      </c>
      <c r="AA72" s="927">
        <f t="shared" si="54"/>
        <v>1.2372845576913525</v>
      </c>
      <c r="AB72" s="927">
        <f t="shared" si="54"/>
        <v>1.2447937543552396</v>
      </c>
      <c r="AC72" s="927">
        <f>AC65/AC68</f>
        <v>1.2519082564303945</v>
      </c>
      <c r="AD72" s="927">
        <f t="shared" si="54"/>
        <v>1.2585786405872741</v>
      </c>
      <c r="AE72" s="927">
        <f t="shared" si="54"/>
        <v>1.2654057203904239</v>
      </c>
      <c r="AF72" s="923">
        <f>AF65/AF68</f>
        <v>1.27231230577623</v>
      </c>
      <c r="AG72" s="923">
        <f>AG65/AG68</f>
        <v>1.2790868658623309</v>
      </c>
      <c r="AH72" s="923">
        <f t="shared" ref="AH72:AI72" si="55">AH65/AH68</f>
        <v>1.2855539483713756</v>
      </c>
      <c r="AI72" s="923">
        <f t="shared" si="55"/>
        <v>1.292033226806468</v>
      </c>
      <c r="AJ72" s="923">
        <f>AJ65/AJ68</f>
        <v>1.2985763342395193</v>
      </c>
      <c r="AK72" s="923">
        <f>AK65/AK68</f>
        <v>1.3051101996236651</v>
      </c>
      <c r="AL72" s="923">
        <f>AL65/AL68</f>
        <v>1.3116458212540378</v>
      </c>
      <c r="AM72" s="923">
        <f>AM65/AM68</f>
        <v>1.3181836945304437</v>
      </c>
      <c r="AN72" s="923">
        <f>AN65/AN68</f>
        <v>1.3247463561647055</v>
      </c>
      <c r="AO72" s="924"/>
    </row>
    <row r="73" spans="2:72" x14ac:dyDescent="0.25">
      <c r="B73" s="67" t="s">
        <v>1703</v>
      </c>
      <c r="C73" s="228"/>
      <c r="D73" s="56"/>
      <c r="E73" s="56"/>
      <c r="F73" s="56"/>
      <c r="G73" s="56"/>
      <c r="H73" s="56"/>
      <c r="I73" s="56"/>
      <c r="J73" s="56"/>
      <c r="K73" s="56"/>
      <c r="L73" s="56"/>
      <c r="M73" s="56"/>
      <c r="N73" s="56"/>
      <c r="O73" s="56"/>
      <c r="P73" s="56"/>
      <c r="Q73" s="56"/>
      <c r="R73" s="56"/>
      <c r="S73" s="923">
        <f t="shared" ref="S73:AE73" si="56">S66/S69</f>
        <v>1.1617241135253733</v>
      </c>
      <c r="T73" s="923">
        <f t="shared" si="56"/>
        <v>1.1735937932945415</v>
      </c>
      <c r="U73" s="923">
        <f t="shared" si="56"/>
        <v>1.186027397260274</v>
      </c>
      <c r="V73" s="923">
        <f t="shared" si="56"/>
        <v>1.1962912087912088</v>
      </c>
      <c r="W73" s="923">
        <f t="shared" si="56"/>
        <v>1.2075535665852999</v>
      </c>
      <c r="X73" s="923">
        <f t="shared" si="56"/>
        <v>1.2190023752969121</v>
      </c>
      <c r="Y73" s="923">
        <f t="shared" si="56"/>
        <v>1.229656296698818</v>
      </c>
      <c r="Z73" s="923">
        <f t="shared" si="56"/>
        <v>1.2382040596854416</v>
      </c>
      <c r="AA73" s="923">
        <f t="shared" si="56"/>
        <v>1.245739851306007</v>
      </c>
      <c r="AB73" s="923">
        <f t="shared" si="56"/>
        <v>1.2551546391752577</v>
      </c>
      <c r="AC73" s="923">
        <f>AC66/AC69</f>
        <v>1.2609875562615833</v>
      </c>
      <c r="AD73" s="923">
        <f t="shared" si="56"/>
        <v>1.265783371977476</v>
      </c>
      <c r="AE73" s="923">
        <f t="shared" si="56"/>
        <v>1.2704189870060991</v>
      </c>
      <c r="AF73" s="923">
        <f>AF66/AF69</f>
        <v>1.275194055596099</v>
      </c>
      <c r="AG73" s="923">
        <f>AG66/AG69</f>
        <v>1.2819985402428504</v>
      </c>
      <c r="AH73" s="923">
        <f t="shared" ref="AH73:AJ73" si="57">AH66/AH69</f>
        <v>1.289241388464857</v>
      </c>
      <c r="AI73" s="923">
        <f t="shared" si="57"/>
        <v>1.2966748523262759</v>
      </c>
      <c r="AJ73" s="923">
        <f t="shared" si="57"/>
        <v>1.3043507140484889</v>
      </c>
      <c r="AK73" s="923">
        <f t="shared" ref="AK73:AM73" si="58">AK66/AK69</f>
        <v>1.3115985377201729</v>
      </c>
      <c r="AL73" s="923">
        <f t="shared" si="58"/>
        <v>1.3188010899182561</v>
      </c>
      <c r="AM73" s="923">
        <f t="shared" si="58"/>
        <v>1.3262458471760796</v>
      </c>
      <c r="AN73" s="923">
        <f>AN66/AN69</f>
        <v>1.3338873745096735</v>
      </c>
      <c r="AO73" s="925"/>
    </row>
    <row r="74" spans="2:72" x14ac:dyDescent="0.25">
      <c r="B74" s="333" t="s">
        <v>1704</v>
      </c>
      <c r="C74" s="229"/>
      <c r="D74" s="35"/>
      <c r="E74" s="35"/>
      <c r="F74" s="35"/>
      <c r="G74" s="35"/>
      <c r="H74" s="35"/>
      <c r="I74" s="35"/>
      <c r="J74" s="35"/>
      <c r="K74" s="35"/>
      <c r="L74" s="35"/>
      <c r="M74" s="35"/>
      <c r="N74" s="35"/>
      <c r="O74" s="35"/>
      <c r="P74" s="35"/>
      <c r="Q74" s="35"/>
      <c r="R74" s="35"/>
      <c r="S74" s="926">
        <f t="shared" ref="S74:AF74" si="59">S67/S70</f>
        <v>1.2627669039145906</v>
      </c>
      <c r="T74" s="926">
        <f t="shared" si="59"/>
        <v>1.2663108209449025</v>
      </c>
      <c r="U74" s="926">
        <f t="shared" si="59"/>
        <v>1.2596882347818514</v>
      </c>
      <c r="V74" s="926">
        <f t="shared" si="59"/>
        <v>1.247948089897297</v>
      </c>
      <c r="W74" s="926">
        <f t="shared" si="59"/>
        <v>1.2603778380210098</v>
      </c>
      <c r="X74" s="926">
        <f t="shared" si="59"/>
        <v>1.2600692850285904</v>
      </c>
      <c r="Y74" s="926">
        <f t="shared" si="59"/>
        <v>1.2720381110190555</v>
      </c>
      <c r="Z74" s="926">
        <f t="shared" si="59"/>
        <v>1.2771942831253347</v>
      </c>
      <c r="AA74" s="926">
        <f t="shared" si="59"/>
        <v>1.284504275952371</v>
      </c>
      <c r="AB74" s="926">
        <f t="shared" si="59"/>
        <v>1.2944609984080984</v>
      </c>
      <c r="AC74" s="926">
        <f>AC67/AC70</f>
        <v>1.3042982277449582</v>
      </c>
      <c r="AD74" s="926">
        <f t="shared" si="59"/>
        <v>1.3135275923815726</v>
      </c>
      <c r="AE74" s="926">
        <f t="shared" si="59"/>
        <v>1.3237015362106803</v>
      </c>
      <c r="AF74" s="926">
        <f t="shared" si="59"/>
        <v>1.334293831168831</v>
      </c>
      <c r="AG74" s="926">
        <f t="shared" ref="AG74:AJ74" si="60">AG67/AG70</f>
        <v>1.3452216908486665</v>
      </c>
      <c r="AH74" s="926">
        <f t="shared" si="60"/>
        <v>1.355668016194332</v>
      </c>
      <c r="AI74" s="926">
        <f t="shared" si="60"/>
        <v>1.3660587926084673</v>
      </c>
      <c r="AJ74" s="926">
        <f t="shared" si="60"/>
        <v>1.3765299939406179</v>
      </c>
      <c r="AK74" s="926">
        <f t="shared" ref="AK74:AN74" si="61">AK67/AK70</f>
        <v>1.3869223007063571</v>
      </c>
      <c r="AL74" s="926">
        <f t="shared" si="61"/>
        <v>1.3973226886012662</v>
      </c>
      <c r="AM74" s="926">
        <f t="shared" si="61"/>
        <v>1.4076848719188013</v>
      </c>
      <c r="AN74" s="926">
        <f t="shared" si="61"/>
        <v>1.4180581821108116</v>
      </c>
      <c r="AO74" s="925"/>
    </row>
    <row r="76" spans="2:72" x14ac:dyDescent="0.25">
      <c r="B76" t="s">
        <v>1975</v>
      </c>
    </row>
    <row r="77" spans="2:72" x14ac:dyDescent="0.25">
      <c r="B77" s="77" t="s">
        <v>1702</v>
      </c>
      <c r="T77" s="82">
        <f>(T72/S72)^4-1</f>
        <v>4.0259931464399212E-2</v>
      </c>
      <c r="U77" s="82">
        <f t="shared" ref="U77:AI77" si="62">(U72/T72)^4-1</f>
        <v>3.9386958950965445E-2</v>
      </c>
      <c r="V77" s="82">
        <f t="shared" si="62"/>
        <v>2.9162805684212367E-2</v>
      </c>
      <c r="W77" s="82">
        <f t="shared" si="62"/>
        <v>2.6918945227875746E-2</v>
      </c>
      <c r="X77" s="82">
        <f t="shared" si="62"/>
        <v>1.6493960285627995E-2</v>
      </c>
      <c r="Y77" s="82">
        <f t="shared" si="62"/>
        <v>3.4257335695615954E-2</v>
      </c>
      <c r="Z77" s="82">
        <f t="shared" si="62"/>
        <v>2.5320587670252914E-2</v>
      </c>
      <c r="AA77" s="82">
        <f t="shared" si="62"/>
        <v>1.4999009292827825E-2</v>
      </c>
      <c r="AB77" s="82">
        <f t="shared" si="62"/>
        <v>2.4498276208370307E-2</v>
      </c>
      <c r="AC77" s="82">
        <f t="shared" si="62"/>
        <v>2.3058368307400823E-2</v>
      </c>
      <c r="AD77" s="82">
        <f t="shared" si="62"/>
        <v>2.1483635680919155E-2</v>
      </c>
      <c r="AE77" s="82">
        <f t="shared" si="62"/>
        <v>2.187493201450863E-2</v>
      </c>
      <c r="AF77" s="82">
        <f t="shared" si="62"/>
        <v>2.2011392938697361E-2</v>
      </c>
      <c r="AG77" s="82">
        <f t="shared" si="62"/>
        <v>2.1469131944638509E-2</v>
      </c>
      <c r="AH77" s="82">
        <f t="shared" si="62"/>
        <v>2.037795778240481E-2</v>
      </c>
      <c r="AI77" s="82">
        <f t="shared" si="62"/>
        <v>2.031319568771961E-2</v>
      </c>
      <c r="AJ77" s="82">
        <f>(AJ72/AI72)^4-1</f>
        <v>2.0411174157790368E-2</v>
      </c>
      <c r="AK77" s="82">
        <f t="shared" ref="AK77:AN77" si="63">(AK72/AJ72)^4-1</f>
        <v>2.0278651758323107E-2</v>
      </c>
      <c r="AL77" s="82">
        <f t="shared" si="63"/>
        <v>2.0181831515000193E-2</v>
      </c>
      <c r="AM77" s="82">
        <f t="shared" si="63"/>
        <v>2.008748904793789E-2</v>
      </c>
      <c r="AN77" s="82">
        <f t="shared" si="63"/>
        <v>2.0063466029726529E-2</v>
      </c>
    </row>
    <row r="78" spans="2:72" x14ac:dyDescent="0.25">
      <c r="B78" s="67" t="s">
        <v>1703</v>
      </c>
      <c r="C78" s="31"/>
      <c r="D78" s="957"/>
      <c r="E78" s="957"/>
      <c r="F78" s="957"/>
      <c r="G78" s="957"/>
      <c r="T78" s="82">
        <f t="shared" ref="T78:AI78" si="64">(T73/S73)^4-1</f>
        <v>4.1499822425288269E-2</v>
      </c>
      <c r="U78" s="82">
        <f t="shared" si="64"/>
        <v>4.3056105029513958E-2</v>
      </c>
      <c r="V78" s="82">
        <f t="shared" si="64"/>
        <v>3.5067707597488118E-2</v>
      </c>
      <c r="W78" s="82">
        <f t="shared" si="64"/>
        <v>3.8192709856685436E-2</v>
      </c>
      <c r="X78" s="82">
        <f t="shared" si="64"/>
        <v>3.8466730538867289E-2</v>
      </c>
      <c r="Y78" s="82">
        <f t="shared" si="64"/>
        <v>3.5420465201227769E-2</v>
      </c>
      <c r="Z78" s="82">
        <f t="shared" si="64"/>
        <v>2.8096645923673114E-2</v>
      </c>
      <c r="AA78" s="82">
        <f t="shared" si="64"/>
        <v>2.4567408257700318E-2</v>
      </c>
      <c r="AB78" s="82">
        <f t="shared" si="64"/>
        <v>3.0574782511549436E-2</v>
      </c>
      <c r="AC78" s="82">
        <f t="shared" si="64"/>
        <v>1.8718659374028279E-2</v>
      </c>
      <c r="AD78" s="82">
        <f>(AD73/AC73)^4-1</f>
        <v>1.5299895562953081E-2</v>
      </c>
      <c r="AE78" s="82">
        <f t="shared" si="64"/>
        <v>1.4729668703095777E-2</v>
      </c>
      <c r="AF78" s="82">
        <f t="shared" si="64"/>
        <v>1.5119603614899724E-2</v>
      </c>
      <c r="AG78" s="82">
        <f t="shared" si="64"/>
        <v>2.1515602617293128E-2</v>
      </c>
      <c r="AH78" s="82">
        <f t="shared" si="64"/>
        <v>2.2790850007197161E-2</v>
      </c>
      <c r="AI78" s="82">
        <f t="shared" si="64"/>
        <v>2.3263295207157642E-2</v>
      </c>
      <c r="AJ78" s="82">
        <f t="shared" ref="AJ78:AN78" si="65">(AJ73/AI73)^4-1</f>
        <v>2.3889685874715294E-2</v>
      </c>
      <c r="AK78" s="82">
        <f t="shared" si="65"/>
        <v>2.2412555601408091E-2</v>
      </c>
      <c r="AL78" s="82">
        <f t="shared" si="65"/>
        <v>2.2147320108405477E-2</v>
      </c>
      <c r="AM78" s="82">
        <f t="shared" si="65"/>
        <v>2.2772302614111117E-2</v>
      </c>
      <c r="AN78" s="82">
        <f t="shared" si="65"/>
        <v>2.3247045836330082E-2</v>
      </c>
    </row>
    <row r="79" spans="2:72" x14ac:dyDescent="0.25">
      <c r="B79" s="333" t="s">
        <v>1704</v>
      </c>
      <c r="T79" s="82">
        <f t="shared" ref="T79:AI79" si="66">(T74/S74)^4-1</f>
        <v>1.1273224837508922E-2</v>
      </c>
      <c r="U79" s="82">
        <f t="shared" si="66"/>
        <v>-2.0755771759674468E-2</v>
      </c>
      <c r="V79" s="82">
        <f t="shared" si="66"/>
        <v>-3.6761594826687838E-2</v>
      </c>
      <c r="W79" s="82">
        <f t="shared" si="66"/>
        <v>4.0439782991124273E-2</v>
      </c>
      <c r="X79" s="82">
        <f t="shared" si="66"/>
        <v>-9.7888013056945944E-4</v>
      </c>
      <c r="Y79" s="82">
        <f t="shared" si="66"/>
        <v>3.8538954072275589E-2</v>
      </c>
      <c r="Z79" s="82">
        <f t="shared" si="66"/>
        <v>1.6312742433889582E-2</v>
      </c>
      <c r="AA79" s="82">
        <f t="shared" si="66"/>
        <v>2.3091210473439983E-2</v>
      </c>
      <c r="AB79" s="82">
        <f t="shared" si="66"/>
        <v>3.1368022796318673E-2</v>
      </c>
      <c r="AC79" s="82">
        <f t="shared" si="66"/>
        <v>3.0746187880333675E-2</v>
      </c>
      <c r="AD79" s="82">
        <f t="shared" si="66"/>
        <v>2.8606309371189242E-2</v>
      </c>
      <c r="AE79" s="82">
        <f t="shared" si="66"/>
        <v>3.1343868352262882E-2</v>
      </c>
      <c r="AF79" s="82">
        <f t="shared" si="66"/>
        <v>3.2394354805230341E-2</v>
      </c>
      <c r="AG79" s="82">
        <f t="shared" si="66"/>
        <v>3.3164637629816696E-2</v>
      </c>
      <c r="AH79" s="82">
        <f t="shared" si="66"/>
        <v>3.1425713898589613E-2</v>
      </c>
      <c r="AI79" s="82">
        <f t="shared" si="66"/>
        <v>3.1013053419121528E-2</v>
      </c>
      <c r="AJ79" s="82">
        <f t="shared" ref="AJ79:AN79" si="67">(AJ74/AI74)^4-1</f>
        <v>3.1015398756455648E-2</v>
      </c>
      <c r="AK79" s="82">
        <f t="shared" si="67"/>
        <v>3.0542269425562596E-2</v>
      </c>
      <c r="AL79" s="82">
        <f t="shared" si="67"/>
        <v>3.0334679878840642E-2</v>
      </c>
      <c r="AM79" s="82">
        <f t="shared" si="67"/>
        <v>2.9994558057691467E-2</v>
      </c>
      <c r="AN79" s="82">
        <f t="shared" si="67"/>
        <v>2.9803649988641601E-2</v>
      </c>
    </row>
    <row r="82" spans="3:13" x14ac:dyDescent="0.25">
      <c r="C82" s="14"/>
      <c r="D82" s="82"/>
      <c r="E82" s="82"/>
      <c r="F82" s="82"/>
      <c r="G82" s="82"/>
      <c r="H82" s="82"/>
      <c r="I82" s="82"/>
      <c r="J82" s="82"/>
      <c r="K82" s="82"/>
      <c r="L82" s="82"/>
      <c r="M82" s="82"/>
    </row>
    <row r="83" spans="3:13" x14ac:dyDescent="0.25">
      <c r="C83" s="31"/>
      <c r="D83" s="960"/>
      <c r="E83" s="960"/>
      <c r="F83" s="960"/>
      <c r="G83" s="960"/>
      <c r="H83" s="960"/>
      <c r="I83" s="960"/>
      <c r="J83" s="960"/>
      <c r="K83" s="960"/>
      <c r="L83" s="960"/>
      <c r="M83" s="960"/>
    </row>
    <row r="84" spans="3:13" x14ac:dyDescent="0.25">
      <c r="C84" s="957"/>
      <c r="D84" s="960"/>
      <c r="E84" s="960"/>
      <c r="F84" s="960"/>
      <c r="G84" s="960"/>
      <c r="H84" s="960"/>
      <c r="I84" s="960"/>
      <c r="J84" s="960"/>
      <c r="K84" s="960"/>
      <c r="L84" s="960"/>
      <c r="M84" s="960"/>
    </row>
    <row r="85" spans="3:13" x14ac:dyDescent="0.25">
      <c r="C85" s="957"/>
      <c r="D85" s="960"/>
      <c r="E85" s="960"/>
      <c r="F85" s="960"/>
      <c r="G85" s="960"/>
      <c r="H85" s="960"/>
      <c r="I85" s="960"/>
      <c r="J85" s="960"/>
      <c r="K85" s="960"/>
      <c r="L85" s="960"/>
      <c r="M85" s="960"/>
    </row>
    <row r="86" spans="3:13" x14ac:dyDescent="0.25">
      <c r="C86" s="957"/>
      <c r="D86" s="960"/>
      <c r="E86" s="960"/>
      <c r="F86" s="960"/>
      <c r="G86" s="960"/>
      <c r="H86" s="960"/>
      <c r="I86" s="960"/>
      <c r="J86" s="960"/>
      <c r="K86" s="960"/>
      <c r="L86" s="960"/>
      <c r="M86" s="960"/>
    </row>
    <row r="87" spans="3:13" x14ac:dyDescent="0.25">
      <c r="C87" s="957"/>
      <c r="D87" s="960"/>
      <c r="E87" s="960"/>
      <c r="F87" s="960"/>
      <c r="G87" s="960"/>
      <c r="H87" s="960"/>
      <c r="I87" s="960"/>
      <c r="J87" s="960"/>
      <c r="K87" s="960"/>
      <c r="L87" s="960"/>
      <c r="M87" s="960"/>
    </row>
  </sheetData>
  <mergeCells count="34">
    <mergeCell ref="D42:AB42"/>
    <mergeCell ref="AC42:AN42"/>
    <mergeCell ref="I9:L9"/>
    <mergeCell ref="M9:P9"/>
    <mergeCell ref="AG9:AJ9"/>
    <mergeCell ref="E9:H9"/>
    <mergeCell ref="Q9:R9"/>
    <mergeCell ref="AK63:AN63"/>
    <mergeCell ref="AK43:AN43"/>
    <mergeCell ref="U63:X63"/>
    <mergeCell ref="E63:H63"/>
    <mergeCell ref="AG63:AJ63"/>
    <mergeCell ref="AG43:AJ43"/>
    <mergeCell ref="AC63:AF63"/>
    <mergeCell ref="B62:E62"/>
    <mergeCell ref="Q63:R63"/>
    <mergeCell ref="M63:P63"/>
    <mergeCell ref="I63:L63"/>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s>
  <pageMargins left="0.7" right="0.7" top="0.75" bottom="0.75" header="0.3" footer="0.3"/>
  <pageSetup paperSize="9" orientation="portrait" horizontalDpi="300" verticalDpi="300"/>
  <drawing r:id="rId1"/>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G1:AC73"/>
  <sheetViews>
    <sheetView topLeftCell="G1" zoomScale="90" zoomScaleNormal="90" workbookViewId="0">
      <selection activeCell="T29" sqref="T29"/>
    </sheetView>
  </sheetViews>
  <sheetFormatPr defaultColWidth="10.85546875" defaultRowHeight="15" x14ac:dyDescent="0.25"/>
  <cols>
    <col min="1" max="6" width="0" hidden="1" customWidth="1"/>
    <col min="8" max="8" width="22.42578125" customWidth="1"/>
    <col min="9" max="9" width="11.42578125" customWidth="1"/>
    <col min="10" max="10" width="13.140625" customWidth="1"/>
    <col min="11" max="11" width="11.140625" customWidth="1"/>
    <col min="12" max="12" width="10.140625" customWidth="1"/>
    <col min="13" max="13" width="9.42578125" customWidth="1"/>
    <col min="14" max="15" width="8.85546875" customWidth="1"/>
    <col min="16" max="16" width="11.85546875" customWidth="1"/>
    <col min="17" max="18" width="8.85546875" customWidth="1"/>
    <col min="19" max="19" width="9.42578125" customWidth="1"/>
  </cols>
  <sheetData>
    <row r="1" spans="8:22" x14ac:dyDescent="0.25">
      <c r="H1" s="1264" t="s">
        <v>315</v>
      </c>
      <c r="I1" s="1264"/>
      <c r="J1" s="1264"/>
      <c r="K1" s="1264"/>
      <c r="L1" s="1264"/>
      <c r="M1" s="1264"/>
      <c r="N1" s="1264"/>
      <c r="O1" s="1264"/>
      <c r="P1" s="1264"/>
      <c r="Q1" s="1264"/>
      <c r="R1" s="1264"/>
      <c r="S1" s="1264"/>
    </row>
    <row r="2" spans="8:22" x14ac:dyDescent="0.25">
      <c r="H2" s="1306" t="s">
        <v>316</v>
      </c>
      <c r="I2" s="1306"/>
      <c r="J2" s="1306"/>
      <c r="K2" s="1306"/>
      <c r="L2" s="1306"/>
      <c r="M2" s="1306"/>
      <c r="N2" s="1306"/>
      <c r="O2" s="1306"/>
      <c r="P2" s="1306"/>
      <c r="Q2" s="1306"/>
      <c r="R2" s="1306"/>
      <c r="S2" s="1306"/>
    </row>
    <row r="3" spans="8:22" x14ac:dyDescent="0.25">
      <c r="H3" s="1306"/>
      <c r="I3" s="1306"/>
      <c r="J3" s="1306"/>
      <c r="K3" s="1306"/>
      <c r="L3" s="1306"/>
      <c r="M3" s="1306"/>
      <c r="N3" s="1306"/>
      <c r="O3" s="1306"/>
      <c r="P3" s="1306"/>
      <c r="Q3" s="1306"/>
      <c r="R3" s="1306"/>
      <c r="S3" s="1306"/>
    </row>
    <row r="4" spans="8:22" x14ac:dyDescent="0.25">
      <c r="H4" s="1306"/>
      <c r="I4" s="1306"/>
      <c r="J4" s="1306"/>
      <c r="K4" s="1306"/>
      <c r="L4" s="1306"/>
      <c r="M4" s="1306"/>
      <c r="N4" s="1306"/>
      <c r="O4" s="1306"/>
      <c r="P4" s="1306"/>
      <c r="Q4" s="1306"/>
      <c r="R4" s="1306"/>
      <c r="S4" s="1306"/>
    </row>
    <row r="5" spans="8:22" ht="54.75" customHeight="1" x14ac:dyDescent="0.25">
      <c r="H5" s="1306"/>
      <c r="I5" s="1306"/>
      <c r="J5" s="1306"/>
      <c r="K5" s="1306"/>
      <c r="L5" s="1306"/>
      <c r="M5" s="1306"/>
      <c r="N5" s="1306"/>
      <c r="O5" s="1306"/>
      <c r="P5" s="1306"/>
      <c r="Q5" s="1306"/>
      <c r="R5" s="1306"/>
      <c r="S5" s="1306"/>
    </row>
    <row r="6" spans="8:22" x14ac:dyDescent="0.25">
      <c r="H6" s="223"/>
      <c r="I6" s="223"/>
      <c r="J6" s="223"/>
      <c r="K6" s="223"/>
      <c r="L6" s="223"/>
      <c r="M6" s="223"/>
      <c r="N6" s="223"/>
      <c r="O6" s="223"/>
      <c r="P6" s="223"/>
      <c r="Q6" s="223"/>
      <c r="R6" s="223"/>
      <c r="S6" s="223"/>
    </row>
    <row r="7" spans="8:22" x14ac:dyDescent="0.25">
      <c r="H7" s="976" t="s">
        <v>317</v>
      </c>
    </row>
    <row r="8" spans="8:22" ht="16.350000000000001" customHeight="1" x14ac:dyDescent="0.25"/>
    <row r="9" spans="8:22" ht="15.75" customHeight="1" x14ac:dyDescent="0.25">
      <c r="L9" s="1288">
        <v>2020</v>
      </c>
      <c r="M9" s="1289"/>
      <c r="N9" s="1289"/>
      <c r="O9" s="431">
        <v>2021</v>
      </c>
      <c r="P9" s="431"/>
      <c r="Q9" s="431"/>
      <c r="R9" s="967"/>
    </row>
    <row r="10" spans="8:22" ht="41.85" customHeight="1" x14ac:dyDescent="0.25">
      <c r="H10" s="971" t="s">
        <v>318</v>
      </c>
      <c r="I10" s="971" t="s">
        <v>319</v>
      </c>
      <c r="J10" s="972" t="s">
        <v>320</v>
      </c>
      <c r="K10" s="234"/>
      <c r="L10" s="981" t="s">
        <v>283</v>
      </c>
      <c r="M10" s="982" t="s">
        <v>238</v>
      </c>
      <c r="N10" s="982" t="s">
        <v>281</v>
      </c>
      <c r="O10" s="982" t="s">
        <v>282</v>
      </c>
      <c r="P10" s="982" t="s">
        <v>283</v>
      </c>
      <c r="Q10" s="982" t="s">
        <v>238</v>
      </c>
      <c r="R10" s="970" t="s">
        <v>281</v>
      </c>
      <c r="S10" s="223" t="s">
        <v>321</v>
      </c>
      <c r="T10" s="234"/>
      <c r="U10" s="234"/>
      <c r="V10" s="234"/>
    </row>
    <row r="11" spans="8:22" x14ac:dyDescent="0.25">
      <c r="H11" s="973">
        <v>43934</v>
      </c>
      <c r="I11" s="222">
        <v>248</v>
      </c>
      <c r="J11" s="545">
        <f>I11</f>
        <v>248</v>
      </c>
      <c r="K11" s="222"/>
      <c r="L11" s="964">
        <f>S11/26*J11</f>
        <v>95.384615384615387</v>
      </c>
      <c r="M11" s="618">
        <f>13/26*J11</f>
        <v>124</v>
      </c>
      <c r="N11" s="618">
        <f>J11-SUM(L11:M11)</f>
        <v>28.615384615384613</v>
      </c>
      <c r="O11" s="618"/>
      <c r="P11" s="618"/>
      <c r="Q11" s="618"/>
      <c r="R11" s="593"/>
      <c r="S11" s="222">
        <v>10</v>
      </c>
      <c r="T11" s="222"/>
      <c r="U11" s="978"/>
      <c r="V11" s="222"/>
    </row>
    <row r="12" spans="8:22" x14ac:dyDescent="0.25">
      <c r="H12" s="979">
        <v>43937</v>
      </c>
      <c r="I12" s="222">
        <v>342</v>
      </c>
      <c r="J12" s="545">
        <f>I12-I11</f>
        <v>94</v>
      </c>
      <c r="K12" s="222"/>
      <c r="L12" s="964">
        <f t="shared" ref="L12:L20" si="0">S12/26*J12</f>
        <v>36.153846153846153</v>
      </c>
      <c r="M12" s="618">
        <f t="shared" ref="M12:M20" si="1">13/26*J12</f>
        <v>47</v>
      </c>
      <c r="N12" s="618">
        <f t="shared" ref="N12:N21" si="2">J12-SUM(L12:M12)</f>
        <v>10.84615384615384</v>
      </c>
      <c r="O12" s="618"/>
      <c r="P12" s="618"/>
      <c r="Q12" s="618"/>
      <c r="R12" s="593"/>
      <c r="S12" s="222">
        <v>10</v>
      </c>
      <c r="T12" s="222"/>
      <c r="U12" s="222"/>
      <c r="V12" s="222"/>
    </row>
    <row r="13" spans="8:22" x14ac:dyDescent="0.25">
      <c r="H13" s="979">
        <v>43952</v>
      </c>
      <c r="I13" s="222">
        <v>518</v>
      </c>
      <c r="J13" s="545">
        <f>I13-I12</f>
        <v>176</v>
      </c>
      <c r="K13" s="222"/>
      <c r="L13" s="964">
        <f t="shared" si="0"/>
        <v>54.15384615384616</v>
      </c>
      <c r="M13" s="618">
        <f t="shared" si="1"/>
        <v>88</v>
      </c>
      <c r="N13" s="618">
        <f t="shared" si="2"/>
        <v>33.84615384615384</v>
      </c>
      <c r="O13" s="618"/>
      <c r="P13" s="618"/>
      <c r="Q13" s="618"/>
      <c r="R13" s="593"/>
      <c r="S13" s="222">
        <v>8</v>
      </c>
      <c r="T13" s="222"/>
      <c r="U13" s="222"/>
      <c r="V13" s="222"/>
    </row>
    <row r="14" spans="8:22" x14ac:dyDescent="0.25">
      <c r="H14" s="979">
        <v>43959</v>
      </c>
      <c r="I14" s="222">
        <v>531</v>
      </c>
      <c r="J14" s="545">
        <f t="shared" ref="J14:J45" si="3">I14-I13</f>
        <v>13</v>
      </c>
      <c r="K14" s="222"/>
      <c r="L14" s="964">
        <f t="shared" si="0"/>
        <v>3.5</v>
      </c>
      <c r="M14" s="618">
        <f t="shared" si="1"/>
        <v>6.5</v>
      </c>
      <c r="N14" s="618">
        <f t="shared" si="2"/>
        <v>3</v>
      </c>
      <c r="O14" s="618"/>
      <c r="P14" s="618"/>
      <c r="Q14" s="618"/>
      <c r="R14" s="593"/>
      <c r="S14" s="222">
        <f t="shared" ref="S14:S20" si="4">S13-1</f>
        <v>7</v>
      </c>
      <c r="T14" s="222"/>
      <c r="U14" s="222"/>
      <c r="V14" s="222"/>
    </row>
    <row r="15" spans="8:22" x14ac:dyDescent="0.25">
      <c r="H15" s="979">
        <v>43967</v>
      </c>
      <c r="I15" s="222">
        <v>513</v>
      </c>
      <c r="J15" s="545">
        <f t="shared" si="3"/>
        <v>-18</v>
      </c>
      <c r="K15" s="222"/>
      <c r="L15" s="964">
        <f t="shared" ref="L15:L17" si="5">S15/26*J15</f>
        <v>-4.1538461538461542</v>
      </c>
      <c r="M15" s="618">
        <f t="shared" ref="M15:M17" si="6">13/26*J15</f>
        <v>-9</v>
      </c>
      <c r="N15" s="618">
        <f t="shared" ref="N15:N17" si="7">J15-SUM(L15:M15)</f>
        <v>-4.8461538461538467</v>
      </c>
      <c r="O15" s="618"/>
      <c r="P15" s="618"/>
      <c r="Q15" s="618"/>
      <c r="R15" s="593"/>
      <c r="S15" s="222">
        <f t="shared" si="4"/>
        <v>6</v>
      </c>
      <c r="T15" s="222"/>
      <c r="U15" s="222"/>
      <c r="V15" s="222"/>
    </row>
    <row r="16" spans="8:22" x14ac:dyDescent="0.25">
      <c r="H16" s="979">
        <v>43974</v>
      </c>
      <c r="I16" s="222">
        <v>511</v>
      </c>
      <c r="J16" s="545">
        <f t="shared" si="3"/>
        <v>-2</v>
      </c>
      <c r="K16" s="222"/>
      <c r="L16" s="964">
        <f t="shared" si="5"/>
        <v>-0.38461538461538464</v>
      </c>
      <c r="M16" s="618">
        <f t="shared" si="6"/>
        <v>-1</v>
      </c>
      <c r="N16" s="618">
        <f t="shared" si="7"/>
        <v>-0.61538461538461542</v>
      </c>
      <c r="O16" s="618"/>
      <c r="P16" s="618"/>
      <c r="Q16" s="618"/>
      <c r="R16" s="593"/>
      <c r="S16" s="222">
        <f t="shared" si="4"/>
        <v>5</v>
      </c>
      <c r="T16" s="222"/>
      <c r="U16" s="222"/>
      <c r="V16" s="222"/>
    </row>
    <row r="17" spans="8:22" x14ac:dyDescent="0.25">
      <c r="H17" s="979">
        <v>43981</v>
      </c>
      <c r="I17" s="222">
        <v>510</v>
      </c>
      <c r="J17" s="545">
        <f t="shared" si="3"/>
        <v>-1</v>
      </c>
      <c r="K17" s="222"/>
      <c r="L17" s="964">
        <f t="shared" si="5"/>
        <v>-0.15384615384615385</v>
      </c>
      <c r="M17" s="618">
        <f t="shared" si="6"/>
        <v>-0.5</v>
      </c>
      <c r="N17" s="618">
        <f t="shared" si="7"/>
        <v>-0.34615384615384615</v>
      </c>
      <c r="O17" s="618"/>
      <c r="P17" s="618"/>
      <c r="Q17" s="618"/>
      <c r="R17" s="593"/>
      <c r="S17" s="222">
        <f t="shared" si="4"/>
        <v>4</v>
      </c>
      <c r="T17" s="222"/>
      <c r="U17" s="222"/>
      <c r="V17" s="222"/>
    </row>
    <row r="18" spans="8:22" x14ac:dyDescent="0.25">
      <c r="H18" s="979">
        <v>43988</v>
      </c>
      <c r="I18" s="222">
        <v>511</v>
      </c>
      <c r="J18" s="545">
        <f t="shared" si="3"/>
        <v>1</v>
      </c>
      <c r="K18" s="222"/>
      <c r="L18" s="964">
        <f t="shared" si="0"/>
        <v>0.11538461538461539</v>
      </c>
      <c r="M18" s="618">
        <f t="shared" si="1"/>
        <v>0.5</v>
      </c>
      <c r="N18" s="618">
        <f t="shared" si="2"/>
        <v>0.38461538461538458</v>
      </c>
      <c r="O18" s="618"/>
      <c r="P18" s="618"/>
      <c r="Q18" s="618"/>
      <c r="R18" s="593"/>
      <c r="S18" s="222">
        <f t="shared" si="4"/>
        <v>3</v>
      </c>
      <c r="T18" s="222"/>
      <c r="U18" s="222"/>
      <c r="V18" s="222"/>
    </row>
    <row r="19" spans="8:22" x14ac:dyDescent="0.25">
      <c r="H19" s="979">
        <v>43994</v>
      </c>
      <c r="I19" s="222">
        <v>512</v>
      </c>
      <c r="J19" s="545">
        <f t="shared" si="3"/>
        <v>1</v>
      </c>
      <c r="K19" s="222"/>
      <c r="L19" s="964">
        <f t="shared" si="0"/>
        <v>7.6923076923076927E-2</v>
      </c>
      <c r="M19" s="618">
        <f t="shared" si="1"/>
        <v>0.5</v>
      </c>
      <c r="N19" s="618">
        <f t="shared" si="2"/>
        <v>0.42307692307692313</v>
      </c>
      <c r="O19" s="618"/>
      <c r="P19" s="618"/>
      <c r="Q19" s="618"/>
      <c r="R19" s="593"/>
      <c r="S19" s="222">
        <f t="shared" si="4"/>
        <v>2</v>
      </c>
      <c r="T19" s="222"/>
      <c r="U19" s="222"/>
      <c r="V19" s="222"/>
    </row>
    <row r="20" spans="8:22" x14ac:dyDescent="0.25">
      <c r="H20" s="979">
        <v>44002</v>
      </c>
      <c r="I20" s="222">
        <v>515</v>
      </c>
      <c r="J20" s="545">
        <f t="shared" si="3"/>
        <v>3</v>
      </c>
      <c r="K20" s="222"/>
      <c r="L20" s="964">
        <f t="shared" si="0"/>
        <v>0.11538461538461539</v>
      </c>
      <c r="M20" s="618">
        <f t="shared" si="1"/>
        <v>1.5</v>
      </c>
      <c r="N20" s="618">
        <f t="shared" si="2"/>
        <v>1.3846153846153846</v>
      </c>
      <c r="O20" s="618"/>
      <c r="P20" s="618"/>
      <c r="Q20" s="618"/>
      <c r="R20" s="593"/>
      <c r="S20" s="222">
        <f t="shared" si="4"/>
        <v>1</v>
      </c>
      <c r="T20" s="222"/>
      <c r="U20" s="222"/>
      <c r="V20" s="222"/>
    </row>
    <row r="21" spans="8:22" x14ac:dyDescent="0.25">
      <c r="H21" s="979">
        <v>44009</v>
      </c>
      <c r="I21" s="222">
        <v>519</v>
      </c>
      <c r="J21" s="545">
        <f t="shared" si="3"/>
        <v>4</v>
      </c>
      <c r="K21" s="222"/>
      <c r="L21" s="964"/>
      <c r="M21" s="618">
        <f>S21/26*J21</f>
        <v>2</v>
      </c>
      <c r="N21" s="618">
        <f t="shared" si="2"/>
        <v>2</v>
      </c>
      <c r="O21" s="618"/>
      <c r="P21" s="618"/>
      <c r="Q21" s="618"/>
      <c r="R21" s="593"/>
      <c r="S21" s="222">
        <v>13</v>
      </c>
      <c r="T21" s="222"/>
      <c r="U21" s="222"/>
      <c r="V21" s="222"/>
    </row>
    <row r="22" spans="8:22" x14ac:dyDescent="0.25">
      <c r="H22" s="979">
        <v>44012</v>
      </c>
      <c r="I22" s="222">
        <v>521</v>
      </c>
      <c r="J22" s="545">
        <f t="shared" si="3"/>
        <v>2</v>
      </c>
      <c r="K22" s="222"/>
      <c r="L22" s="964"/>
      <c r="M22" s="618">
        <f t="shared" ref="M22:M26" si="8">S22/26*J22</f>
        <v>1</v>
      </c>
      <c r="N22" s="618">
        <f>J22-SUM(L22:M22)</f>
        <v>1</v>
      </c>
      <c r="O22" s="618"/>
      <c r="P22" s="618"/>
      <c r="Q22" s="618"/>
      <c r="R22" s="593"/>
      <c r="S22" s="222">
        <v>13</v>
      </c>
      <c r="T22" s="222"/>
      <c r="U22" s="222"/>
      <c r="V22" s="222"/>
    </row>
    <row r="23" spans="8:22" x14ac:dyDescent="0.25">
      <c r="H23" s="979">
        <v>44029</v>
      </c>
      <c r="I23" s="222">
        <v>518</v>
      </c>
      <c r="J23" s="545">
        <f t="shared" si="3"/>
        <v>-3</v>
      </c>
      <c r="K23" s="222"/>
      <c r="L23" s="964"/>
      <c r="M23" s="618">
        <f t="shared" ref="M23" si="9">S23/26*J23</f>
        <v>-1.153846153846154</v>
      </c>
      <c r="N23" s="618">
        <f t="shared" ref="N23" si="10">13/26*J23</f>
        <v>-1.5</v>
      </c>
      <c r="O23" s="618">
        <f t="shared" ref="O23" si="11">J23-N23-M23</f>
        <v>-0.34615384615384603</v>
      </c>
      <c r="P23" s="618"/>
      <c r="Q23" s="618"/>
      <c r="R23" s="593"/>
      <c r="S23" s="222">
        <f>S22-3</f>
        <v>10</v>
      </c>
      <c r="T23" s="222"/>
      <c r="U23" s="222"/>
      <c r="V23" s="222"/>
    </row>
    <row r="24" spans="8:22" x14ac:dyDescent="0.25">
      <c r="H24" s="979">
        <v>44036</v>
      </c>
      <c r="I24" s="222">
        <v>520</v>
      </c>
      <c r="J24" s="545">
        <f t="shared" si="3"/>
        <v>2</v>
      </c>
      <c r="K24" s="222"/>
      <c r="L24" s="964"/>
      <c r="M24" s="618">
        <f t="shared" si="8"/>
        <v>0.69230769230769229</v>
      </c>
      <c r="N24" s="618">
        <f t="shared" ref="N24:N26" si="12">13/26*J24</f>
        <v>1</v>
      </c>
      <c r="O24" s="618">
        <f t="shared" ref="O24:O26" si="13">J24-N24-M24</f>
        <v>0.30769230769230771</v>
      </c>
      <c r="P24" s="618"/>
      <c r="Q24" s="618"/>
      <c r="R24" s="593"/>
      <c r="S24" s="222">
        <f>S23-1</f>
        <v>9</v>
      </c>
      <c r="T24" s="222"/>
      <c r="U24" s="222"/>
      <c r="V24" s="222"/>
    </row>
    <row r="25" spans="8:22" x14ac:dyDescent="0.25">
      <c r="H25" s="979">
        <v>44043</v>
      </c>
      <c r="I25" s="222">
        <v>521</v>
      </c>
      <c r="J25" s="545">
        <f t="shared" si="3"/>
        <v>1</v>
      </c>
      <c r="K25" s="222"/>
      <c r="L25" s="964"/>
      <c r="M25" s="618">
        <f t="shared" si="8"/>
        <v>0.30769230769230771</v>
      </c>
      <c r="N25" s="618">
        <f t="shared" si="12"/>
        <v>0.5</v>
      </c>
      <c r="O25" s="618">
        <f t="shared" si="13"/>
        <v>0.19230769230769229</v>
      </c>
      <c r="P25" s="618"/>
      <c r="Q25" s="618"/>
      <c r="R25" s="593"/>
      <c r="S25" s="222">
        <f>S24-1</f>
        <v>8</v>
      </c>
      <c r="T25" s="222"/>
      <c r="U25" s="222"/>
      <c r="V25" s="222"/>
    </row>
    <row r="26" spans="8:22" x14ac:dyDescent="0.25">
      <c r="H26" s="979">
        <v>44051</v>
      </c>
      <c r="I26" s="222">
        <v>525</v>
      </c>
      <c r="J26" s="545">
        <f t="shared" si="3"/>
        <v>4</v>
      </c>
      <c r="K26" s="222"/>
      <c r="L26" s="964"/>
      <c r="M26" s="618">
        <f t="shared" si="8"/>
        <v>1.0769230769230769</v>
      </c>
      <c r="N26" s="618">
        <f t="shared" si="12"/>
        <v>2</v>
      </c>
      <c r="O26" s="618">
        <f t="shared" si="13"/>
        <v>0.92307692307692313</v>
      </c>
      <c r="P26" s="618"/>
      <c r="Q26" s="618"/>
      <c r="R26" s="593"/>
      <c r="S26" s="222">
        <f>S25-1</f>
        <v>7</v>
      </c>
      <c r="T26" s="222"/>
      <c r="U26" s="222"/>
      <c r="V26" s="222"/>
    </row>
    <row r="27" spans="8:22" x14ac:dyDescent="0.25">
      <c r="H27" s="979">
        <v>44220</v>
      </c>
      <c r="I27" s="222">
        <v>558</v>
      </c>
      <c r="J27" s="545">
        <f t="shared" si="3"/>
        <v>33</v>
      </c>
      <c r="K27" s="222"/>
      <c r="L27" s="964"/>
      <c r="M27" s="618"/>
      <c r="N27" s="618"/>
      <c r="O27" s="618">
        <f>S27/26*J27</f>
        <v>12.692307692307693</v>
      </c>
      <c r="P27" s="618">
        <f>J27/2</f>
        <v>16.5</v>
      </c>
      <c r="Q27" s="618">
        <f>J27-P27-O27</f>
        <v>3.8076923076923066</v>
      </c>
      <c r="R27" s="593"/>
      <c r="S27" s="222">
        <v>10</v>
      </c>
      <c r="T27" s="222">
        <v>10</v>
      </c>
      <c r="U27" s="222"/>
      <c r="V27" s="222"/>
    </row>
    <row r="28" spans="8:22" x14ac:dyDescent="0.25">
      <c r="H28" s="979">
        <v>44227</v>
      </c>
      <c r="I28" s="222">
        <v>596</v>
      </c>
      <c r="J28" s="545">
        <f t="shared" si="3"/>
        <v>38</v>
      </c>
      <c r="K28" s="222"/>
      <c r="L28" s="964"/>
      <c r="M28" s="618"/>
      <c r="N28" s="618"/>
      <c r="O28" s="618">
        <f t="shared" ref="O28:O36" si="14">S28/26*J28</f>
        <v>13.153846153846153</v>
      </c>
      <c r="P28" s="618">
        <f t="shared" ref="P28:P36" si="15">J28/2</f>
        <v>19</v>
      </c>
      <c r="Q28" s="618">
        <f t="shared" ref="Q28:Q36" si="16">J28-P28-O28</f>
        <v>5.8461538461538467</v>
      </c>
      <c r="R28" s="593"/>
      <c r="S28" s="222">
        <f>S27-1</f>
        <v>9</v>
      </c>
      <c r="T28" s="222">
        <f>T27-1</f>
        <v>9</v>
      </c>
      <c r="U28" s="222"/>
      <c r="V28" s="222"/>
    </row>
    <row r="29" spans="8:22" x14ac:dyDescent="0.25">
      <c r="H29" s="979">
        <v>44234</v>
      </c>
      <c r="I29" s="222">
        <v>623</v>
      </c>
      <c r="J29" s="545">
        <f t="shared" si="3"/>
        <v>27</v>
      </c>
      <c r="K29" s="222"/>
      <c r="L29" s="964"/>
      <c r="M29" s="618"/>
      <c r="N29" s="618"/>
      <c r="O29" s="618">
        <f t="shared" si="14"/>
        <v>8.3076923076923084</v>
      </c>
      <c r="P29" s="618">
        <f t="shared" si="15"/>
        <v>13.5</v>
      </c>
      <c r="Q29" s="618">
        <f t="shared" si="16"/>
        <v>5.1923076923076916</v>
      </c>
      <c r="R29" s="593"/>
      <c r="S29" s="222">
        <f t="shared" ref="S29:S36" si="17">S28-1</f>
        <v>8</v>
      </c>
      <c r="T29" s="222">
        <f t="shared" ref="T29:T36" si="18">T28-1</f>
        <v>8</v>
      </c>
      <c r="U29" s="222"/>
      <c r="V29" s="222"/>
    </row>
    <row r="30" spans="8:22" x14ac:dyDescent="0.25">
      <c r="H30" s="979">
        <v>44242</v>
      </c>
      <c r="I30" s="222">
        <v>648</v>
      </c>
      <c r="J30" s="545">
        <f t="shared" si="3"/>
        <v>25</v>
      </c>
      <c r="K30" s="222"/>
      <c r="L30" s="964"/>
      <c r="M30" s="618"/>
      <c r="N30" s="618"/>
      <c r="O30" s="618">
        <f t="shared" si="14"/>
        <v>6.7307692307692308</v>
      </c>
      <c r="P30" s="618">
        <f t="shared" si="15"/>
        <v>12.5</v>
      </c>
      <c r="Q30" s="618">
        <f t="shared" si="16"/>
        <v>5.7692307692307692</v>
      </c>
      <c r="R30" s="593"/>
      <c r="S30" s="222">
        <f t="shared" si="17"/>
        <v>7</v>
      </c>
      <c r="T30" s="222">
        <f t="shared" si="18"/>
        <v>7</v>
      </c>
      <c r="U30" s="222"/>
      <c r="V30" s="222"/>
    </row>
    <row r="31" spans="8:22" x14ac:dyDescent="0.25">
      <c r="H31" s="979">
        <v>44248</v>
      </c>
      <c r="I31" s="222">
        <v>663</v>
      </c>
      <c r="J31" s="545">
        <f t="shared" si="3"/>
        <v>15</v>
      </c>
      <c r="K31" s="222"/>
      <c r="L31" s="964"/>
      <c r="M31" s="618"/>
      <c r="N31" s="618"/>
      <c r="O31" s="618">
        <f t="shared" si="14"/>
        <v>3.4615384615384617</v>
      </c>
      <c r="P31" s="618">
        <f t="shared" si="15"/>
        <v>7.5</v>
      </c>
      <c r="Q31" s="618">
        <f t="shared" si="16"/>
        <v>4.0384615384615383</v>
      </c>
      <c r="R31" s="593"/>
      <c r="S31" s="222">
        <f t="shared" si="17"/>
        <v>6</v>
      </c>
      <c r="T31" s="222">
        <f t="shared" si="18"/>
        <v>6</v>
      </c>
      <c r="U31" s="222"/>
      <c r="V31" s="222"/>
    </row>
    <row r="32" spans="8:22" x14ac:dyDescent="0.25">
      <c r="H32" s="979">
        <v>44255</v>
      </c>
      <c r="I32" s="222">
        <v>679</v>
      </c>
      <c r="J32" s="545">
        <f t="shared" si="3"/>
        <v>16</v>
      </c>
      <c r="K32" s="222"/>
      <c r="L32" s="964"/>
      <c r="M32" s="618"/>
      <c r="N32" s="618"/>
      <c r="O32" s="618">
        <f t="shared" si="14"/>
        <v>3.0769230769230771</v>
      </c>
      <c r="P32" s="618">
        <f t="shared" si="15"/>
        <v>8</v>
      </c>
      <c r="Q32" s="618">
        <f t="shared" si="16"/>
        <v>4.9230769230769234</v>
      </c>
      <c r="R32" s="593"/>
      <c r="S32" s="222">
        <f t="shared" si="17"/>
        <v>5</v>
      </c>
      <c r="T32" s="222">
        <f t="shared" si="18"/>
        <v>5</v>
      </c>
      <c r="U32" s="222"/>
      <c r="V32" s="222"/>
    </row>
    <row r="33" spans="8:22" x14ac:dyDescent="0.25">
      <c r="H33" s="979">
        <v>44262</v>
      </c>
      <c r="I33" s="222">
        <v>687</v>
      </c>
      <c r="J33" s="545">
        <f t="shared" si="3"/>
        <v>8</v>
      </c>
      <c r="K33" s="222"/>
      <c r="L33" s="964"/>
      <c r="M33" s="618"/>
      <c r="N33" s="618"/>
      <c r="O33" s="618">
        <f t="shared" si="14"/>
        <v>1.2307692307692308</v>
      </c>
      <c r="P33" s="618">
        <f t="shared" si="15"/>
        <v>4</v>
      </c>
      <c r="Q33" s="618">
        <f t="shared" si="16"/>
        <v>2.7692307692307692</v>
      </c>
      <c r="R33" s="593"/>
      <c r="S33" s="222">
        <f t="shared" si="17"/>
        <v>4</v>
      </c>
      <c r="T33" s="222">
        <f t="shared" si="18"/>
        <v>4</v>
      </c>
      <c r="U33" s="222"/>
      <c r="V33" s="222"/>
    </row>
    <row r="34" spans="8:22" x14ac:dyDescent="0.25">
      <c r="H34" s="979">
        <v>44269</v>
      </c>
      <c r="I34" s="222">
        <v>704</v>
      </c>
      <c r="J34" s="545">
        <f t="shared" si="3"/>
        <v>17</v>
      </c>
      <c r="K34" s="222"/>
      <c r="L34" s="964"/>
      <c r="M34" s="618"/>
      <c r="N34" s="618"/>
      <c r="O34" s="618">
        <f t="shared" si="14"/>
        <v>1.9615384615384617</v>
      </c>
      <c r="P34" s="618">
        <f t="shared" si="15"/>
        <v>8.5</v>
      </c>
      <c r="Q34" s="618">
        <f t="shared" si="16"/>
        <v>6.5384615384615383</v>
      </c>
      <c r="R34" s="593"/>
      <c r="S34" s="222">
        <f t="shared" si="17"/>
        <v>3</v>
      </c>
      <c r="T34" s="222">
        <f t="shared" si="18"/>
        <v>3</v>
      </c>
      <c r="U34" s="222"/>
      <c r="V34" s="222"/>
    </row>
    <row r="35" spans="8:22" x14ac:dyDescent="0.25">
      <c r="H35" s="979">
        <v>44276</v>
      </c>
      <c r="I35" s="222">
        <v>718</v>
      </c>
      <c r="J35" s="545">
        <f t="shared" si="3"/>
        <v>14</v>
      </c>
      <c r="K35" s="222"/>
      <c r="L35" s="964"/>
      <c r="M35" s="618"/>
      <c r="N35" s="618"/>
      <c r="O35" s="618">
        <f t="shared" si="14"/>
        <v>1.0769230769230771</v>
      </c>
      <c r="P35" s="618">
        <f t="shared" si="15"/>
        <v>7</v>
      </c>
      <c r="Q35" s="618">
        <f t="shared" si="16"/>
        <v>5.9230769230769234</v>
      </c>
      <c r="R35" s="593"/>
      <c r="S35" s="222">
        <f t="shared" si="17"/>
        <v>2</v>
      </c>
      <c r="T35" s="222">
        <f t="shared" si="18"/>
        <v>2</v>
      </c>
      <c r="U35" s="222"/>
      <c r="V35" s="222"/>
    </row>
    <row r="36" spans="8:22" x14ac:dyDescent="0.25">
      <c r="H36" s="979">
        <v>44283</v>
      </c>
      <c r="I36" s="222">
        <v>734</v>
      </c>
      <c r="J36" s="545">
        <f t="shared" si="3"/>
        <v>16</v>
      </c>
      <c r="K36" s="222"/>
      <c r="L36" s="964"/>
      <c r="M36" s="618"/>
      <c r="N36" s="618"/>
      <c r="O36" s="618">
        <f t="shared" si="14"/>
        <v>0.61538461538461542</v>
      </c>
      <c r="P36" s="618">
        <f t="shared" si="15"/>
        <v>8</v>
      </c>
      <c r="Q36" s="618">
        <f t="shared" si="16"/>
        <v>7.384615384615385</v>
      </c>
      <c r="R36" s="593"/>
      <c r="S36" s="222">
        <f t="shared" si="17"/>
        <v>1</v>
      </c>
      <c r="T36" s="222">
        <f t="shared" si="18"/>
        <v>1</v>
      </c>
      <c r="U36" s="222"/>
      <c r="V36" s="222"/>
    </row>
    <row r="37" spans="8:22" x14ac:dyDescent="0.25">
      <c r="H37" s="979">
        <v>44290</v>
      </c>
      <c r="I37" s="222">
        <v>746</v>
      </c>
      <c r="J37" s="545">
        <f t="shared" si="3"/>
        <v>12</v>
      </c>
      <c r="K37" s="222"/>
      <c r="L37" s="964"/>
      <c r="M37" s="618"/>
      <c r="N37" s="618"/>
      <c r="O37" s="618"/>
      <c r="P37" s="618">
        <f>T37/26*J37</f>
        <v>6</v>
      </c>
      <c r="Q37" s="618">
        <f>J37/2</f>
        <v>6</v>
      </c>
      <c r="R37" s="593">
        <f>J37-Q37-P37</f>
        <v>0</v>
      </c>
      <c r="S37" s="222">
        <v>13</v>
      </c>
      <c r="T37" s="222">
        <v>13</v>
      </c>
      <c r="U37" s="222"/>
      <c r="V37" s="222"/>
    </row>
    <row r="38" spans="8:22" x14ac:dyDescent="0.25">
      <c r="H38" s="979">
        <v>44297</v>
      </c>
      <c r="I38" s="222">
        <v>755</v>
      </c>
      <c r="J38" s="545">
        <f t="shared" si="3"/>
        <v>9</v>
      </c>
      <c r="K38" s="222"/>
      <c r="L38" s="964"/>
      <c r="M38" s="618"/>
      <c r="N38" s="618"/>
      <c r="O38" s="618"/>
      <c r="P38" s="618">
        <f t="shared" ref="P38:P45" si="19">T38/26*J38</f>
        <v>4.1538461538461542</v>
      </c>
      <c r="Q38" s="618">
        <f t="shared" ref="Q38:Q45" si="20">J38/2</f>
        <v>4.5</v>
      </c>
      <c r="R38" s="593">
        <f t="shared" ref="R38:R45" si="21">J38-Q38-P38</f>
        <v>0.34615384615384581</v>
      </c>
      <c r="S38" s="222">
        <f>S37-1</f>
        <v>12</v>
      </c>
      <c r="T38" s="222">
        <f>T37-1</f>
        <v>12</v>
      </c>
      <c r="U38" s="222"/>
      <c r="V38" s="222"/>
    </row>
    <row r="39" spans="8:22" x14ac:dyDescent="0.25">
      <c r="H39" s="979">
        <v>44304</v>
      </c>
      <c r="I39" s="222">
        <v>762</v>
      </c>
      <c r="J39" s="545">
        <f t="shared" si="3"/>
        <v>7</v>
      </c>
      <c r="K39" s="222"/>
      <c r="L39" s="964"/>
      <c r="M39" s="618"/>
      <c r="N39" s="618"/>
      <c r="O39" s="618"/>
      <c r="P39" s="618">
        <f t="shared" si="19"/>
        <v>2.9615384615384617</v>
      </c>
      <c r="Q39" s="618">
        <f t="shared" si="20"/>
        <v>3.5</v>
      </c>
      <c r="R39" s="593">
        <f t="shared" si="21"/>
        <v>0.53846153846153832</v>
      </c>
      <c r="S39" s="222">
        <f t="shared" ref="S39:S45" si="22">S38-1</f>
        <v>11</v>
      </c>
      <c r="T39" s="222">
        <f t="shared" ref="T39:T45" si="23">T38-1</f>
        <v>11</v>
      </c>
      <c r="U39" s="222"/>
      <c r="V39" s="222"/>
    </row>
    <row r="40" spans="8:22" x14ac:dyDescent="0.25">
      <c r="H40" s="979">
        <v>44311</v>
      </c>
      <c r="I40" s="222">
        <v>771</v>
      </c>
      <c r="J40" s="545">
        <f t="shared" si="3"/>
        <v>9</v>
      </c>
      <c r="K40" s="222"/>
      <c r="L40" s="964"/>
      <c r="M40" s="618"/>
      <c r="N40" s="618"/>
      <c r="O40" s="618"/>
      <c r="P40" s="618">
        <f t="shared" si="19"/>
        <v>3.4615384615384617</v>
      </c>
      <c r="Q40" s="618">
        <f t="shared" si="20"/>
        <v>4.5</v>
      </c>
      <c r="R40" s="593">
        <f t="shared" si="21"/>
        <v>1.0384615384615383</v>
      </c>
      <c r="S40" s="222">
        <f t="shared" si="22"/>
        <v>10</v>
      </c>
      <c r="T40" s="222">
        <f t="shared" si="23"/>
        <v>10</v>
      </c>
      <c r="U40" s="222"/>
      <c r="V40" s="222"/>
    </row>
    <row r="41" spans="8:22" x14ac:dyDescent="0.25">
      <c r="H41" s="979">
        <v>44318</v>
      </c>
      <c r="I41" s="222">
        <v>780</v>
      </c>
      <c r="J41" s="545">
        <f t="shared" si="3"/>
        <v>9</v>
      </c>
      <c r="K41" s="222"/>
      <c r="L41" s="964"/>
      <c r="M41" s="618"/>
      <c r="N41" s="618"/>
      <c r="O41" s="618"/>
      <c r="P41" s="618">
        <f t="shared" si="19"/>
        <v>3.1153846153846154</v>
      </c>
      <c r="Q41" s="618">
        <f t="shared" si="20"/>
        <v>4.5</v>
      </c>
      <c r="R41" s="593">
        <f t="shared" si="21"/>
        <v>1.3846153846153846</v>
      </c>
      <c r="S41" s="222">
        <f t="shared" si="22"/>
        <v>9</v>
      </c>
      <c r="T41" s="222">
        <f t="shared" si="23"/>
        <v>9</v>
      </c>
      <c r="U41" s="222"/>
      <c r="V41" s="222"/>
    </row>
    <row r="42" spans="8:22" x14ac:dyDescent="0.25">
      <c r="H42" s="979">
        <v>44325</v>
      </c>
      <c r="I42" s="222">
        <v>782</v>
      </c>
      <c r="J42" s="545">
        <f t="shared" si="3"/>
        <v>2</v>
      </c>
      <c r="K42" s="222"/>
      <c r="L42" s="964"/>
      <c r="M42" s="618"/>
      <c r="N42" s="618"/>
      <c r="O42" s="618"/>
      <c r="P42" s="618">
        <f t="shared" si="19"/>
        <v>0.61538461538461542</v>
      </c>
      <c r="Q42" s="618">
        <f t="shared" si="20"/>
        <v>1</v>
      </c>
      <c r="R42" s="593">
        <f t="shared" si="21"/>
        <v>0.38461538461538458</v>
      </c>
      <c r="S42" s="222">
        <f t="shared" si="22"/>
        <v>8</v>
      </c>
      <c r="T42" s="222">
        <f t="shared" si="23"/>
        <v>8</v>
      </c>
      <c r="U42" s="222"/>
      <c r="V42" s="222"/>
    </row>
    <row r="43" spans="8:22" x14ac:dyDescent="0.25">
      <c r="H43" s="979">
        <v>44332</v>
      </c>
      <c r="I43" s="222">
        <v>788</v>
      </c>
      <c r="J43" s="545">
        <f t="shared" si="3"/>
        <v>6</v>
      </c>
      <c r="K43" s="222"/>
      <c r="L43" s="964"/>
      <c r="M43" s="618"/>
      <c r="N43" s="618"/>
      <c r="O43" s="618"/>
      <c r="P43" s="618">
        <f t="shared" si="19"/>
        <v>1.6153846153846154</v>
      </c>
      <c r="Q43" s="618">
        <f t="shared" si="20"/>
        <v>3</v>
      </c>
      <c r="R43" s="593">
        <f t="shared" si="21"/>
        <v>1.3846153846153846</v>
      </c>
      <c r="S43" s="222">
        <f t="shared" si="22"/>
        <v>7</v>
      </c>
      <c r="T43" s="222">
        <f t="shared" si="23"/>
        <v>7</v>
      </c>
      <c r="U43" s="222"/>
      <c r="V43" s="222"/>
    </row>
    <row r="44" spans="8:22" x14ac:dyDescent="0.25">
      <c r="H44" s="979">
        <v>44339</v>
      </c>
      <c r="I44" s="222">
        <v>796</v>
      </c>
      <c r="J44" s="545">
        <f t="shared" si="3"/>
        <v>8</v>
      </c>
      <c r="K44" s="222"/>
      <c r="L44" s="964"/>
      <c r="M44" s="618"/>
      <c r="N44" s="618"/>
      <c r="O44" s="618"/>
      <c r="P44" s="618">
        <f t="shared" si="19"/>
        <v>1.8461538461538463</v>
      </c>
      <c r="Q44" s="618">
        <f t="shared" si="20"/>
        <v>4</v>
      </c>
      <c r="R44" s="593">
        <f t="shared" si="21"/>
        <v>2.1538461538461537</v>
      </c>
      <c r="S44" s="222">
        <f t="shared" si="22"/>
        <v>6</v>
      </c>
      <c r="T44" s="222">
        <f t="shared" si="23"/>
        <v>6</v>
      </c>
      <c r="U44" s="222"/>
      <c r="V44" s="222"/>
    </row>
    <row r="45" spans="8:22" x14ac:dyDescent="0.25">
      <c r="H45" s="980">
        <v>44347</v>
      </c>
      <c r="I45" s="542">
        <v>800</v>
      </c>
      <c r="J45" s="562">
        <f t="shared" si="3"/>
        <v>4</v>
      </c>
      <c r="K45" s="222"/>
      <c r="L45" s="964"/>
      <c r="M45" s="618"/>
      <c r="N45" s="618"/>
      <c r="O45" s="618"/>
      <c r="P45" s="618">
        <f t="shared" si="19"/>
        <v>0.76923076923076927</v>
      </c>
      <c r="Q45" s="618">
        <f t="shared" si="20"/>
        <v>2</v>
      </c>
      <c r="R45" s="593">
        <f t="shared" si="21"/>
        <v>1.2307692307692308</v>
      </c>
      <c r="S45" s="222">
        <f t="shared" si="22"/>
        <v>5</v>
      </c>
      <c r="T45" s="222">
        <f t="shared" si="23"/>
        <v>5</v>
      </c>
      <c r="U45" s="222"/>
      <c r="V45" s="222"/>
    </row>
    <row r="46" spans="8:22" x14ac:dyDescent="0.25">
      <c r="H46" s="222"/>
      <c r="I46" s="222"/>
      <c r="J46" s="222"/>
      <c r="K46" s="222"/>
      <c r="L46" s="964">
        <f>SUM(L11:L45)</f>
        <v>184.80769230769229</v>
      </c>
      <c r="M46" s="618">
        <f t="shared" ref="M46:R46" si="24">SUM(M11:M45)</f>
        <v>261.42307692307696</v>
      </c>
      <c r="N46" s="618">
        <f t="shared" si="24"/>
        <v>77.692307692307693</v>
      </c>
      <c r="O46" s="618">
        <f t="shared" si="24"/>
        <v>53.384615384615394</v>
      </c>
      <c r="P46" s="618">
        <f t="shared" si="24"/>
        <v>129.03846153846155</v>
      </c>
      <c r="Q46" s="618">
        <f t="shared" si="24"/>
        <v>85.192307692307693</v>
      </c>
      <c r="R46" s="593">
        <f t="shared" si="24"/>
        <v>8.4615384615384599</v>
      </c>
      <c r="S46" s="222"/>
      <c r="T46" s="222"/>
      <c r="U46" s="222"/>
      <c r="V46" s="222"/>
    </row>
    <row r="47" spans="8:22" x14ac:dyDescent="0.25">
      <c r="H47" s="222"/>
      <c r="I47" s="222"/>
      <c r="J47" s="222"/>
      <c r="K47" s="222"/>
      <c r="L47" s="965">
        <f>L46*4</f>
        <v>739.23076923076917</v>
      </c>
      <c r="M47" s="784">
        <f t="shared" ref="M47:R47" si="25">M46*4</f>
        <v>1045.6923076923078</v>
      </c>
      <c r="N47" s="784">
        <f t="shared" si="25"/>
        <v>310.76923076923077</v>
      </c>
      <c r="O47" s="784">
        <f t="shared" si="25"/>
        <v>213.53846153846158</v>
      </c>
      <c r="P47" s="784">
        <f t="shared" si="25"/>
        <v>516.15384615384619</v>
      </c>
      <c r="Q47" s="784">
        <f t="shared" si="25"/>
        <v>340.76923076923077</v>
      </c>
      <c r="R47" s="832">
        <f t="shared" si="25"/>
        <v>33.84615384615384</v>
      </c>
      <c r="S47" s="222" t="s">
        <v>322</v>
      </c>
      <c r="T47" s="222"/>
      <c r="U47" s="222"/>
      <c r="V47" s="222"/>
    </row>
    <row r="48" spans="8:22" x14ac:dyDescent="0.25">
      <c r="J48" s="238" t="s">
        <v>323</v>
      </c>
      <c r="L48" s="238">
        <v>634</v>
      </c>
      <c r="M48" s="707">
        <f>K55</f>
        <v>900.7</v>
      </c>
      <c r="N48" s="707">
        <f t="shared" ref="N48:P48" si="26">L55</f>
        <v>270.7</v>
      </c>
      <c r="O48" s="707">
        <f t="shared" si="26"/>
        <v>208.7</v>
      </c>
      <c r="P48" s="707">
        <f t="shared" si="26"/>
        <v>469.7</v>
      </c>
      <c r="Q48" s="707">
        <v>279</v>
      </c>
      <c r="R48" s="707"/>
    </row>
    <row r="50" spans="8:29" x14ac:dyDescent="0.25">
      <c r="H50" s="1354" t="s">
        <v>324</v>
      </c>
      <c r="I50" s="1355"/>
      <c r="J50" s="1293" t="s">
        <v>279</v>
      </c>
      <c r="K50" s="1294"/>
      <c r="L50" s="1294"/>
      <c r="M50" s="1313"/>
      <c r="N50" s="1313"/>
      <c r="O50" s="1313"/>
      <c r="P50" s="1270"/>
      <c r="Q50" s="511"/>
      <c r="R50" s="511"/>
      <c r="S50" s="511"/>
      <c r="T50" s="511"/>
      <c r="U50" s="511"/>
      <c r="V50" s="511"/>
      <c r="W50" s="511"/>
      <c r="X50" s="511"/>
      <c r="Y50" s="511"/>
    </row>
    <row r="51" spans="8:29" x14ac:dyDescent="0.25">
      <c r="H51" s="1356"/>
      <c r="I51" s="1357"/>
      <c r="J51" s="1288">
        <v>2020</v>
      </c>
      <c r="K51" s="1289"/>
      <c r="L51" s="1289"/>
      <c r="M51" s="1288">
        <v>2021</v>
      </c>
      <c r="N51" s="1289"/>
      <c r="O51" s="1289"/>
      <c r="P51" s="1290"/>
      <c r="Q51" s="1304"/>
      <c r="R51" s="1304"/>
      <c r="S51" s="1304"/>
      <c r="T51" s="1304"/>
      <c r="U51" s="1304"/>
      <c r="V51" s="1304"/>
      <c r="W51" s="1304"/>
      <c r="X51" s="1304"/>
    </row>
    <row r="52" spans="8:29" x14ac:dyDescent="0.25">
      <c r="H52" s="1385"/>
      <c r="I52" s="1386"/>
      <c r="J52" s="214" t="s">
        <v>283</v>
      </c>
      <c r="K52" s="215" t="s">
        <v>238</v>
      </c>
      <c r="L52" s="215" t="s">
        <v>281</v>
      </c>
      <c r="M52" s="275" t="s">
        <v>282</v>
      </c>
      <c r="N52" s="276" t="s">
        <v>283</v>
      </c>
      <c r="O52" s="276" t="s">
        <v>238</v>
      </c>
      <c r="P52" s="274" t="s">
        <v>281</v>
      </c>
      <c r="Q52" s="222"/>
      <c r="S52" s="238"/>
      <c r="T52" s="238"/>
      <c r="U52" s="222"/>
      <c r="V52" s="238"/>
      <c r="W52" s="238"/>
      <c r="X52" s="238"/>
      <c r="Y52" s="238"/>
      <c r="Z52" s="238"/>
      <c r="AA52" s="238"/>
    </row>
    <row r="53" spans="8:29" ht="32.85" customHeight="1" x14ac:dyDescent="0.25">
      <c r="H53" s="476" t="s">
        <v>325</v>
      </c>
      <c r="I53" s="222" t="s">
        <v>326</v>
      </c>
      <c r="J53" s="974">
        <f>'Haver Pivoted'!GU47</f>
        <v>57.2</v>
      </c>
      <c r="K53" s="963">
        <f>'Haver Pivoted'!GV47</f>
        <v>81.2</v>
      </c>
      <c r="L53" s="963">
        <f>'Haver Pivoted'!GW47</f>
        <v>24.4</v>
      </c>
      <c r="M53" s="235">
        <f>'Haver Pivoted'!GX47</f>
        <v>11.7</v>
      </c>
      <c r="N53" s="235">
        <f>'Haver Pivoted'!GY47</f>
        <v>28.5</v>
      </c>
      <c r="O53" s="364">
        <f>'Haver Pivoted'!GZ47</f>
        <v>18.8</v>
      </c>
      <c r="P53" s="364">
        <f>'Haver Pivoted'!HA47</f>
        <v>1.6</v>
      </c>
      <c r="Q53" s="235"/>
      <c r="S53" s="238"/>
      <c r="T53" s="238"/>
      <c r="U53" s="238"/>
      <c r="V53" s="238"/>
      <c r="W53" s="238"/>
      <c r="X53" s="238"/>
      <c r="Y53" s="238"/>
      <c r="Z53" s="238"/>
      <c r="AA53" s="238"/>
    </row>
    <row r="54" spans="8:29" ht="33.75" customHeight="1" x14ac:dyDescent="0.25">
      <c r="H54" s="476" t="s">
        <v>327</v>
      </c>
      <c r="I54" s="230" t="s">
        <v>328</v>
      </c>
      <c r="J54" s="968">
        <f>'Haver Pivoted'!GU49</f>
        <v>576.9</v>
      </c>
      <c r="K54" s="235">
        <f>'Haver Pivoted'!GV49</f>
        <v>819.5</v>
      </c>
      <c r="L54" s="235">
        <f>'Haver Pivoted'!GW49</f>
        <v>246.3</v>
      </c>
      <c r="M54" s="235">
        <f>'Haver Pivoted'!GX49</f>
        <v>197</v>
      </c>
      <c r="N54" s="235">
        <f>'Haver Pivoted'!GY49</f>
        <v>441.2</v>
      </c>
      <c r="O54" s="364">
        <f>'Haver Pivoted'!GZ49</f>
        <v>276.7</v>
      </c>
      <c r="P54" s="364">
        <f>'Haver Pivoted'!HA49</f>
        <v>28.2</v>
      </c>
      <c r="Q54" s="235"/>
      <c r="R54" s="235"/>
    </row>
    <row r="55" spans="8:29" x14ac:dyDescent="0.25">
      <c r="H55" s="548" t="s">
        <v>311</v>
      </c>
      <c r="I55" s="222"/>
      <c r="J55" s="968">
        <f>J54+J53</f>
        <v>634.1</v>
      </c>
      <c r="K55" s="235">
        <f t="shared" ref="K55:M55" si="27">K54+K53</f>
        <v>900.7</v>
      </c>
      <c r="L55" s="235">
        <f t="shared" si="27"/>
        <v>270.7</v>
      </c>
      <c r="M55" s="235">
        <f t="shared" si="27"/>
        <v>208.7</v>
      </c>
      <c r="N55" s="235">
        <f t="shared" ref="N55:P55" si="28">N54+N53</f>
        <v>469.7</v>
      </c>
      <c r="O55" s="364">
        <f t="shared" si="28"/>
        <v>295.5</v>
      </c>
      <c r="P55" s="364">
        <f t="shared" si="28"/>
        <v>29.8</v>
      </c>
      <c r="Q55" s="235"/>
      <c r="R55" s="235"/>
    </row>
    <row r="56" spans="8:29" x14ac:dyDescent="0.25">
      <c r="H56" s="547" t="s">
        <v>329</v>
      </c>
      <c r="I56" s="542"/>
      <c r="J56" s="785">
        <f t="shared" ref="J56:P56" si="29">J53/J55</f>
        <v>9.0206592020186091E-2</v>
      </c>
      <c r="K56" s="786">
        <f t="shared" si="29"/>
        <v>9.015210391917397E-2</v>
      </c>
      <c r="L56" s="786">
        <f t="shared" si="29"/>
        <v>9.0136682674547469E-2</v>
      </c>
      <c r="M56" s="786">
        <f t="shared" si="29"/>
        <v>5.6061332055582176E-2</v>
      </c>
      <c r="N56" s="786">
        <f t="shared" si="29"/>
        <v>6.0677027890142649E-2</v>
      </c>
      <c r="O56" s="969">
        <f t="shared" si="29"/>
        <v>6.3620981387478848E-2</v>
      </c>
      <c r="P56" s="969">
        <f t="shared" si="29"/>
        <v>5.3691275167785234E-2</v>
      </c>
      <c r="Q56" s="977"/>
      <c r="R56" s="819"/>
    </row>
    <row r="58" spans="8:29" x14ac:dyDescent="0.25">
      <c r="H58" s="238" t="s">
        <v>815</v>
      </c>
    </row>
    <row r="59" spans="8:29" x14ac:dyDescent="0.25">
      <c r="H59" s="273"/>
      <c r="I59" s="222"/>
      <c r="J59" s="235"/>
      <c r="K59" s="235"/>
      <c r="L59" s="235"/>
      <c r="M59" s="235"/>
      <c r="N59" s="235"/>
      <c r="O59" s="235"/>
      <c r="P59" s="499"/>
      <c r="Q59" s="235"/>
      <c r="R59" s="235"/>
      <c r="S59" s="235"/>
      <c r="T59" s="238"/>
      <c r="U59" s="238"/>
      <c r="V59" s="238"/>
      <c r="W59" s="238"/>
      <c r="X59" s="238"/>
      <c r="Y59" s="238"/>
      <c r="Z59" s="238"/>
      <c r="AA59" s="238"/>
      <c r="AB59" s="238"/>
      <c r="AC59" s="238"/>
    </row>
    <row r="60" spans="8:29" x14ac:dyDescent="0.25">
      <c r="P60" s="235"/>
      <c r="Q60" s="238"/>
      <c r="R60" s="238"/>
      <c r="S60" s="238"/>
      <c r="T60" s="238"/>
      <c r="U60" s="238"/>
      <c r="V60" s="238"/>
      <c r="W60" s="238"/>
      <c r="X60" s="238"/>
      <c r="Y60" s="238"/>
      <c r="Z60" s="238"/>
      <c r="AA60" s="238"/>
      <c r="AB60" s="238"/>
      <c r="AC60" s="238"/>
    </row>
    <row r="61" spans="8:29" x14ac:dyDescent="0.25">
      <c r="P61" s="235"/>
      <c r="Q61" s="975"/>
      <c r="R61" s="975"/>
      <c r="S61" s="975"/>
      <c r="T61" s="975"/>
      <c r="U61" s="975"/>
      <c r="V61" s="975"/>
      <c r="W61" s="975"/>
      <c r="X61" s="975"/>
      <c r="Y61" s="975"/>
      <c r="Z61" s="975"/>
      <c r="AA61" s="975"/>
      <c r="AB61" s="975"/>
      <c r="AC61" s="238"/>
    </row>
    <row r="62" spans="8:29" x14ac:dyDescent="0.25">
      <c r="P62" s="235"/>
      <c r="Q62" s="975"/>
      <c r="R62" s="975"/>
      <c r="S62" s="975"/>
      <c r="T62" s="975"/>
      <c r="U62" s="975"/>
      <c r="V62" s="975"/>
      <c r="W62" s="975"/>
      <c r="X62" s="975"/>
      <c r="Y62" s="975"/>
      <c r="Z62" s="975"/>
      <c r="AA62" s="975"/>
      <c r="AB62" s="975"/>
      <c r="AC62" s="238"/>
    </row>
    <row r="63" spans="8:29" x14ac:dyDescent="0.25">
      <c r="I63" s="238" t="s">
        <v>282</v>
      </c>
      <c r="J63" s="238" t="s">
        <v>283</v>
      </c>
      <c r="K63" s="238" t="s">
        <v>238</v>
      </c>
      <c r="L63" s="238" t="s">
        <v>281</v>
      </c>
      <c r="P63" s="819"/>
      <c r="Q63" s="975"/>
      <c r="R63" s="975"/>
      <c r="S63" s="975"/>
      <c r="T63" s="975"/>
      <c r="U63" s="975"/>
      <c r="V63" s="975"/>
      <c r="W63" s="975"/>
      <c r="X63" s="975"/>
      <c r="Y63" s="975"/>
      <c r="Z63" s="975"/>
      <c r="AA63" s="975"/>
      <c r="AB63" s="975"/>
      <c r="AC63" s="238"/>
    </row>
    <row r="64" spans="8:29" x14ac:dyDescent="0.25">
      <c r="H64" s="238" t="s">
        <v>816</v>
      </c>
      <c r="I64" s="238">
        <v>81.599999999999994</v>
      </c>
      <c r="J64" s="238">
        <v>188.9</v>
      </c>
      <c r="K64" s="238">
        <v>117.2</v>
      </c>
      <c r="L64" s="238" t="e">
        <f>#REF!+#REF!</f>
        <v>#REF!</v>
      </c>
      <c r="P64" s="238"/>
      <c r="Q64" s="238"/>
      <c r="R64" s="238"/>
      <c r="S64" s="238"/>
      <c r="T64" s="238"/>
      <c r="U64" s="238"/>
      <c r="V64" s="238"/>
      <c r="W64" s="238"/>
      <c r="X64" s="238"/>
      <c r="Y64" s="238"/>
      <c r="Z64" s="238"/>
      <c r="AA64" s="238"/>
      <c r="AB64" s="238"/>
      <c r="AC64" s="238"/>
    </row>
    <row r="65" spans="7:29" x14ac:dyDescent="0.25">
      <c r="H65" s="238" t="s">
        <v>468</v>
      </c>
      <c r="I65" s="707">
        <f>M53</f>
        <v>11.7</v>
      </c>
      <c r="J65" s="707">
        <f t="shared" ref="J65:K65" si="30">N53</f>
        <v>28.5</v>
      </c>
      <c r="K65" s="707">
        <f t="shared" si="30"/>
        <v>18.8</v>
      </c>
      <c r="L65" s="238" t="e">
        <f>#REF!</f>
        <v>#REF!</v>
      </c>
      <c r="P65" s="238"/>
      <c r="Q65" s="238"/>
      <c r="R65" s="238"/>
      <c r="S65" s="238"/>
      <c r="T65" s="238"/>
      <c r="U65" s="238"/>
      <c r="V65" s="238"/>
      <c r="W65" s="238"/>
      <c r="X65" s="238"/>
      <c r="Y65" s="238"/>
      <c r="Z65" s="238"/>
      <c r="AA65" s="238"/>
      <c r="AB65" s="238"/>
      <c r="AC65" s="238"/>
    </row>
    <row r="66" spans="7:29" x14ac:dyDescent="0.25">
      <c r="H66" s="238" t="s">
        <v>817</v>
      </c>
      <c r="I66" s="707">
        <f>I67-SUM(I64:I65)</f>
        <v>115.39999999999999</v>
      </c>
      <c r="J66" s="707">
        <f t="shared" ref="J66:K66" si="31">J67-SUM(J64:J65)</f>
        <v>252.29999999999998</v>
      </c>
      <c r="K66" s="707">
        <f t="shared" si="31"/>
        <v>159.5</v>
      </c>
      <c r="L66" s="707" t="e">
        <f>1.26*L64</f>
        <v>#REF!</v>
      </c>
      <c r="P66" s="238"/>
      <c r="Q66" s="238"/>
      <c r="R66" s="238"/>
      <c r="S66" s="238"/>
      <c r="T66" s="238"/>
      <c r="U66" s="238"/>
      <c r="V66" s="238"/>
      <c r="W66" s="238"/>
      <c r="X66" s="238"/>
      <c r="Y66" s="238"/>
      <c r="Z66" s="238"/>
      <c r="AA66" s="238"/>
      <c r="AB66" s="238"/>
      <c r="AC66" s="238"/>
    </row>
    <row r="67" spans="7:29" x14ac:dyDescent="0.25">
      <c r="H67" s="238" t="s">
        <v>311</v>
      </c>
      <c r="I67" s="707">
        <f>M55</f>
        <v>208.7</v>
      </c>
      <c r="J67" s="707">
        <f>N55</f>
        <v>469.7</v>
      </c>
      <c r="K67" s="707">
        <f>O55</f>
        <v>295.5</v>
      </c>
      <c r="L67" s="707" t="e">
        <f>SUM(L64:L66)</f>
        <v>#REF!</v>
      </c>
    </row>
    <row r="68" spans="7:29" x14ac:dyDescent="0.25">
      <c r="G68" s="238" t="s">
        <v>818</v>
      </c>
    </row>
    <row r="69" spans="7:29" x14ac:dyDescent="0.25">
      <c r="H69" s="238" t="s">
        <v>816</v>
      </c>
      <c r="I69" s="966">
        <f>I64/I$67</f>
        <v>0.39099185433636796</v>
      </c>
      <c r="J69" s="966">
        <f t="shared" ref="J69:L69" si="32">J64/J$67</f>
        <v>0.40217159889291038</v>
      </c>
      <c r="K69" s="966">
        <f t="shared" si="32"/>
        <v>0.3966159052453469</v>
      </c>
      <c r="L69" s="966" t="e">
        <f t="shared" si="32"/>
        <v>#REF!</v>
      </c>
    </row>
    <row r="70" spans="7:29" x14ac:dyDescent="0.25">
      <c r="H70" s="238" t="s">
        <v>468</v>
      </c>
      <c r="I70" s="966">
        <f t="shared" ref="I70:L71" si="33">I65/I$67</f>
        <v>5.6061332055582176E-2</v>
      </c>
      <c r="J70" s="966">
        <f t="shared" si="33"/>
        <v>6.0677027890142649E-2</v>
      </c>
      <c r="K70" s="966">
        <f t="shared" si="33"/>
        <v>6.3620981387478848E-2</v>
      </c>
      <c r="L70" s="966" t="e">
        <f t="shared" si="33"/>
        <v>#REF!</v>
      </c>
    </row>
    <row r="71" spans="7:29" x14ac:dyDescent="0.25">
      <c r="H71" s="238" t="s">
        <v>817</v>
      </c>
      <c r="I71" s="966">
        <f t="shared" si="33"/>
        <v>0.55294681360804987</v>
      </c>
      <c r="J71" s="966">
        <f t="shared" si="33"/>
        <v>0.53715137321694695</v>
      </c>
      <c r="K71" s="966">
        <f t="shared" si="33"/>
        <v>0.53976311336717431</v>
      </c>
      <c r="L71" s="966" t="e">
        <f t="shared" si="33"/>
        <v>#REF!</v>
      </c>
    </row>
    <row r="73" spans="7:29" x14ac:dyDescent="0.25">
      <c r="H73" s="238" t="s">
        <v>819</v>
      </c>
      <c r="I73" s="238">
        <f>I66/I64</f>
        <v>1.4142156862745099</v>
      </c>
      <c r="J73" s="238">
        <f t="shared" ref="J73:K73" si="34">J66/J64</f>
        <v>1.3356273160402328</v>
      </c>
      <c r="K73" s="238">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A00-000000000000}"/>
  </hyperlinks>
  <pageMargins left="0.7" right="0.7" top="0.75" bottom="0.75" header="0.3" footer="0.3"/>
  <pageSetup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V45"/>
  <sheetViews>
    <sheetView zoomScale="110" zoomScaleNormal="110" workbookViewId="0">
      <selection activeCell="I27" sqref="I27"/>
    </sheetView>
  </sheetViews>
  <sheetFormatPr defaultColWidth="10.85546875" defaultRowHeight="15" x14ac:dyDescent="0.25"/>
  <cols>
    <col min="2" max="2" width="38.85546875" customWidth="1"/>
    <col min="3" max="9" width="10.42578125" customWidth="1"/>
    <col min="10" max="20" width="7.140625" customWidth="1"/>
    <col min="21" max="21" width="22.140625" customWidth="1"/>
    <col min="22" max="22" width="11.85546875" customWidth="1"/>
  </cols>
  <sheetData>
    <row r="1" spans="1:22" x14ac:dyDescent="0.25">
      <c r="B1" s="1241" t="s">
        <v>152</v>
      </c>
      <c r="C1" s="1241"/>
      <c r="D1" s="1241"/>
      <c r="E1" s="1241"/>
      <c r="F1" s="1241"/>
      <c r="G1" s="1241"/>
      <c r="H1" s="1241"/>
      <c r="I1" s="1241"/>
      <c r="J1" s="1241"/>
      <c r="K1" s="1241"/>
      <c r="L1" s="1241"/>
      <c r="M1" s="1241"/>
      <c r="N1" s="1241"/>
      <c r="O1" s="1241"/>
      <c r="P1" s="1241"/>
      <c r="Q1" s="1241"/>
      <c r="R1" s="1241"/>
      <c r="S1" s="1241"/>
      <c r="T1" s="1241"/>
    </row>
    <row r="2" spans="1:22" x14ac:dyDescent="0.25">
      <c r="B2" s="1387" t="s">
        <v>854</v>
      </c>
      <c r="C2" s="1387"/>
      <c r="D2" s="1387"/>
      <c r="E2" s="1387"/>
      <c r="F2" s="1387"/>
      <c r="G2" s="1387"/>
      <c r="H2" s="1387"/>
      <c r="I2" s="1387"/>
      <c r="J2" s="1387"/>
      <c r="K2" s="1387"/>
      <c r="L2" s="1387"/>
      <c r="M2" s="1387"/>
      <c r="N2" s="1387"/>
      <c r="O2" s="1387"/>
      <c r="P2" s="1387"/>
      <c r="Q2" s="1387"/>
      <c r="R2" s="1387"/>
      <c r="S2" s="1387"/>
      <c r="T2" s="1387"/>
    </row>
    <row r="3" spans="1:22" x14ac:dyDescent="0.25">
      <c r="B3" s="1387"/>
      <c r="C3" s="1387"/>
      <c r="D3" s="1387"/>
      <c r="E3" s="1387"/>
      <c r="F3" s="1387"/>
      <c r="G3" s="1387"/>
      <c r="H3" s="1387"/>
      <c r="I3" s="1387"/>
      <c r="J3" s="1387"/>
      <c r="K3" s="1387"/>
      <c r="L3" s="1387"/>
      <c r="M3" s="1387"/>
      <c r="N3" s="1387"/>
      <c r="O3" s="1387"/>
      <c r="P3" s="1387"/>
      <c r="Q3" s="1387"/>
      <c r="R3" s="1387"/>
      <c r="S3" s="1387"/>
      <c r="T3" s="1387"/>
    </row>
    <row r="4" spans="1:22" x14ac:dyDescent="0.25">
      <c r="B4" s="1387"/>
      <c r="C4" s="1387"/>
      <c r="D4" s="1387"/>
      <c r="E4" s="1387"/>
      <c r="F4" s="1387"/>
      <c r="G4" s="1387"/>
      <c r="H4" s="1387"/>
      <c r="I4" s="1387"/>
      <c r="J4" s="1387"/>
      <c r="K4" s="1387"/>
      <c r="L4" s="1387"/>
      <c r="M4" s="1387"/>
      <c r="N4" s="1387"/>
      <c r="O4" s="1387"/>
      <c r="P4" s="1387"/>
      <c r="Q4" s="1387"/>
      <c r="R4" s="1387"/>
      <c r="S4" s="1387"/>
      <c r="T4" s="1387"/>
    </row>
    <row r="5" spans="1:22" x14ac:dyDescent="0.25">
      <c r="B5" s="1387"/>
      <c r="C5" s="1387"/>
      <c r="D5" s="1387"/>
      <c r="E5" s="1387"/>
      <c r="F5" s="1387"/>
      <c r="G5" s="1387"/>
      <c r="H5" s="1387"/>
      <c r="I5" s="1387"/>
      <c r="J5" s="1387"/>
      <c r="K5" s="1387"/>
      <c r="L5" s="1387"/>
      <c r="M5" s="1387"/>
      <c r="N5" s="1387"/>
      <c r="O5" s="1387"/>
      <c r="P5" s="1387"/>
      <c r="Q5" s="1387"/>
      <c r="R5" s="1387"/>
      <c r="S5" s="1387"/>
      <c r="T5" s="1387"/>
    </row>
    <row r="6" spans="1:22" x14ac:dyDescent="0.25">
      <c r="B6" s="1387"/>
      <c r="C6" s="1387"/>
      <c r="D6" s="1387"/>
      <c r="E6" s="1387"/>
      <c r="F6" s="1387"/>
      <c r="G6" s="1387"/>
      <c r="H6" s="1387"/>
      <c r="I6" s="1387"/>
      <c r="J6" s="1387"/>
      <c r="K6" s="1387"/>
      <c r="L6" s="1387"/>
      <c r="M6" s="1387"/>
      <c r="N6" s="1387"/>
      <c r="O6" s="1387"/>
      <c r="P6" s="1387"/>
      <c r="Q6" s="1387"/>
      <c r="R6" s="1387"/>
      <c r="S6" s="1387"/>
      <c r="T6" s="1387"/>
    </row>
    <row r="7" spans="1:22" x14ac:dyDescent="0.25">
      <c r="J7" s="74"/>
      <c r="K7" s="74"/>
      <c r="M7" s="74"/>
    </row>
    <row r="9" spans="1:22" ht="14.85" customHeight="1" x14ac:dyDescent="0.25">
      <c r="A9" s="622"/>
      <c r="B9" s="1388" t="s">
        <v>303</v>
      </c>
      <c r="C9" s="1389"/>
      <c r="D9" s="1004">
        <v>2018</v>
      </c>
      <c r="E9" s="1394">
        <v>2019</v>
      </c>
      <c r="F9" s="1395"/>
      <c r="G9" s="1395"/>
      <c r="H9" s="1396"/>
      <c r="I9" s="1392">
        <v>2020</v>
      </c>
      <c r="J9" s="1393"/>
      <c r="K9" s="1393"/>
      <c r="L9" s="1393"/>
      <c r="M9" s="1397">
        <v>2021</v>
      </c>
      <c r="N9" s="1398"/>
      <c r="O9" s="1398"/>
      <c r="P9" s="1399"/>
      <c r="Q9" s="1392">
        <v>2022</v>
      </c>
      <c r="R9" s="1400"/>
      <c r="S9" s="1400"/>
      <c r="T9" s="1401"/>
    </row>
    <row r="10" spans="1:22" x14ac:dyDescent="0.25">
      <c r="B10" s="1390"/>
      <c r="C10" s="1391"/>
      <c r="D10" s="983" t="s">
        <v>281</v>
      </c>
      <c r="E10" s="984" t="s">
        <v>282</v>
      </c>
      <c r="F10" s="656" t="s">
        <v>283</v>
      </c>
      <c r="G10" s="656" t="s">
        <v>238</v>
      </c>
      <c r="H10" s="985" t="s">
        <v>281</v>
      </c>
      <c r="I10" s="984" t="s">
        <v>282</v>
      </c>
      <c r="J10" s="656" t="s">
        <v>283</v>
      </c>
      <c r="K10" s="656" t="s">
        <v>238</v>
      </c>
      <c r="L10" s="656" t="s">
        <v>281</v>
      </c>
      <c r="M10" s="214" t="s">
        <v>282</v>
      </c>
      <c r="N10" s="215" t="s">
        <v>283</v>
      </c>
      <c r="O10" s="215" t="s">
        <v>238</v>
      </c>
      <c r="P10" s="221" t="s">
        <v>281</v>
      </c>
      <c r="Q10" s="656" t="s">
        <v>282</v>
      </c>
      <c r="R10" s="656" t="s">
        <v>283</v>
      </c>
      <c r="S10" s="656" t="s">
        <v>238</v>
      </c>
      <c r="T10" s="985" t="s">
        <v>281</v>
      </c>
    </row>
    <row r="11" spans="1:22" ht="29.1" customHeight="1" x14ac:dyDescent="0.25">
      <c r="A11" s="1002"/>
      <c r="B11" s="987" t="s">
        <v>139</v>
      </c>
      <c r="C11" s="1008" t="s">
        <v>304</v>
      </c>
      <c r="D11" s="996"/>
      <c r="E11" s="997"/>
      <c r="F11" s="997"/>
      <c r="G11" s="997"/>
      <c r="H11" s="997"/>
      <c r="I11" s="997"/>
      <c r="J11" s="989">
        <f>'Haver Pivoted'!GU48</f>
        <v>160.9</v>
      </c>
      <c r="K11" s="989">
        <f>'Haver Pivoted'!GV48</f>
        <v>58.4</v>
      </c>
      <c r="L11" s="989">
        <f>'Haver Pivoted'!GW48</f>
        <v>34.5</v>
      </c>
      <c r="M11" s="989">
        <f>'Haver Pivoted'!GX48</f>
        <v>21.4</v>
      </c>
      <c r="N11" s="989">
        <f>'Haver Pivoted'!GY48</f>
        <v>13.3</v>
      </c>
      <c r="O11" s="989">
        <f>'Haver Pivoted'!GZ48</f>
        <v>18.7</v>
      </c>
      <c r="P11" s="989">
        <f>'Haver Pivoted'!HA48</f>
        <v>32.200000000000003</v>
      </c>
      <c r="Q11" s="989">
        <f>'Haver Pivoted'!HB48</f>
        <v>26.9</v>
      </c>
      <c r="R11" s="989">
        <f>'Haver Pivoted'!HC48</f>
        <v>20</v>
      </c>
      <c r="S11" s="995">
        <f>'Haver Pivoted'!HD48</f>
        <v>8.1</v>
      </c>
      <c r="T11" s="990">
        <f>'Haver Pivoted'!HE48</f>
        <v>4.9000000000000004</v>
      </c>
    </row>
    <row r="12" spans="1:22" ht="29.1" customHeight="1" x14ac:dyDescent="0.25">
      <c r="A12" s="1002"/>
      <c r="B12" s="1000" t="s">
        <v>305</v>
      </c>
      <c r="C12" s="202" t="s">
        <v>306</v>
      </c>
      <c r="D12" s="1000"/>
      <c r="E12" s="202"/>
      <c r="F12" s="202"/>
      <c r="G12" s="202"/>
      <c r="H12" s="202"/>
      <c r="I12" s="202"/>
      <c r="J12" s="991">
        <f>'Haver Pivoted'!GU58</f>
        <v>64.400000000000006</v>
      </c>
      <c r="K12" s="991">
        <f>'Haver Pivoted'!GV58</f>
        <v>23.4</v>
      </c>
      <c r="L12" s="991">
        <f>'Haver Pivoted'!GW58</f>
        <v>13.8</v>
      </c>
      <c r="M12" s="991">
        <f>'Haver Pivoted'!GX58</f>
        <v>12</v>
      </c>
      <c r="N12" s="991">
        <f>'Haver Pivoted'!GY58</f>
        <v>7.5</v>
      </c>
      <c r="O12" s="991">
        <f>'Haver Pivoted'!GZ58</f>
        <v>10.5</v>
      </c>
      <c r="P12" s="991">
        <f>'Haver Pivoted'!HA58</f>
        <v>18</v>
      </c>
      <c r="Q12" s="991">
        <f>'Haver Pivoted'!HB58</f>
        <v>15</v>
      </c>
      <c r="R12" s="991">
        <f>'Haver Pivoted'!HC58</f>
        <v>11.2</v>
      </c>
      <c r="S12" s="994">
        <f>'Haver Pivoted'!HD58</f>
        <v>7.5</v>
      </c>
      <c r="T12" s="998">
        <f>'Haver Pivoted'!HE58</f>
        <v>6.2</v>
      </c>
    </row>
    <row r="13" spans="1:22" ht="47.1" customHeight="1" x14ac:dyDescent="0.25">
      <c r="A13" s="1002"/>
      <c r="B13" s="1000" t="s">
        <v>307</v>
      </c>
      <c r="C13" s="202" t="s">
        <v>308</v>
      </c>
      <c r="D13" s="1000"/>
      <c r="E13" s="202"/>
      <c r="F13" s="202"/>
      <c r="G13" s="202"/>
      <c r="H13" s="202"/>
      <c r="I13" s="202"/>
      <c r="J13" s="991">
        <f>'Haver Pivoted'!GU54</f>
        <v>96.6</v>
      </c>
      <c r="K13" s="991">
        <f>'Haver Pivoted'!GV54</f>
        <v>35.1</v>
      </c>
      <c r="L13" s="991">
        <f>'Haver Pivoted'!GW54</f>
        <v>20.7</v>
      </c>
      <c r="M13" s="991">
        <f>'Haver Pivoted'!GX54</f>
        <v>15.4</v>
      </c>
      <c r="N13" s="991">
        <f>'Haver Pivoted'!GY54</f>
        <v>9.6</v>
      </c>
      <c r="O13" s="991">
        <f>'Haver Pivoted'!GZ54</f>
        <v>13.5</v>
      </c>
      <c r="P13" s="991">
        <f>'Haver Pivoted'!HA54</f>
        <v>23.2</v>
      </c>
      <c r="Q13" s="991">
        <f>'Haver Pivoted'!HB54</f>
        <v>19.3</v>
      </c>
      <c r="R13" s="991">
        <f>'Haver Pivoted'!HC54</f>
        <v>14.4</v>
      </c>
      <c r="S13" s="994">
        <f>'Haver Pivoted'!HD54</f>
        <v>5.9</v>
      </c>
      <c r="T13" s="998">
        <f>'Haver Pivoted'!HE54</f>
        <v>3.6</v>
      </c>
      <c r="U13" s="992" t="s">
        <v>309</v>
      </c>
      <c r="V13" s="1005" t="s">
        <v>310</v>
      </c>
    </row>
    <row r="14" spans="1:22" x14ac:dyDescent="0.25">
      <c r="B14" s="41" t="s">
        <v>311</v>
      </c>
      <c r="C14" s="43"/>
      <c r="D14" s="41"/>
      <c r="E14" s="43"/>
      <c r="F14" s="43"/>
      <c r="G14" s="43"/>
      <c r="H14" s="43"/>
      <c r="I14" s="43"/>
      <c r="J14" s="991">
        <f t="shared" ref="J14:T14" si="0">J13+J12+J11</f>
        <v>321.89999999999998</v>
      </c>
      <c r="K14" s="991">
        <f t="shared" si="0"/>
        <v>116.9</v>
      </c>
      <c r="L14" s="991">
        <f t="shared" si="0"/>
        <v>69</v>
      </c>
      <c r="M14" s="991">
        <f t="shared" si="0"/>
        <v>48.8</v>
      </c>
      <c r="N14" s="991">
        <f t="shared" si="0"/>
        <v>30.400000000000002</v>
      </c>
      <c r="O14" s="991">
        <f t="shared" si="0"/>
        <v>42.7</v>
      </c>
      <c r="P14" s="991">
        <f t="shared" si="0"/>
        <v>73.400000000000006</v>
      </c>
      <c r="Q14" s="991">
        <f t="shared" si="0"/>
        <v>61.199999999999996</v>
      </c>
      <c r="R14" s="991">
        <f t="shared" si="0"/>
        <v>45.6</v>
      </c>
      <c r="S14" s="994">
        <f t="shared" si="0"/>
        <v>21.5</v>
      </c>
      <c r="T14" s="998">
        <f t="shared" si="0"/>
        <v>14.700000000000001</v>
      </c>
      <c r="U14" s="993">
        <v>236</v>
      </c>
      <c r="V14" s="986">
        <f>SUM(J14:S14)/4</f>
        <v>207.85</v>
      </c>
    </row>
    <row r="15" spans="1:22" x14ac:dyDescent="0.25">
      <c r="B15" s="1001" t="s">
        <v>312</v>
      </c>
      <c r="C15" s="45"/>
      <c r="D15" s="1001"/>
      <c r="E15" s="45"/>
      <c r="F15" s="45"/>
      <c r="G15" s="45"/>
      <c r="H15" s="45"/>
      <c r="I15" s="45"/>
      <c r="J15" s="622">
        <f t="shared" ref="J15:N17" si="1">J11/J$14</f>
        <v>0.49984467225846541</v>
      </c>
      <c r="K15" s="622">
        <f t="shared" si="1"/>
        <v>0.49957228400342168</v>
      </c>
      <c r="L15" s="622">
        <f t="shared" si="1"/>
        <v>0.5</v>
      </c>
      <c r="M15" s="622">
        <f t="shared" si="1"/>
        <v>0.43852459016393441</v>
      </c>
      <c r="N15" s="622">
        <f t="shared" si="1"/>
        <v>0.4375</v>
      </c>
      <c r="O15" s="622">
        <f>O11/O$14</f>
        <v>0.43793911007025754</v>
      </c>
      <c r="P15" s="622">
        <f t="shared" ref="P15:T15" si="2">P11/P$14</f>
        <v>0.43869209809264303</v>
      </c>
      <c r="Q15" s="622">
        <f t="shared" si="2"/>
        <v>0.43954248366013071</v>
      </c>
      <c r="R15" s="622">
        <f t="shared" si="2"/>
        <v>0.43859649122807015</v>
      </c>
      <c r="S15" s="656">
        <f t="shared" si="2"/>
        <v>0.37674418604651161</v>
      </c>
      <c r="T15" s="985">
        <f t="shared" si="2"/>
        <v>0.33333333333333331</v>
      </c>
    </row>
    <row r="16" spans="1:22" x14ac:dyDescent="0.25">
      <c r="B16" s="1001" t="s">
        <v>313</v>
      </c>
      <c r="C16" s="45"/>
      <c r="D16" s="1001"/>
      <c r="E16" s="45"/>
      <c r="F16" s="45"/>
      <c r="G16" s="45"/>
      <c r="H16" s="45"/>
      <c r="I16" s="45"/>
      <c r="J16" s="622">
        <f t="shared" si="1"/>
        <v>0.20006213109661389</v>
      </c>
      <c r="K16" s="622">
        <f t="shared" si="1"/>
        <v>0.20017108639863129</v>
      </c>
      <c r="L16" s="622">
        <f t="shared" si="1"/>
        <v>0.2</v>
      </c>
      <c r="M16" s="622">
        <f t="shared" si="1"/>
        <v>0.24590163934426232</v>
      </c>
      <c r="N16" s="622">
        <f t="shared" si="1"/>
        <v>0.24671052631578946</v>
      </c>
      <c r="O16" s="622">
        <f t="shared" ref="O16:T16" si="3">O12/O$14</f>
        <v>0.24590163934426229</v>
      </c>
      <c r="P16" s="622">
        <f t="shared" si="3"/>
        <v>0.24523160762942778</v>
      </c>
      <c r="Q16" s="622">
        <f t="shared" si="3"/>
        <v>0.24509803921568629</v>
      </c>
      <c r="R16" s="622">
        <f t="shared" si="3"/>
        <v>0.24561403508771928</v>
      </c>
      <c r="S16" s="656">
        <f t="shared" si="3"/>
        <v>0.34883720930232559</v>
      </c>
      <c r="T16" s="985">
        <f t="shared" si="3"/>
        <v>0.42176870748299317</v>
      </c>
      <c r="U16" s="328"/>
    </row>
    <row r="17" spans="2:21" x14ac:dyDescent="0.25">
      <c r="B17" s="1003" t="s">
        <v>314</v>
      </c>
      <c r="C17" s="1007"/>
      <c r="D17" s="1003"/>
      <c r="E17" s="1007"/>
      <c r="F17" s="1007"/>
      <c r="G17" s="1007"/>
      <c r="H17" s="1007"/>
      <c r="I17" s="1007"/>
      <c r="J17" s="642">
        <f t="shared" si="1"/>
        <v>0.30009319664492079</v>
      </c>
      <c r="K17" s="642">
        <f t="shared" si="1"/>
        <v>0.30025662959794697</v>
      </c>
      <c r="L17" s="642">
        <f t="shared" si="1"/>
        <v>0.3</v>
      </c>
      <c r="M17" s="642">
        <f t="shared" si="1"/>
        <v>0.3155737704918033</v>
      </c>
      <c r="N17" s="642">
        <f t="shared" si="1"/>
        <v>0.31578947368421051</v>
      </c>
      <c r="O17" s="642">
        <f t="shared" ref="O17:T17" si="4">O13/O$14</f>
        <v>0.31615925058548006</v>
      </c>
      <c r="P17" s="642">
        <f t="shared" si="4"/>
        <v>0.3160762942779291</v>
      </c>
      <c r="Q17" s="642">
        <f t="shared" si="4"/>
        <v>0.31535947712418305</v>
      </c>
      <c r="R17" s="642">
        <f t="shared" si="4"/>
        <v>0.31578947368421051</v>
      </c>
      <c r="S17" s="988">
        <f t="shared" si="4"/>
        <v>0.2744186046511628</v>
      </c>
      <c r="T17" s="999">
        <f t="shared" si="4"/>
        <v>0.24489795918367346</v>
      </c>
    </row>
    <row r="18" spans="2:21" x14ac:dyDescent="0.25">
      <c r="B18" s="45"/>
      <c r="C18" s="45"/>
      <c r="D18" s="45"/>
      <c r="E18" s="45"/>
      <c r="F18" s="45"/>
      <c r="G18" s="45"/>
      <c r="H18" s="45"/>
      <c r="I18" s="45"/>
      <c r="J18" s="622"/>
      <c r="K18" s="622"/>
      <c r="L18" s="622"/>
      <c r="M18" s="622"/>
      <c r="N18" s="622"/>
      <c r="O18" s="622"/>
    </row>
    <row r="19" spans="2:21" ht="15.75" customHeight="1" x14ac:dyDescent="0.25"/>
    <row r="21" spans="2:21" ht="30" customHeight="1" x14ac:dyDescent="0.25"/>
    <row r="22" spans="2:21" ht="27" customHeight="1" x14ac:dyDescent="0.25">
      <c r="M22" s="56"/>
      <c r="N22" s="56"/>
      <c r="O22" s="56"/>
      <c r="P22" s="14"/>
      <c r="Q22" s="14"/>
      <c r="R22" s="14"/>
      <c r="S22" s="14"/>
      <c r="T22" s="14"/>
      <c r="U22" s="56"/>
    </row>
    <row r="23" spans="2:21" ht="31.5" customHeight="1" x14ac:dyDescent="0.25">
      <c r="M23" s="56"/>
      <c r="N23" s="56"/>
      <c r="O23" s="56"/>
      <c r="P23" s="14"/>
      <c r="Q23" s="14"/>
      <c r="R23" s="14"/>
      <c r="S23" s="14"/>
      <c r="T23" s="14"/>
      <c r="U23" s="56"/>
    </row>
    <row r="24" spans="2:21" ht="24.6" customHeight="1" x14ac:dyDescent="0.25">
      <c r="M24" s="56"/>
      <c r="N24" s="56"/>
      <c r="O24" s="56"/>
      <c r="P24" s="14"/>
      <c r="Q24" s="14"/>
      <c r="R24" s="14"/>
      <c r="S24" s="14"/>
      <c r="T24" s="14"/>
      <c r="U24" s="56"/>
    </row>
    <row r="25" spans="2:21" x14ac:dyDescent="0.25">
      <c r="M25" s="56"/>
      <c r="N25" s="56"/>
      <c r="O25" s="56"/>
      <c r="P25" s="56"/>
      <c r="Q25" s="56"/>
      <c r="R25" s="56"/>
      <c r="S25" s="56"/>
      <c r="T25" s="56"/>
      <c r="U25" s="56"/>
    </row>
    <row r="26" spans="2:21" x14ac:dyDescent="0.25">
      <c r="M26" s="56"/>
      <c r="N26" s="56"/>
      <c r="O26" s="56"/>
      <c r="P26" s="56"/>
      <c r="Q26" s="56"/>
      <c r="R26" s="56"/>
      <c r="S26" s="56"/>
      <c r="T26" s="56"/>
      <c r="U26" s="56"/>
    </row>
    <row r="27" spans="2:21" x14ac:dyDescent="0.25">
      <c r="M27" s="56"/>
      <c r="N27" s="56"/>
      <c r="O27" s="56"/>
      <c r="P27" s="56"/>
      <c r="Q27" s="56"/>
      <c r="R27" s="56"/>
      <c r="S27" s="56"/>
      <c r="T27" s="56"/>
      <c r="U27" s="56"/>
    </row>
    <row r="28" spans="2:21" x14ac:dyDescent="0.25">
      <c r="M28" s="56"/>
      <c r="N28" s="56"/>
      <c r="O28" s="56"/>
      <c r="P28" s="56"/>
      <c r="Q28" s="56"/>
      <c r="R28" s="56"/>
      <c r="S28" s="56"/>
      <c r="T28" s="56"/>
      <c r="U28" s="56"/>
    </row>
    <row r="29" spans="2:21" x14ac:dyDescent="0.25">
      <c r="M29" s="56"/>
      <c r="N29" s="56"/>
      <c r="O29" s="56"/>
      <c r="P29" s="56"/>
      <c r="Q29" s="56"/>
      <c r="R29" s="56"/>
      <c r="S29" s="56"/>
      <c r="T29" s="56"/>
      <c r="U29" s="56"/>
    </row>
    <row r="30" spans="2:21" x14ac:dyDescent="0.25">
      <c r="M30" s="56"/>
      <c r="N30" s="56"/>
      <c r="O30" s="56"/>
      <c r="P30" s="56"/>
      <c r="Q30" s="56"/>
      <c r="R30" s="56"/>
      <c r="S30" s="56"/>
      <c r="T30" s="56"/>
      <c r="U30" s="56"/>
    </row>
    <row r="31" spans="2:21" x14ac:dyDescent="0.25">
      <c r="M31" s="56"/>
      <c r="N31" s="56"/>
      <c r="O31" s="56"/>
      <c r="P31" s="56"/>
      <c r="Q31" s="56"/>
      <c r="R31" s="56"/>
      <c r="S31" s="56"/>
      <c r="T31" s="56"/>
      <c r="U31" s="56"/>
    </row>
    <row r="32" spans="2:21" x14ac:dyDescent="0.25">
      <c r="M32" s="56"/>
      <c r="N32" s="56"/>
      <c r="O32" s="56"/>
      <c r="P32" s="56"/>
      <c r="Q32" s="56"/>
      <c r="R32" s="56"/>
      <c r="S32" s="56"/>
      <c r="T32" s="56"/>
      <c r="U32" s="56"/>
    </row>
    <row r="33" spans="13:21" x14ac:dyDescent="0.25">
      <c r="M33" s="56"/>
      <c r="N33" s="56"/>
      <c r="O33" s="56"/>
      <c r="P33" s="56"/>
      <c r="Q33" s="56"/>
      <c r="R33" s="56"/>
      <c r="S33" s="56"/>
      <c r="T33" s="56"/>
      <c r="U33" s="56"/>
    </row>
    <row r="34" spans="13:21" x14ac:dyDescent="0.25">
      <c r="M34" s="56"/>
      <c r="N34" s="56"/>
      <c r="O34" s="56"/>
      <c r="P34" s="56"/>
      <c r="Q34" s="56"/>
      <c r="R34" s="56"/>
      <c r="S34" s="56"/>
      <c r="T34" s="56"/>
      <c r="U34" s="56"/>
    </row>
    <row r="35" spans="13:21" x14ac:dyDescent="0.25">
      <c r="M35" s="56"/>
      <c r="N35" s="56"/>
      <c r="O35" s="56"/>
      <c r="P35" s="56"/>
      <c r="Q35" s="56"/>
      <c r="R35" s="56"/>
      <c r="S35" s="56"/>
      <c r="T35" s="56"/>
      <c r="U35" s="56"/>
    </row>
    <row r="36" spans="13:21" x14ac:dyDescent="0.25">
      <c r="M36" s="56"/>
      <c r="N36" s="56"/>
      <c r="O36" s="56"/>
      <c r="P36" s="56"/>
      <c r="Q36" s="56"/>
      <c r="R36" s="56"/>
      <c r="S36" s="56"/>
      <c r="T36" s="56"/>
      <c r="U36" s="56"/>
    </row>
    <row r="37" spans="13:21" x14ac:dyDescent="0.25">
      <c r="M37" s="56"/>
      <c r="N37" s="56"/>
      <c r="O37" s="56"/>
      <c r="P37" s="56"/>
      <c r="Q37" s="56"/>
      <c r="R37" s="56"/>
      <c r="S37" s="56"/>
      <c r="T37" s="56"/>
      <c r="U37" s="56"/>
    </row>
    <row r="38" spans="13:21" x14ac:dyDescent="0.25">
      <c r="M38" s="56"/>
      <c r="N38" s="56"/>
      <c r="O38" s="56"/>
      <c r="P38" s="56"/>
      <c r="Q38" s="56"/>
      <c r="R38" s="56"/>
      <c r="S38" s="56"/>
      <c r="T38" s="56"/>
      <c r="U38" s="56"/>
    </row>
    <row r="39" spans="13:21" x14ac:dyDescent="0.25">
      <c r="M39" s="56"/>
      <c r="N39" s="56"/>
      <c r="O39" s="56"/>
      <c r="P39" s="56"/>
      <c r="Q39" s="56"/>
      <c r="R39" s="56"/>
      <c r="S39" s="56"/>
      <c r="T39" s="56"/>
      <c r="U39" s="56"/>
    </row>
    <row r="40" spans="13:21" x14ac:dyDescent="0.25">
      <c r="M40" s="56"/>
      <c r="N40" s="56"/>
      <c r="O40" s="56"/>
      <c r="P40" s="56"/>
      <c r="Q40" s="56"/>
      <c r="R40" s="56"/>
      <c r="S40" s="56"/>
      <c r="T40" s="56"/>
      <c r="U40" s="56"/>
    </row>
    <row r="41" spans="13:21" x14ac:dyDescent="0.25">
      <c r="M41" s="56"/>
      <c r="N41" s="56"/>
      <c r="O41" s="56"/>
      <c r="P41" s="56"/>
      <c r="Q41" s="56"/>
      <c r="R41" s="56"/>
      <c r="S41" s="56"/>
      <c r="T41" s="56"/>
      <c r="U41" s="56"/>
    </row>
    <row r="42" spans="13:21" x14ac:dyDescent="0.25">
      <c r="M42" s="56"/>
      <c r="N42" s="56"/>
      <c r="O42" s="56"/>
      <c r="P42" s="56"/>
      <c r="Q42" s="56"/>
      <c r="R42" s="56"/>
      <c r="S42" s="56"/>
      <c r="T42" s="56"/>
      <c r="U42" s="56"/>
    </row>
    <row r="43" spans="13:21" x14ac:dyDescent="0.25">
      <c r="M43" s="56"/>
      <c r="N43" s="56"/>
      <c r="O43" s="56"/>
      <c r="P43" s="56"/>
      <c r="Q43" s="56"/>
      <c r="R43" s="56"/>
      <c r="S43" s="56"/>
      <c r="T43" s="56"/>
      <c r="U43" s="56"/>
    </row>
    <row r="44" spans="13:21" x14ac:dyDescent="0.25">
      <c r="M44" s="56"/>
      <c r="N44" s="56"/>
      <c r="O44" s="56"/>
      <c r="P44" s="56"/>
      <c r="Q44" s="56"/>
      <c r="R44" s="56"/>
      <c r="S44" s="56"/>
      <c r="T44" s="56"/>
      <c r="U44" s="56"/>
    </row>
    <row r="45" spans="13:21" x14ac:dyDescent="0.25">
      <c r="M45" s="56"/>
      <c r="N45" s="56"/>
      <c r="O45" s="56"/>
      <c r="P45" s="56"/>
      <c r="Q45" s="56"/>
      <c r="R45" s="56"/>
      <c r="S45" s="56"/>
      <c r="T45" s="56"/>
      <c r="U45" s="56"/>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C52"/>
  <sheetViews>
    <sheetView zoomScale="90" zoomScaleNormal="90" workbookViewId="0">
      <selection activeCell="Q15" sqref="Q15"/>
    </sheetView>
  </sheetViews>
  <sheetFormatPr defaultColWidth="10.85546875" defaultRowHeight="15" x14ac:dyDescent="0.25"/>
  <cols>
    <col min="1" max="1" width="6" customWidth="1"/>
    <col min="2" max="2" width="29.42578125" customWidth="1"/>
    <col min="3" max="7" width="10.42578125" customWidth="1"/>
  </cols>
  <sheetData>
    <row r="1" spans="1:29" x14ac:dyDescent="0.25">
      <c r="B1" s="1264" t="s">
        <v>56</v>
      </c>
      <c r="C1" s="1264"/>
      <c r="D1" s="1264"/>
      <c r="E1" s="1264"/>
      <c r="F1" s="1264"/>
      <c r="G1" s="1264"/>
      <c r="H1" s="1264"/>
      <c r="I1" s="1264"/>
      <c r="J1" s="1264"/>
      <c r="K1" s="1264"/>
      <c r="L1" s="1264"/>
      <c r="M1" s="1264"/>
      <c r="N1" s="1264"/>
      <c r="O1" s="1264"/>
      <c r="P1" s="1264"/>
      <c r="Q1" s="1264"/>
      <c r="R1" s="1264"/>
      <c r="S1" s="1264"/>
      <c r="T1" s="1264"/>
      <c r="U1" s="1264"/>
      <c r="V1" s="1264"/>
      <c r="W1" s="1264"/>
      <c r="X1" s="1264"/>
      <c r="Y1" s="1264"/>
      <c r="Z1" s="1264"/>
      <c r="AA1" s="1264"/>
      <c r="AB1" s="1264"/>
      <c r="AC1" s="1264"/>
    </row>
    <row r="2" spans="1:29" ht="14.85" customHeight="1" x14ac:dyDescent="0.25">
      <c r="B2" s="1265" t="s">
        <v>457</v>
      </c>
      <c r="C2" s="1265"/>
      <c r="D2" s="1265"/>
      <c r="E2" s="1265"/>
      <c r="F2" s="1265"/>
      <c r="G2" s="1265"/>
      <c r="H2" s="1265"/>
      <c r="I2" s="1265"/>
      <c r="J2" s="1265"/>
      <c r="K2" s="1265"/>
      <c r="L2" s="1265"/>
      <c r="M2" s="1265"/>
      <c r="N2" s="1265"/>
      <c r="O2" s="1265"/>
      <c r="P2" s="1265"/>
      <c r="Q2" s="1265"/>
      <c r="R2" s="1265"/>
      <c r="S2" s="1265"/>
      <c r="T2" s="1265"/>
      <c r="U2" s="1265"/>
      <c r="V2" s="1265"/>
      <c r="W2" s="1265"/>
      <c r="X2" s="1265"/>
      <c r="Y2" s="1265"/>
      <c r="Z2" s="1265"/>
      <c r="AA2" s="1265"/>
      <c r="AB2" s="1265"/>
      <c r="AC2" s="1265"/>
    </row>
    <row r="3" spans="1:29" x14ac:dyDescent="0.25">
      <c r="B3" s="1265"/>
      <c r="C3" s="1265"/>
      <c r="D3" s="1265"/>
      <c r="E3" s="1265"/>
      <c r="F3" s="1265"/>
      <c r="G3" s="1265"/>
      <c r="H3" s="1265"/>
      <c r="I3" s="1265"/>
      <c r="J3" s="1265"/>
      <c r="K3" s="1265"/>
      <c r="L3" s="1265"/>
      <c r="M3" s="1265"/>
      <c r="N3" s="1265"/>
      <c r="O3" s="1265"/>
      <c r="P3" s="1265"/>
      <c r="Q3" s="1265"/>
      <c r="R3" s="1265"/>
      <c r="S3" s="1265"/>
      <c r="T3" s="1265"/>
      <c r="U3" s="1265"/>
      <c r="V3" s="1265"/>
      <c r="W3" s="1265"/>
      <c r="X3" s="1265"/>
      <c r="Y3" s="1265"/>
      <c r="Z3" s="1265"/>
      <c r="AA3" s="1265"/>
      <c r="AB3" s="1265"/>
      <c r="AC3" s="1265"/>
    </row>
    <row r="4" spans="1:29" x14ac:dyDescent="0.25">
      <c r="B4" s="1265"/>
      <c r="C4" s="1265"/>
      <c r="D4" s="1265"/>
      <c r="E4" s="1265"/>
      <c r="F4" s="1265"/>
      <c r="G4" s="1265"/>
      <c r="H4" s="1265"/>
      <c r="I4" s="1265"/>
      <c r="J4" s="1265"/>
      <c r="K4" s="1265"/>
      <c r="L4" s="1265"/>
      <c r="M4" s="1265"/>
      <c r="N4" s="1265"/>
      <c r="O4" s="1265"/>
      <c r="P4" s="1265"/>
      <c r="Q4" s="1265"/>
      <c r="R4" s="1265"/>
      <c r="S4" s="1265"/>
      <c r="T4" s="1265"/>
      <c r="U4" s="1265"/>
      <c r="V4" s="1265"/>
      <c r="W4" s="1265"/>
      <c r="X4" s="1265"/>
      <c r="Y4" s="1265"/>
      <c r="Z4" s="1265"/>
      <c r="AA4" s="1265"/>
      <c r="AB4" s="1265"/>
      <c r="AC4" s="1265"/>
    </row>
    <row r="5" spans="1:29" x14ac:dyDescent="0.25">
      <c r="B5" s="398"/>
      <c r="C5" s="238"/>
      <c r="D5" s="238"/>
      <c r="E5" s="238"/>
      <c r="F5" s="238"/>
      <c r="G5" s="238"/>
      <c r="H5" s="238"/>
      <c r="I5" s="238"/>
      <c r="J5" s="238"/>
      <c r="K5" s="238"/>
      <c r="L5" s="238"/>
      <c r="M5" s="238"/>
      <c r="N5" s="238"/>
      <c r="O5" s="238"/>
      <c r="P5" s="238"/>
      <c r="Q5" s="238"/>
      <c r="R5" s="238"/>
      <c r="S5" s="238"/>
      <c r="T5" s="238"/>
      <c r="U5" s="238"/>
      <c r="V5" s="238"/>
      <c r="W5" s="238"/>
      <c r="X5" s="238"/>
      <c r="Y5" s="238"/>
    </row>
    <row r="6" spans="1:29" x14ac:dyDescent="0.25">
      <c r="B6" s="1269" t="s">
        <v>402</v>
      </c>
      <c r="C6" s="1270"/>
      <c r="D6" s="1282" t="s">
        <v>279</v>
      </c>
      <c r="E6" s="1283"/>
      <c r="F6" s="1283"/>
      <c r="G6" s="1283"/>
      <c r="H6" s="1283"/>
      <c r="I6" s="1283"/>
      <c r="J6" s="1283"/>
      <c r="K6" s="1283"/>
      <c r="L6" s="1283"/>
      <c r="M6" s="1283"/>
      <c r="N6" s="1283"/>
      <c r="O6" s="1283"/>
      <c r="P6" s="1283"/>
      <c r="Q6" s="1310"/>
      <c r="R6" s="1310"/>
      <c r="S6" s="1310"/>
      <c r="T6" s="1270"/>
      <c r="U6" s="1286" t="s">
        <v>280</v>
      </c>
      <c r="V6" s="1286"/>
      <c r="W6" s="1286"/>
      <c r="X6" s="1286"/>
      <c r="Y6" s="1286"/>
      <c r="Z6" s="1286"/>
      <c r="AA6" s="1286"/>
      <c r="AB6" s="1286"/>
      <c r="AC6" s="1287"/>
    </row>
    <row r="7" spans="1:29" x14ac:dyDescent="0.25">
      <c r="B7" s="1271"/>
      <c r="C7" s="1272"/>
      <c r="D7" s="285">
        <v>2018</v>
      </c>
      <c r="E7" s="1288">
        <v>2019</v>
      </c>
      <c r="F7" s="1289"/>
      <c r="G7" s="1289"/>
      <c r="H7" s="1290"/>
      <c r="I7" s="1288">
        <v>2020</v>
      </c>
      <c r="J7" s="1289"/>
      <c r="K7" s="1289"/>
      <c r="L7" s="1289"/>
      <c r="M7" s="1288">
        <v>2021</v>
      </c>
      <c r="N7" s="1289"/>
      <c r="O7" s="1289"/>
      <c r="P7" s="1289"/>
      <c r="Q7" s="1288">
        <v>2022</v>
      </c>
      <c r="R7" s="1300"/>
      <c r="S7" s="1300"/>
      <c r="T7" s="1290"/>
      <c r="U7" s="1276">
        <v>2023</v>
      </c>
      <c r="V7" s="1281"/>
      <c r="W7" s="1281"/>
      <c r="X7" s="1281"/>
      <c r="Y7" s="1275">
        <v>2024</v>
      </c>
      <c r="Z7" s="1281"/>
      <c r="AA7" s="1281"/>
      <c r="AB7" s="1280"/>
      <c r="AC7" s="293">
        <v>2025</v>
      </c>
    </row>
    <row r="8" spans="1:29" x14ac:dyDescent="0.25">
      <c r="B8" s="1273"/>
      <c r="C8" s="1274"/>
      <c r="D8" s="214" t="s">
        <v>281</v>
      </c>
      <c r="E8" s="214" t="s">
        <v>282</v>
      </c>
      <c r="F8" s="215" t="s">
        <v>283</v>
      </c>
      <c r="G8" s="215" t="s">
        <v>238</v>
      </c>
      <c r="H8" s="221" t="s">
        <v>281</v>
      </c>
      <c r="I8" s="215" t="s">
        <v>282</v>
      </c>
      <c r="J8" s="215" t="s">
        <v>283</v>
      </c>
      <c r="K8" s="215" t="s">
        <v>238</v>
      </c>
      <c r="L8" s="215" t="s">
        <v>281</v>
      </c>
      <c r="M8" s="214" t="s">
        <v>282</v>
      </c>
      <c r="N8" s="215" t="s">
        <v>283</v>
      </c>
      <c r="O8" s="215" t="s">
        <v>238</v>
      </c>
      <c r="P8" s="215" t="s">
        <v>281</v>
      </c>
      <c r="Q8" s="214" t="s">
        <v>282</v>
      </c>
      <c r="R8" s="215" t="s">
        <v>283</v>
      </c>
      <c r="S8" s="215" t="s">
        <v>238</v>
      </c>
      <c r="T8" s="221" t="s">
        <v>281</v>
      </c>
      <c r="U8" s="318" t="s">
        <v>282</v>
      </c>
      <c r="V8" s="318" t="s">
        <v>283</v>
      </c>
      <c r="W8" s="318" t="s">
        <v>238</v>
      </c>
      <c r="X8" s="318" t="s">
        <v>281</v>
      </c>
      <c r="Y8" s="317" t="s">
        <v>282</v>
      </c>
      <c r="Z8" s="345" t="s">
        <v>283</v>
      </c>
      <c r="AA8" s="318" t="s">
        <v>238</v>
      </c>
      <c r="AB8" s="427" t="s">
        <v>281</v>
      </c>
      <c r="AC8" s="1018" t="s">
        <v>282</v>
      </c>
    </row>
    <row r="9" spans="1:29" x14ac:dyDescent="0.25">
      <c r="B9" s="557" t="s">
        <v>56</v>
      </c>
      <c r="C9" s="543" t="s">
        <v>458</v>
      </c>
      <c r="D9" s="557"/>
      <c r="E9" s="721"/>
      <c r="F9" s="721"/>
      <c r="G9" s="721"/>
      <c r="H9" s="721"/>
      <c r="I9" s="721"/>
      <c r="J9" s="309">
        <f>'Haver Pivoted'!GU45</f>
        <v>1078.0999999999999</v>
      </c>
      <c r="K9" s="309">
        <f>'Haver Pivoted'!GV45</f>
        <v>15.6</v>
      </c>
      <c r="L9" s="309">
        <f>'Haver Pivoted'!GW45</f>
        <v>5</v>
      </c>
      <c r="M9" s="309">
        <f>'Haver Pivoted'!GX45</f>
        <v>1933.7</v>
      </c>
      <c r="N9" s="309">
        <f>'Haver Pivoted'!GY45</f>
        <v>290.10000000000002</v>
      </c>
      <c r="O9" s="309">
        <f>'Haver Pivoted'!GZ45</f>
        <v>38.9</v>
      </c>
      <c r="P9" s="309">
        <f>'Haver Pivoted'!HA45</f>
        <v>14.2</v>
      </c>
      <c r="Q9" s="309">
        <f>'Haver Pivoted'!HB45</f>
        <v>0</v>
      </c>
      <c r="R9" s="309">
        <f>'Haver Pivoted'!HC45</f>
        <v>0</v>
      </c>
      <c r="S9" s="289">
        <f>'Haver Pivoted'!HD45</f>
        <v>0</v>
      </c>
      <c r="T9" s="287">
        <f>'Haver Pivoted'!HE45</f>
        <v>0</v>
      </c>
      <c r="U9" s="284"/>
      <c r="V9" s="284"/>
      <c r="W9" s="284"/>
      <c r="X9" s="284"/>
      <c r="Y9" s="284"/>
      <c r="Z9" s="284"/>
      <c r="AA9" s="284"/>
      <c r="AB9" s="284"/>
      <c r="AC9" s="217"/>
    </row>
    <row r="10" spans="1:29" x14ac:dyDescent="0.25">
      <c r="B10" s="571" t="s">
        <v>214</v>
      </c>
      <c r="C10" s="256"/>
      <c r="D10" s="571"/>
      <c r="E10" s="256"/>
      <c r="F10" s="256"/>
      <c r="G10" s="256"/>
      <c r="H10" s="256"/>
      <c r="I10" s="256"/>
      <c r="J10" s="623"/>
      <c r="K10" s="623"/>
      <c r="L10" s="623"/>
      <c r="M10" s="623">
        <f t="shared" ref="M10:T10" si="0">M9-M11</f>
        <v>1348.1</v>
      </c>
      <c r="N10" s="623">
        <f t="shared" si="0"/>
        <v>290.10000000000002</v>
      </c>
      <c r="O10" s="623">
        <f t="shared" si="0"/>
        <v>38.9</v>
      </c>
      <c r="P10" s="623">
        <f t="shared" si="0"/>
        <v>14.2</v>
      </c>
      <c r="Q10" s="623">
        <f t="shared" si="0"/>
        <v>0</v>
      </c>
      <c r="R10" s="623">
        <f t="shared" si="0"/>
        <v>0</v>
      </c>
      <c r="S10" s="1016">
        <f t="shared" si="0"/>
        <v>0</v>
      </c>
      <c r="T10" s="1019">
        <f t="shared" si="0"/>
        <v>0</v>
      </c>
      <c r="U10" s="1014"/>
      <c r="V10" s="1014"/>
      <c r="W10" s="1014"/>
      <c r="X10" s="1014"/>
      <c r="Y10" s="1014"/>
      <c r="Z10" s="1014"/>
      <c r="AA10" s="1014"/>
      <c r="AB10" s="1014"/>
      <c r="AC10" s="1015"/>
    </row>
    <row r="11" spans="1:29" x14ac:dyDescent="0.25">
      <c r="B11" s="532" t="s">
        <v>459</v>
      </c>
      <c r="C11" s="533"/>
      <c r="D11" s="532"/>
      <c r="E11" s="533"/>
      <c r="F11" s="533"/>
      <c r="G11" s="533"/>
      <c r="H11" s="533"/>
      <c r="I11" s="533"/>
      <c r="J11" s="643">
        <f t="shared" ref="J11:L11" si="1">J9-J10</f>
        <v>1078.0999999999999</v>
      </c>
      <c r="K11" s="643">
        <f t="shared" si="1"/>
        <v>15.6</v>
      </c>
      <c r="L11" s="643">
        <f t="shared" si="1"/>
        <v>5</v>
      </c>
      <c r="M11" s="643">
        <f>SUM(C17:D17)/12*4</f>
        <v>585.6</v>
      </c>
      <c r="N11" s="643">
        <v>0</v>
      </c>
      <c r="O11" s="643">
        <v>0</v>
      </c>
      <c r="P11" s="643">
        <v>0</v>
      </c>
      <c r="Q11" s="643">
        <v>0</v>
      </c>
      <c r="R11" s="643">
        <v>0</v>
      </c>
      <c r="S11" s="643">
        <v>0</v>
      </c>
      <c r="T11" s="1017"/>
      <c r="U11" s="1021"/>
      <c r="V11" s="1021"/>
      <c r="W11" s="1021"/>
      <c r="X11" s="1021"/>
      <c r="Y11" s="1021"/>
      <c r="Z11" s="1021"/>
      <c r="AA11" s="1021"/>
      <c r="AB11" s="1021"/>
      <c r="AC11" s="1009"/>
    </row>
    <row r="12" spans="1:29" x14ac:dyDescent="0.25">
      <c r="B12" s="238"/>
      <c r="C12" s="238"/>
      <c r="D12" s="238"/>
      <c r="E12" s="238"/>
      <c r="F12" s="238"/>
      <c r="G12" s="238"/>
      <c r="H12" s="238"/>
      <c r="I12" s="238"/>
      <c r="J12" s="238"/>
      <c r="K12" s="238"/>
      <c r="L12" s="238"/>
      <c r="M12" s="238"/>
      <c r="N12" s="238"/>
      <c r="O12" s="238"/>
      <c r="P12" s="238"/>
      <c r="Q12" s="238"/>
      <c r="R12" s="238"/>
      <c r="S12" s="238"/>
      <c r="T12" s="238"/>
      <c r="U12" s="238"/>
      <c r="V12" s="238"/>
      <c r="W12" s="238"/>
      <c r="X12" s="238"/>
      <c r="Y12" s="238"/>
      <c r="Z12" s="56"/>
      <c r="AA12" s="56"/>
      <c r="AB12" s="56"/>
      <c r="AC12" s="56"/>
    </row>
    <row r="13" spans="1:29" x14ac:dyDescent="0.25">
      <c r="A13" s="69"/>
      <c r="B13" s="69"/>
      <c r="C13" s="69"/>
      <c r="D13" s="69"/>
      <c r="E13" s="69"/>
      <c r="F13" s="69"/>
      <c r="G13" s="69"/>
      <c r="H13" s="69"/>
      <c r="I13" s="69"/>
      <c r="J13" s="69"/>
      <c r="K13" s="69"/>
      <c r="L13" s="70"/>
      <c r="M13" s="70"/>
      <c r="N13" s="70"/>
    </row>
    <row r="14" spans="1:29" x14ac:dyDescent="0.25">
      <c r="A14" s="69"/>
      <c r="N14" s="56"/>
    </row>
    <row r="15" spans="1:29" x14ac:dyDescent="0.25">
      <c r="A15" s="622"/>
      <c r="B15" s="1402" t="s">
        <v>460</v>
      </c>
      <c r="C15" s="1392">
        <v>2021</v>
      </c>
      <c r="D15" s="1393"/>
      <c r="E15" s="1393"/>
      <c r="F15" s="1393"/>
      <c r="G15" s="67"/>
      <c r="K15" s="1363"/>
      <c r="L15" s="1363"/>
      <c r="M15" s="56"/>
      <c r="N15" s="56"/>
    </row>
    <row r="16" spans="1:29" x14ac:dyDescent="0.25">
      <c r="B16" s="1403"/>
      <c r="C16" s="1011" t="s">
        <v>234</v>
      </c>
      <c r="D16" s="988" t="s">
        <v>235</v>
      </c>
      <c r="E16" s="988" t="s">
        <v>236</v>
      </c>
      <c r="F16" s="988" t="s">
        <v>237</v>
      </c>
      <c r="G16" s="1020"/>
      <c r="H16" s="622"/>
      <c r="I16" s="622"/>
      <c r="J16" s="622"/>
      <c r="K16" s="622"/>
      <c r="L16" s="622"/>
      <c r="M16" s="622"/>
      <c r="N16" s="622"/>
    </row>
    <row r="17" spans="2:29" ht="16.350000000000001" customHeight="1" x14ac:dyDescent="0.25">
      <c r="B17" s="1010" t="s">
        <v>461</v>
      </c>
      <c r="C17" s="1012">
        <v>1660.9</v>
      </c>
      <c r="D17" s="1012">
        <v>95.9</v>
      </c>
      <c r="E17" s="1012">
        <v>4044.2</v>
      </c>
      <c r="F17" s="1013">
        <v>688</v>
      </c>
      <c r="G17" s="174"/>
      <c r="H17" s="174"/>
      <c r="I17" s="174"/>
      <c r="J17" s="174"/>
      <c r="K17" s="174"/>
      <c r="L17" s="174"/>
      <c r="M17" s="238"/>
      <c r="N17" s="238"/>
    </row>
    <row r="18" spans="2:29" x14ac:dyDescent="0.25">
      <c r="B18" s="976" t="s">
        <v>462</v>
      </c>
      <c r="C18" s="238"/>
      <c r="D18" s="238"/>
      <c r="E18" s="238"/>
      <c r="F18" s="238"/>
      <c r="G18" s="238"/>
      <c r="H18" s="238"/>
      <c r="I18" s="238"/>
      <c r="J18" s="238"/>
      <c r="K18" s="238"/>
      <c r="L18" s="238"/>
      <c r="M18" s="238"/>
      <c r="N18" s="238"/>
    </row>
    <row r="19" spans="2:29" x14ac:dyDescent="0.25">
      <c r="B19" s="238"/>
      <c r="C19" s="238"/>
      <c r="D19" s="238"/>
      <c r="E19" s="238"/>
      <c r="F19" s="238"/>
      <c r="G19" s="238"/>
      <c r="H19" s="238"/>
      <c r="I19" s="238"/>
      <c r="J19" s="238"/>
      <c r="K19" s="238"/>
      <c r="L19" s="238"/>
      <c r="M19" s="238"/>
      <c r="N19" s="238"/>
    </row>
    <row r="20" spans="2:29" x14ac:dyDescent="0.25">
      <c r="B20" s="976"/>
      <c r="C20" s="238"/>
      <c r="D20" s="238"/>
      <c r="E20" s="238"/>
      <c r="F20" s="238"/>
      <c r="G20" s="238"/>
      <c r="H20" s="238"/>
      <c r="I20" s="238"/>
      <c r="J20" s="238"/>
      <c r="K20" s="238"/>
      <c r="L20" s="238"/>
      <c r="M20" s="238"/>
      <c r="N20" s="238"/>
    </row>
    <row r="21" spans="2:29" x14ac:dyDescent="0.25">
      <c r="B21" s="238"/>
      <c r="C21" s="238"/>
      <c r="D21" s="238"/>
      <c r="E21" s="238"/>
      <c r="F21" s="238"/>
      <c r="G21" s="238"/>
      <c r="H21" s="238"/>
      <c r="I21" s="238"/>
      <c r="J21" s="238"/>
      <c r="K21" s="238"/>
      <c r="L21" s="238"/>
      <c r="M21" s="238"/>
      <c r="N21" s="238"/>
      <c r="O21" s="238"/>
      <c r="P21" s="238"/>
      <c r="Q21" s="238"/>
      <c r="R21" s="238"/>
      <c r="S21" s="238"/>
      <c r="T21" s="238"/>
      <c r="U21" s="238"/>
      <c r="V21" s="238"/>
      <c r="W21" s="238"/>
      <c r="X21" s="238"/>
      <c r="Y21" s="238"/>
      <c r="Z21" s="56"/>
      <c r="AA21" s="56"/>
      <c r="AB21" s="56"/>
      <c r="AC21" s="56"/>
    </row>
    <row r="22" spans="2:29" x14ac:dyDescent="0.25">
      <c r="B22" s="69"/>
      <c r="C22" s="69"/>
      <c r="D22" s="69"/>
      <c r="E22" s="69"/>
      <c r="F22" s="69"/>
      <c r="G22" s="69"/>
      <c r="H22" s="69"/>
      <c r="I22" s="69"/>
      <c r="J22" s="69"/>
      <c r="K22" s="69"/>
      <c r="L22" s="70"/>
      <c r="M22" s="70"/>
      <c r="N22" s="70"/>
    </row>
    <row r="23" spans="2:29" x14ac:dyDescent="0.25">
      <c r="B23" s="238"/>
      <c r="C23" s="238"/>
      <c r="D23" s="238"/>
      <c r="E23" s="238"/>
      <c r="F23" s="238"/>
      <c r="G23" s="238"/>
      <c r="H23" s="238"/>
      <c r="I23" s="238"/>
      <c r="J23" s="238"/>
      <c r="K23" s="238"/>
      <c r="L23" s="238"/>
      <c r="M23" s="238"/>
      <c r="N23" s="238"/>
      <c r="O23" s="238"/>
      <c r="P23" s="238"/>
      <c r="Q23" s="238"/>
      <c r="R23" s="238"/>
      <c r="S23" s="238"/>
      <c r="T23" s="238"/>
      <c r="U23" s="238"/>
      <c r="V23" s="238"/>
      <c r="W23" s="238"/>
      <c r="X23" s="238"/>
      <c r="Y23" s="238"/>
    </row>
    <row r="24" spans="2:29" x14ac:dyDescent="0.25">
      <c r="B24" s="238"/>
      <c r="C24" s="238"/>
      <c r="D24" s="238"/>
      <c r="E24" s="238"/>
      <c r="F24" s="238"/>
      <c r="G24" s="238"/>
      <c r="H24" s="238"/>
      <c r="I24" s="238"/>
      <c r="J24" s="238"/>
      <c r="K24" s="238"/>
      <c r="L24" s="238"/>
      <c r="M24" s="238"/>
      <c r="N24" s="238"/>
      <c r="O24" s="238"/>
      <c r="P24" s="238"/>
      <c r="Q24" s="238"/>
      <c r="R24" s="238"/>
      <c r="S24" s="238"/>
      <c r="T24" s="238"/>
      <c r="U24" s="238"/>
      <c r="V24" s="238"/>
      <c r="W24" s="238"/>
      <c r="X24" s="238"/>
      <c r="Y24" s="238"/>
    </row>
    <row r="25" spans="2:29" x14ac:dyDescent="0.25">
      <c r="B25" s="238"/>
      <c r="C25" s="238"/>
      <c r="D25" s="238"/>
      <c r="E25" s="238"/>
      <c r="F25" s="238"/>
      <c r="G25" s="238"/>
      <c r="H25" s="238"/>
      <c r="I25" s="238"/>
      <c r="J25" s="238"/>
      <c r="K25" s="238"/>
      <c r="L25" s="238"/>
      <c r="M25" s="238"/>
      <c r="N25" s="238"/>
      <c r="O25" s="238"/>
      <c r="P25" s="238"/>
      <c r="Q25" s="238"/>
      <c r="R25" s="238"/>
      <c r="S25" s="238"/>
      <c r="T25" s="238"/>
      <c r="U25" s="238"/>
      <c r="V25" s="238"/>
      <c r="W25" s="238"/>
      <c r="X25" s="238"/>
      <c r="Y25" s="238"/>
    </row>
    <row r="26" spans="2:29" x14ac:dyDescent="0.25">
      <c r="B26" s="238"/>
      <c r="C26" s="238"/>
      <c r="D26" s="238"/>
      <c r="E26" s="238"/>
      <c r="F26" s="238"/>
      <c r="G26" s="238"/>
      <c r="H26" s="238"/>
      <c r="I26" s="238"/>
      <c r="J26" s="238"/>
      <c r="K26" s="238"/>
      <c r="L26" s="238"/>
      <c r="M26" s="238"/>
      <c r="N26" s="238"/>
      <c r="O26" s="238"/>
      <c r="P26" s="238"/>
      <c r="Q26" s="238"/>
      <c r="R26" s="238"/>
      <c r="S26" s="238"/>
      <c r="T26" s="238"/>
      <c r="U26" s="238"/>
      <c r="V26" s="238"/>
      <c r="W26" s="238"/>
      <c r="X26" s="238"/>
      <c r="Y26" s="238"/>
    </row>
    <row r="27" spans="2:29" x14ac:dyDescent="0.25">
      <c r="B27" s="238"/>
      <c r="C27" s="238"/>
      <c r="D27" s="238"/>
      <c r="E27" s="238"/>
      <c r="F27" s="238"/>
      <c r="G27" s="238"/>
      <c r="H27" s="238"/>
      <c r="I27" s="238"/>
      <c r="J27" s="238"/>
      <c r="K27" s="238"/>
      <c r="L27" s="238"/>
      <c r="M27" s="238"/>
      <c r="N27" s="238"/>
      <c r="O27" s="238"/>
      <c r="P27" s="238"/>
      <c r="Q27" s="238"/>
      <c r="R27" s="238"/>
      <c r="S27" s="238"/>
      <c r="T27" s="238"/>
      <c r="U27" s="238"/>
      <c r="V27" s="238"/>
      <c r="W27" s="238"/>
      <c r="X27" s="238"/>
      <c r="Y27" s="238"/>
    </row>
    <row r="28" spans="2:29" x14ac:dyDescent="0.25">
      <c r="B28" s="238"/>
      <c r="C28" s="238"/>
      <c r="D28" s="238"/>
      <c r="E28" s="238"/>
      <c r="F28" s="238"/>
      <c r="G28" s="238"/>
      <c r="H28" s="238"/>
      <c r="I28" s="238"/>
      <c r="J28" s="238"/>
      <c r="K28" s="238"/>
      <c r="L28" s="238"/>
      <c r="M28" s="238"/>
      <c r="N28" s="238"/>
      <c r="O28" s="238"/>
      <c r="P28" s="238"/>
      <c r="Q28" s="238"/>
      <c r="R28" s="238"/>
      <c r="S28" s="238"/>
      <c r="T28" s="238"/>
      <c r="U28" s="238"/>
      <c r="V28" s="238"/>
      <c r="W28" s="238"/>
      <c r="X28" s="238"/>
      <c r="Y28" s="238"/>
    </row>
    <row r="29" spans="2:29" x14ac:dyDescent="0.25">
      <c r="B29" s="238"/>
      <c r="C29" s="238"/>
      <c r="D29" s="238"/>
      <c r="E29" s="238"/>
      <c r="F29" s="238"/>
      <c r="G29" s="238"/>
      <c r="H29" s="238"/>
      <c r="I29" s="238"/>
      <c r="J29" s="238"/>
      <c r="K29" s="238"/>
      <c r="L29" s="238"/>
      <c r="M29" s="238"/>
      <c r="N29" s="238"/>
      <c r="O29" s="238"/>
      <c r="P29" s="238"/>
      <c r="Q29" s="238"/>
      <c r="R29" s="238"/>
      <c r="S29" s="238"/>
      <c r="T29" s="238"/>
      <c r="U29" s="238"/>
      <c r="V29" s="238"/>
      <c r="W29" s="238"/>
      <c r="X29" s="238"/>
      <c r="Y29" s="238"/>
    </row>
    <row r="30" spans="2:29" x14ac:dyDescent="0.25">
      <c r="B30" s="238"/>
      <c r="C30" s="238"/>
      <c r="D30" s="238"/>
      <c r="E30" s="238"/>
      <c r="F30" s="238"/>
      <c r="G30" s="238"/>
      <c r="H30" s="238"/>
      <c r="I30" s="238"/>
      <c r="J30" s="238"/>
      <c r="K30" s="238"/>
      <c r="L30" s="238"/>
      <c r="M30" s="238"/>
      <c r="N30" s="238"/>
      <c r="O30" s="238"/>
      <c r="P30" s="238"/>
      <c r="Q30" s="238"/>
      <c r="R30" s="238"/>
      <c r="S30" s="238"/>
      <c r="T30" s="238"/>
      <c r="U30" s="238"/>
      <c r="V30" s="238"/>
      <c r="W30" s="238"/>
      <c r="X30" s="238"/>
      <c r="Y30" s="238"/>
    </row>
    <row r="31" spans="2:29" x14ac:dyDescent="0.25">
      <c r="B31" s="238"/>
      <c r="C31" s="238"/>
      <c r="D31" s="238"/>
      <c r="E31" s="238"/>
      <c r="F31" s="238"/>
      <c r="G31" s="238"/>
      <c r="H31" s="238"/>
      <c r="I31" s="238"/>
      <c r="J31" s="238"/>
      <c r="K31" s="238"/>
      <c r="L31" s="238"/>
      <c r="M31" s="238"/>
      <c r="N31" s="238"/>
      <c r="O31" s="238"/>
      <c r="P31" s="238"/>
      <c r="Q31" s="238"/>
      <c r="R31" s="238"/>
      <c r="S31" s="238"/>
      <c r="T31" s="238"/>
      <c r="U31" s="238"/>
      <c r="V31" s="238"/>
      <c r="W31" s="238"/>
      <c r="X31" s="238"/>
      <c r="Y31" s="238"/>
    </row>
    <row r="32" spans="2:29" x14ac:dyDescent="0.25">
      <c r="B32" s="238"/>
      <c r="C32" s="238"/>
      <c r="D32" s="238"/>
      <c r="E32" s="238"/>
      <c r="F32" s="238"/>
      <c r="G32" s="238"/>
      <c r="H32" s="238"/>
      <c r="I32" s="238"/>
      <c r="J32" s="238"/>
      <c r="K32" s="238"/>
      <c r="L32" s="238"/>
      <c r="M32" s="238"/>
      <c r="N32" s="238"/>
      <c r="O32" s="238"/>
      <c r="P32" s="238"/>
      <c r="Q32" s="238"/>
      <c r="R32" s="238"/>
      <c r="S32" s="238"/>
      <c r="T32" s="238"/>
      <c r="U32" s="238"/>
      <c r="V32" s="238"/>
      <c r="W32" s="238"/>
      <c r="X32" s="238"/>
      <c r="Y32" s="238"/>
    </row>
    <row r="33" spans="2:25" x14ac:dyDescent="0.25">
      <c r="B33" s="238"/>
      <c r="C33" s="238"/>
      <c r="D33" s="238"/>
      <c r="E33" s="238"/>
      <c r="F33" s="238"/>
      <c r="G33" s="238"/>
      <c r="H33" s="238"/>
      <c r="I33" s="238"/>
      <c r="J33" s="238"/>
      <c r="K33" s="238"/>
      <c r="L33" s="238"/>
      <c r="M33" s="238"/>
      <c r="N33" s="238"/>
      <c r="O33" s="238"/>
      <c r="P33" s="238"/>
      <c r="Q33" s="238"/>
      <c r="R33" s="238"/>
      <c r="S33" s="238"/>
      <c r="T33" s="238"/>
      <c r="U33" s="238"/>
      <c r="V33" s="238"/>
      <c r="W33" s="238"/>
      <c r="X33" s="238"/>
      <c r="Y33" s="238"/>
    </row>
    <row r="34" spans="2:25" x14ac:dyDescent="0.25">
      <c r="B34" s="238"/>
      <c r="C34" s="238"/>
      <c r="D34" s="238"/>
      <c r="E34" s="238"/>
      <c r="F34" s="238"/>
      <c r="G34" s="238"/>
      <c r="H34" s="238"/>
      <c r="I34" s="238"/>
      <c r="J34" s="238"/>
      <c r="K34" s="238"/>
      <c r="L34" s="238"/>
      <c r="M34" s="238"/>
      <c r="N34" s="238"/>
      <c r="O34" s="238"/>
      <c r="P34" s="238"/>
      <c r="Q34" s="238"/>
      <c r="R34" s="238"/>
      <c r="S34" s="238"/>
      <c r="T34" s="238"/>
      <c r="U34" s="238"/>
      <c r="V34" s="238"/>
      <c r="W34" s="238"/>
      <c r="X34" s="238"/>
      <c r="Y34" s="238"/>
    </row>
    <row r="35" spans="2:25" x14ac:dyDescent="0.25">
      <c r="B35" s="238"/>
      <c r="C35" s="238"/>
      <c r="D35" s="238"/>
      <c r="E35" s="238"/>
      <c r="F35" s="238"/>
      <c r="G35" s="238"/>
      <c r="H35" s="238"/>
      <c r="I35" s="238"/>
      <c r="J35" s="238"/>
      <c r="K35" s="238"/>
      <c r="L35" s="238"/>
      <c r="M35" s="238"/>
      <c r="N35" s="238"/>
      <c r="O35" s="238"/>
      <c r="P35" s="238"/>
      <c r="Q35" s="238"/>
      <c r="R35" s="238"/>
      <c r="S35" s="238"/>
      <c r="T35" s="238"/>
      <c r="U35" s="238"/>
      <c r="V35" s="238"/>
      <c r="W35" s="238"/>
      <c r="X35" s="238"/>
      <c r="Y35" s="238"/>
    </row>
    <row r="36" spans="2:25" x14ac:dyDescent="0.25">
      <c r="B36" s="238"/>
      <c r="C36" s="238"/>
      <c r="D36" s="238"/>
      <c r="E36" s="238"/>
      <c r="F36" s="238"/>
      <c r="G36" s="238"/>
      <c r="H36" s="238"/>
      <c r="I36" s="238"/>
      <c r="J36" s="238"/>
      <c r="K36" s="238"/>
      <c r="L36" s="238"/>
      <c r="M36" s="238"/>
      <c r="N36" s="238"/>
      <c r="O36" s="238"/>
      <c r="P36" s="238"/>
      <c r="Q36" s="238"/>
      <c r="R36" s="238"/>
      <c r="S36" s="238"/>
      <c r="T36" s="238"/>
      <c r="U36" s="238"/>
      <c r="V36" s="238"/>
      <c r="W36" s="238"/>
      <c r="X36" s="238"/>
      <c r="Y36" s="238"/>
    </row>
    <row r="37" spans="2:25" x14ac:dyDescent="0.25">
      <c r="B37" s="238"/>
      <c r="C37" s="238"/>
      <c r="D37" s="238"/>
      <c r="E37" s="238"/>
      <c r="F37" s="238"/>
      <c r="G37" s="238"/>
      <c r="H37" s="238"/>
      <c r="I37" s="238"/>
      <c r="J37" s="238"/>
      <c r="K37" s="238"/>
      <c r="L37" s="238"/>
      <c r="M37" s="238"/>
      <c r="N37" s="238"/>
      <c r="O37" s="238"/>
      <c r="P37" s="238"/>
      <c r="Q37" s="238"/>
      <c r="R37" s="238"/>
      <c r="S37" s="238"/>
      <c r="T37" s="238"/>
      <c r="U37" s="238"/>
      <c r="V37" s="238"/>
      <c r="W37" s="238"/>
      <c r="X37" s="238"/>
      <c r="Y37" s="238"/>
    </row>
    <row r="38" spans="2:25" x14ac:dyDescent="0.25">
      <c r="B38" s="238"/>
      <c r="C38" s="238"/>
      <c r="D38" s="238"/>
      <c r="E38" s="238"/>
      <c r="F38" s="238"/>
      <c r="G38" s="238"/>
      <c r="H38" s="238"/>
      <c r="I38" s="238"/>
      <c r="J38" s="238"/>
      <c r="K38" s="238"/>
      <c r="L38" s="238"/>
      <c r="M38" s="238"/>
      <c r="N38" s="238"/>
      <c r="O38" s="238"/>
      <c r="P38" s="238"/>
      <c r="Q38" s="238"/>
      <c r="R38" s="238"/>
      <c r="S38" s="238"/>
      <c r="T38" s="238"/>
      <c r="U38" s="238"/>
      <c r="V38" s="238"/>
      <c r="W38" s="238"/>
      <c r="X38" s="238"/>
      <c r="Y38" s="238"/>
    </row>
    <row r="39" spans="2:25" x14ac:dyDescent="0.25">
      <c r="B39" s="238"/>
      <c r="C39" s="238"/>
      <c r="D39" s="238"/>
      <c r="E39" s="238"/>
      <c r="F39" s="238"/>
      <c r="G39" s="238"/>
      <c r="H39" s="238"/>
      <c r="I39" s="238"/>
      <c r="J39" s="238"/>
      <c r="K39" s="238"/>
      <c r="L39" s="238"/>
      <c r="M39" s="238"/>
      <c r="N39" s="238"/>
      <c r="O39" s="238"/>
      <c r="P39" s="238"/>
      <c r="Q39" s="238"/>
      <c r="R39" s="238"/>
      <c r="S39" s="238"/>
      <c r="T39" s="238"/>
      <c r="U39" s="238"/>
      <c r="V39" s="238"/>
      <c r="W39" s="238"/>
      <c r="X39" s="238"/>
      <c r="Y39" s="238"/>
    </row>
    <row r="40" spans="2:25" x14ac:dyDescent="0.25">
      <c r="B40" s="238"/>
      <c r="C40" s="238"/>
      <c r="D40" s="238"/>
      <c r="E40" s="238"/>
      <c r="F40" s="238"/>
      <c r="G40" s="238"/>
      <c r="H40" s="238"/>
      <c r="I40" s="238"/>
      <c r="J40" s="238"/>
      <c r="K40" s="238"/>
      <c r="L40" s="238"/>
      <c r="M40" s="238"/>
      <c r="N40" s="238"/>
      <c r="O40" s="238"/>
      <c r="P40" s="238"/>
      <c r="Q40" s="238"/>
      <c r="R40" s="238"/>
      <c r="S40" s="238"/>
      <c r="T40" s="238"/>
      <c r="U40" s="238"/>
      <c r="V40" s="238"/>
      <c r="W40" s="238"/>
      <c r="X40" s="238"/>
      <c r="Y40" s="238"/>
    </row>
    <row r="41" spans="2:25" x14ac:dyDescent="0.25">
      <c r="B41" s="238"/>
      <c r="C41" s="238"/>
      <c r="D41" s="238"/>
      <c r="E41" s="238"/>
      <c r="F41" s="238"/>
      <c r="G41" s="238"/>
      <c r="H41" s="238"/>
      <c r="I41" s="238"/>
      <c r="J41" s="238"/>
      <c r="K41" s="238"/>
      <c r="L41" s="238"/>
      <c r="M41" s="238"/>
      <c r="N41" s="238"/>
      <c r="O41" s="238"/>
      <c r="P41" s="238"/>
      <c r="Q41" s="238"/>
      <c r="R41" s="238"/>
      <c r="S41" s="238"/>
      <c r="T41" s="238"/>
      <c r="U41" s="238"/>
      <c r="V41" s="238"/>
      <c r="W41" s="238"/>
      <c r="X41" s="238"/>
      <c r="Y41" s="238"/>
    </row>
    <row r="42" spans="2:25" x14ac:dyDescent="0.25">
      <c r="B42" s="238"/>
      <c r="C42" s="238"/>
      <c r="D42" s="238"/>
      <c r="E42" s="238"/>
      <c r="F42" s="238"/>
      <c r="G42" s="238"/>
      <c r="H42" s="238"/>
      <c r="I42" s="238"/>
      <c r="J42" s="238"/>
      <c r="K42" s="238"/>
      <c r="L42" s="238"/>
      <c r="M42" s="238"/>
      <c r="N42" s="238"/>
      <c r="O42" s="238"/>
      <c r="P42" s="238"/>
      <c r="Q42" s="238"/>
      <c r="R42" s="238"/>
      <c r="S42" s="238"/>
      <c r="T42" s="238"/>
      <c r="U42" s="238"/>
      <c r="V42" s="238"/>
      <c r="W42" s="238"/>
      <c r="X42" s="238"/>
      <c r="Y42" s="238"/>
    </row>
    <row r="43" spans="2:25" x14ac:dyDescent="0.25">
      <c r="B43" s="238"/>
      <c r="C43" s="238"/>
      <c r="D43" s="238"/>
      <c r="E43" s="238"/>
      <c r="F43" s="238"/>
      <c r="G43" s="238"/>
      <c r="H43" s="238"/>
      <c r="I43" s="238"/>
      <c r="J43" s="238"/>
      <c r="K43" s="238"/>
      <c r="L43" s="238"/>
      <c r="M43" s="238"/>
      <c r="N43" s="238"/>
      <c r="O43" s="238"/>
      <c r="P43" s="238"/>
      <c r="Q43" s="238"/>
      <c r="R43" s="238"/>
      <c r="S43" s="238"/>
      <c r="T43" s="238"/>
      <c r="U43" s="238"/>
      <c r="V43" s="238"/>
      <c r="W43" s="238"/>
      <c r="X43" s="238"/>
      <c r="Y43" s="238"/>
    </row>
    <row r="44" spans="2:25" x14ac:dyDescent="0.25">
      <c r="B44" s="238"/>
      <c r="C44" s="238"/>
      <c r="D44" s="238"/>
      <c r="E44" s="238"/>
      <c r="F44" s="238"/>
      <c r="G44" s="238"/>
      <c r="H44" s="238"/>
      <c r="I44" s="238"/>
      <c r="J44" s="238"/>
      <c r="K44" s="238"/>
      <c r="L44" s="238"/>
      <c r="M44" s="238"/>
      <c r="N44" s="238"/>
      <c r="O44" s="238"/>
      <c r="P44" s="238"/>
      <c r="Q44" s="238"/>
      <c r="R44" s="238"/>
      <c r="S44" s="238"/>
      <c r="T44" s="238"/>
      <c r="U44" s="238"/>
      <c r="V44" s="238"/>
      <c r="W44" s="238"/>
      <c r="X44" s="238"/>
      <c r="Y44" s="238"/>
    </row>
    <row r="45" spans="2:25" x14ac:dyDescent="0.25">
      <c r="B45" s="238"/>
      <c r="C45" s="238"/>
      <c r="D45" s="238"/>
      <c r="E45" s="238"/>
      <c r="F45" s="238"/>
      <c r="G45" s="238"/>
      <c r="H45" s="238"/>
      <c r="I45" s="238"/>
      <c r="J45" s="238"/>
      <c r="K45" s="238"/>
      <c r="L45" s="238"/>
      <c r="M45" s="238"/>
      <c r="N45" s="238"/>
      <c r="O45" s="238"/>
      <c r="P45" s="238"/>
      <c r="Q45" s="238"/>
      <c r="R45" s="238"/>
      <c r="S45" s="238"/>
      <c r="T45" s="238"/>
      <c r="U45" s="238"/>
      <c r="V45" s="238"/>
      <c r="W45" s="238"/>
      <c r="X45" s="238"/>
      <c r="Y45" s="238"/>
    </row>
    <row r="46" spans="2:25" x14ac:dyDescent="0.25">
      <c r="B46" s="238"/>
      <c r="C46" s="238"/>
      <c r="D46" s="238"/>
      <c r="E46" s="238"/>
      <c r="F46" s="238"/>
      <c r="G46" s="238"/>
      <c r="H46" s="238"/>
      <c r="I46" s="238"/>
      <c r="J46" s="238"/>
      <c r="K46" s="238"/>
      <c r="L46" s="238"/>
      <c r="M46" s="238"/>
      <c r="N46" s="238"/>
      <c r="O46" s="238"/>
      <c r="P46" s="238"/>
      <c r="Q46" s="238"/>
      <c r="R46" s="238"/>
      <c r="S46" s="238"/>
      <c r="T46" s="238"/>
      <c r="U46" s="238"/>
      <c r="V46" s="238"/>
      <c r="W46" s="238"/>
      <c r="X46" s="238"/>
      <c r="Y46" s="238"/>
    </row>
    <row r="47" spans="2:25" x14ac:dyDescent="0.25">
      <c r="B47" s="238"/>
      <c r="C47" s="238"/>
      <c r="D47" s="238"/>
      <c r="E47" s="238"/>
      <c r="F47" s="238"/>
      <c r="G47" s="238"/>
      <c r="H47" s="238"/>
      <c r="I47" s="238"/>
      <c r="J47" s="238"/>
      <c r="K47" s="238"/>
      <c r="L47" s="238"/>
      <c r="M47" s="238"/>
      <c r="N47" s="238"/>
      <c r="O47" s="238"/>
      <c r="P47" s="238"/>
      <c r="Q47" s="238"/>
      <c r="R47" s="238"/>
      <c r="S47" s="238"/>
      <c r="T47" s="238"/>
      <c r="U47" s="238"/>
      <c r="V47" s="238"/>
      <c r="W47" s="238"/>
      <c r="X47" s="238"/>
      <c r="Y47" s="238"/>
    </row>
    <row r="48" spans="2:25" x14ac:dyDescent="0.25">
      <c r="B48" s="238"/>
      <c r="C48" s="238"/>
      <c r="D48" s="238"/>
      <c r="E48" s="238"/>
      <c r="F48" s="238"/>
      <c r="G48" s="238"/>
      <c r="H48" s="238"/>
      <c r="I48" s="238"/>
      <c r="J48" s="238"/>
      <c r="K48" s="238"/>
      <c r="L48" s="238"/>
      <c r="M48" s="238"/>
      <c r="N48" s="238"/>
      <c r="O48" s="238"/>
      <c r="P48" s="238"/>
      <c r="Q48" s="238"/>
      <c r="R48" s="238"/>
      <c r="S48" s="238"/>
      <c r="T48" s="238"/>
      <c r="U48" s="238"/>
      <c r="V48" s="238"/>
      <c r="W48" s="238"/>
      <c r="X48" s="238"/>
      <c r="Y48" s="238"/>
    </row>
    <row r="49" spans="2:25" x14ac:dyDescent="0.25">
      <c r="B49" s="238"/>
      <c r="C49" s="238"/>
      <c r="D49" s="238"/>
      <c r="E49" s="238"/>
      <c r="F49" s="238"/>
      <c r="G49" s="238"/>
      <c r="H49" s="238"/>
      <c r="I49" s="238"/>
      <c r="J49" s="238"/>
      <c r="K49" s="238"/>
      <c r="L49" s="238"/>
      <c r="M49" s="238"/>
      <c r="N49" s="238"/>
      <c r="O49" s="238"/>
      <c r="P49" s="238"/>
      <c r="Q49" s="238"/>
      <c r="R49" s="238"/>
      <c r="S49" s="238"/>
      <c r="T49" s="238"/>
      <c r="U49" s="238"/>
      <c r="V49" s="238"/>
      <c r="W49" s="238"/>
      <c r="X49" s="238"/>
      <c r="Y49" s="238"/>
    </row>
    <row r="50" spans="2:25" x14ac:dyDescent="0.25">
      <c r="B50" s="238"/>
      <c r="C50" s="238"/>
      <c r="D50" s="238"/>
      <c r="E50" s="238"/>
      <c r="F50" s="238"/>
      <c r="G50" s="238"/>
      <c r="H50" s="238"/>
      <c r="I50" s="238"/>
      <c r="J50" s="238"/>
      <c r="K50" s="238"/>
      <c r="L50" s="238"/>
      <c r="M50" s="238"/>
      <c r="N50" s="238"/>
      <c r="O50" s="238"/>
      <c r="P50" s="238"/>
      <c r="Q50" s="238"/>
      <c r="R50" s="238"/>
      <c r="S50" s="238"/>
      <c r="T50" s="238"/>
      <c r="U50" s="238"/>
      <c r="V50" s="238"/>
      <c r="W50" s="238"/>
      <c r="X50" s="238"/>
      <c r="Y50" s="238"/>
    </row>
    <row r="51" spans="2:25" x14ac:dyDescent="0.25">
      <c r="B51" s="238"/>
      <c r="C51" s="238"/>
      <c r="D51" s="238"/>
      <c r="E51" s="238"/>
      <c r="F51" s="238"/>
      <c r="G51" s="238"/>
      <c r="H51" s="238"/>
      <c r="I51" s="238"/>
      <c r="J51" s="238"/>
      <c r="K51" s="238"/>
      <c r="L51" s="238"/>
      <c r="M51" s="238"/>
      <c r="N51" s="238"/>
      <c r="O51" s="238"/>
      <c r="P51" s="238"/>
      <c r="Q51" s="238"/>
      <c r="R51" s="238"/>
      <c r="S51" s="238"/>
      <c r="T51" s="238"/>
      <c r="U51" s="238"/>
      <c r="V51" s="238"/>
      <c r="W51" s="238"/>
      <c r="X51" s="238"/>
      <c r="Y51" s="238"/>
    </row>
    <row r="52" spans="2:25" x14ac:dyDescent="0.25">
      <c r="B52" s="238"/>
      <c r="C52" s="238"/>
      <c r="D52" s="238"/>
      <c r="E52" s="238"/>
      <c r="F52" s="238"/>
      <c r="G52" s="238"/>
      <c r="H52" s="238"/>
      <c r="I52" s="238"/>
      <c r="J52" s="238"/>
      <c r="K52" s="238"/>
      <c r="L52" s="238"/>
      <c r="M52" s="238"/>
      <c r="N52" s="238"/>
      <c r="O52" s="238"/>
      <c r="P52" s="238"/>
      <c r="Q52" s="238"/>
      <c r="R52" s="238"/>
      <c r="S52" s="238"/>
      <c r="T52" s="238"/>
      <c r="U52" s="238"/>
      <c r="V52" s="238"/>
      <c r="W52" s="238"/>
      <c r="X52" s="238"/>
      <c r="Y52" s="238"/>
    </row>
  </sheetData>
  <mergeCells count="14">
    <mergeCell ref="B1:AC1"/>
    <mergeCell ref="B2:AC4"/>
    <mergeCell ref="B6:C8"/>
    <mergeCell ref="I7:L7"/>
    <mergeCell ref="U7:X7"/>
    <mergeCell ref="E7:H7"/>
    <mergeCell ref="D6:T6"/>
    <mergeCell ref="U6:AC6"/>
    <mergeCell ref="Q7:T7"/>
    <mergeCell ref="B15:B16"/>
    <mergeCell ref="K15:L15"/>
    <mergeCell ref="C15:F15"/>
    <mergeCell ref="Y7:AB7"/>
    <mergeCell ref="M7:P7"/>
  </mergeCells>
  <hyperlinks>
    <hyperlink ref="B18" r:id="rId1" xr:uid="{00000000-0004-0000-1C00-000000000000}"/>
  </hyperlinks>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3:Q54"/>
  <sheetViews>
    <sheetView zoomScale="90" zoomScaleNormal="90" workbookViewId="0">
      <selection activeCell="A51" sqref="A51:P53"/>
    </sheetView>
  </sheetViews>
  <sheetFormatPr defaultColWidth="10.85546875" defaultRowHeight="15" x14ac:dyDescent="0.25"/>
  <cols>
    <col min="3" max="3" width="33.85546875" customWidth="1"/>
  </cols>
  <sheetData>
    <row r="3" spans="1:17" x14ac:dyDescent="0.25">
      <c r="A3" s="803" t="s">
        <v>519</v>
      </c>
      <c r="B3" s="238"/>
    </row>
    <row r="4" spans="1:17" x14ac:dyDescent="0.25">
      <c r="A4" s="1023" t="s">
        <v>520</v>
      </c>
      <c r="B4" s="1024"/>
      <c r="C4" s="1024"/>
    </row>
    <row r="7" spans="1:17" x14ac:dyDescent="0.25">
      <c r="A7" s="1405" t="s">
        <v>521</v>
      </c>
      <c r="B7" s="1406"/>
      <c r="C7" s="1406"/>
      <c r="D7" s="1406"/>
      <c r="E7" s="1406"/>
      <c r="F7" s="1406"/>
      <c r="G7" s="1406"/>
      <c r="H7" s="1406"/>
      <c r="I7" s="1406"/>
      <c r="J7" s="1406"/>
      <c r="K7" s="1406"/>
      <c r="L7" s="1406"/>
      <c r="M7" s="1406"/>
      <c r="N7" s="1406"/>
      <c r="O7" s="1406"/>
      <c r="P7" s="1406"/>
    </row>
    <row r="8" spans="1:17" x14ac:dyDescent="0.25">
      <c r="A8" s="359" t="s">
        <v>522</v>
      </c>
      <c r="B8" s="359"/>
      <c r="C8" s="359"/>
      <c r="D8" s="1028"/>
      <c r="E8" s="359"/>
      <c r="F8" s="359"/>
      <c r="G8" s="359"/>
      <c r="H8" s="359"/>
      <c r="I8" s="359"/>
      <c r="J8" s="359"/>
      <c r="K8" s="359"/>
      <c r="L8" s="359"/>
      <c r="M8" s="359"/>
      <c r="N8" s="359"/>
      <c r="O8" s="359"/>
      <c r="P8" s="359"/>
    </row>
    <row r="9" spans="1:17" x14ac:dyDescent="0.25">
      <c r="A9" s="238"/>
      <c r="B9" s="238"/>
      <c r="C9" s="238"/>
      <c r="D9" s="730"/>
      <c r="E9" s="238"/>
      <c r="F9" s="238"/>
      <c r="G9" s="238"/>
      <c r="H9" s="238"/>
      <c r="I9" s="238"/>
      <c r="J9" s="238"/>
      <c r="K9" s="238"/>
      <c r="L9" s="238"/>
      <c r="M9" s="238"/>
      <c r="N9" s="238"/>
      <c r="O9" s="238"/>
      <c r="P9" s="238"/>
    </row>
    <row r="10" spans="1:17" x14ac:dyDescent="0.25">
      <c r="A10" s="238"/>
      <c r="B10" s="238"/>
      <c r="C10" s="238"/>
      <c r="D10" s="730"/>
      <c r="E10" s="238"/>
      <c r="F10" s="238"/>
      <c r="G10" s="238"/>
      <c r="H10" s="238"/>
      <c r="I10" s="238"/>
      <c r="J10" s="238"/>
      <c r="K10" s="238"/>
      <c r="L10" s="238"/>
      <c r="M10" s="238"/>
      <c r="N10" s="238"/>
      <c r="O10" s="1407" t="s">
        <v>311</v>
      </c>
      <c r="P10" s="1407"/>
    </row>
    <row r="11" spans="1:17" x14ac:dyDescent="0.25">
      <c r="A11" s="238"/>
      <c r="B11" s="238"/>
      <c r="C11" s="707"/>
      <c r="D11" s="259"/>
      <c r="E11" s="707"/>
      <c r="F11" s="707"/>
      <c r="G11" s="707"/>
      <c r="H11" s="707"/>
      <c r="I11" s="707"/>
      <c r="J11" s="707"/>
      <c r="K11" s="707"/>
      <c r="L11" s="707"/>
      <c r="M11" s="707"/>
      <c r="N11" s="707"/>
      <c r="O11" s="1027" t="s">
        <v>523</v>
      </c>
      <c r="P11" s="1027" t="s">
        <v>523</v>
      </c>
    </row>
    <row r="12" spans="1:17" x14ac:dyDescent="0.25">
      <c r="A12" s="359"/>
      <c r="B12" s="359"/>
      <c r="C12" s="359"/>
      <c r="D12" s="1028">
        <v>2020</v>
      </c>
      <c r="E12" s="1028">
        <v>2021</v>
      </c>
      <c r="F12" s="1028">
        <v>2022</v>
      </c>
      <c r="G12" s="1028">
        <v>2023</v>
      </c>
      <c r="H12" s="1028">
        <v>2024</v>
      </c>
      <c r="I12" s="1028">
        <v>2025</v>
      </c>
      <c r="J12" s="1028">
        <v>2026</v>
      </c>
      <c r="K12" s="1028">
        <v>2027</v>
      </c>
      <c r="L12" s="1028">
        <v>2028</v>
      </c>
      <c r="M12" s="1028">
        <v>2029</v>
      </c>
      <c r="N12" s="1028">
        <v>2030</v>
      </c>
      <c r="O12" s="773">
        <v>2025</v>
      </c>
      <c r="P12" s="773">
        <v>2030</v>
      </c>
    </row>
    <row r="13" spans="1:17" x14ac:dyDescent="0.25">
      <c r="A13" s="707" t="s">
        <v>524</v>
      </c>
      <c r="B13" s="707"/>
      <c r="C13" s="707"/>
      <c r="D13" s="1032">
        <v>540.56299999999999</v>
      </c>
      <c r="E13" s="1032">
        <v>0</v>
      </c>
      <c r="F13" s="1032">
        <v>0</v>
      </c>
      <c r="G13" s="1032">
        <v>0</v>
      </c>
      <c r="H13" s="1032">
        <v>0</v>
      </c>
      <c r="I13" s="1032">
        <v>0</v>
      </c>
      <c r="J13" s="1032">
        <v>0</v>
      </c>
      <c r="K13" s="1032">
        <v>0</v>
      </c>
      <c r="L13" s="1032">
        <v>0</v>
      </c>
      <c r="M13" s="1032">
        <v>0</v>
      </c>
      <c r="N13" s="1032">
        <v>0</v>
      </c>
      <c r="O13" s="1032">
        <v>0</v>
      </c>
      <c r="P13" s="1032">
        <v>0</v>
      </c>
      <c r="Q13" t="s">
        <v>50</v>
      </c>
    </row>
    <row r="14" spans="1:17" x14ac:dyDescent="0.25">
      <c r="A14" s="238" t="s">
        <v>525</v>
      </c>
      <c r="B14" s="238"/>
      <c r="C14" s="238"/>
      <c r="D14" s="259"/>
      <c r="E14" s="707"/>
      <c r="F14" s="707"/>
      <c r="G14" s="707"/>
      <c r="H14" s="707"/>
      <c r="I14" s="707"/>
      <c r="J14" s="707"/>
      <c r="K14" s="707"/>
      <c r="L14" s="707"/>
      <c r="M14" s="707"/>
      <c r="N14" s="707"/>
      <c r="O14" s="707"/>
      <c r="P14" s="707"/>
      <c r="Q14" t="s">
        <v>526</v>
      </c>
    </row>
    <row r="15" spans="1:17" x14ac:dyDescent="0.25">
      <c r="A15" s="238"/>
      <c r="B15" s="238" t="s">
        <v>527</v>
      </c>
      <c r="C15" s="238"/>
      <c r="D15" s="259">
        <v>285.56</v>
      </c>
      <c r="E15" s="259">
        <v>5</v>
      </c>
      <c r="F15" s="259">
        <v>0</v>
      </c>
      <c r="G15" s="259">
        <v>0</v>
      </c>
      <c r="H15" s="259">
        <v>0</v>
      </c>
      <c r="I15" s="259">
        <v>0</v>
      </c>
      <c r="J15" s="259">
        <v>0</v>
      </c>
      <c r="K15" s="259">
        <v>0</v>
      </c>
      <c r="L15" s="259">
        <v>0</v>
      </c>
      <c r="M15" s="259">
        <v>0</v>
      </c>
      <c r="N15" s="259">
        <v>0</v>
      </c>
      <c r="O15" s="259">
        <v>5</v>
      </c>
      <c r="P15" s="259">
        <v>5</v>
      </c>
    </row>
    <row r="16" spans="1:17" x14ac:dyDescent="0.25">
      <c r="A16" s="707"/>
      <c r="B16" s="238" t="s">
        <v>528</v>
      </c>
      <c r="C16" s="707"/>
      <c r="D16" s="259">
        <v>67.209999999999994</v>
      </c>
      <c r="E16" s="259">
        <v>13.68</v>
      </c>
      <c r="F16" s="259">
        <v>0</v>
      </c>
      <c r="G16" s="259">
        <v>0</v>
      </c>
      <c r="H16" s="259">
        <v>0</v>
      </c>
      <c r="I16" s="259">
        <v>0</v>
      </c>
      <c r="J16" s="259">
        <v>0</v>
      </c>
      <c r="K16" s="259">
        <v>0</v>
      </c>
      <c r="L16" s="259">
        <v>0</v>
      </c>
      <c r="M16" s="259">
        <v>0</v>
      </c>
      <c r="N16" s="259">
        <v>0</v>
      </c>
      <c r="O16" s="259">
        <v>13.68</v>
      </c>
      <c r="P16" s="259">
        <v>13.68</v>
      </c>
    </row>
    <row r="17" spans="1:17" x14ac:dyDescent="0.25">
      <c r="A17" s="707"/>
      <c r="B17" s="238" t="s">
        <v>529</v>
      </c>
      <c r="C17" s="707"/>
      <c r="D17" s="259">
        <v>11.12</v>
      </c>
      <c r="E17" s="259">
        <v>47.8</v>
      </c>
      <c r="F17" s="259">
        <v>0</v>
      </c>
      <c r="G17" s="259">
        <v>0</v>
      </c>
      <c r="H17" s="259">
        <v>0</v>
      </c>
      <c r="I17" s="259">
        <v>0</v>
      </c>
      <c r="J17" s="259">
        <v>0</v>
      </c>
      <c r="K17" s="259">
        <v>0</v>
      </c>
      <c r="L17" s="259">
        <v>0</v>
      </c>
      <c r="M17" s="259">
        <v>0</v>
      </c>
      <c r="N17" s="259">
        <v>0</v>
      </c>
      <c r="O17" s="259">
        <v>47.8</v>
      </c>
      <c r="P17" s="259">
        <v>47.8</v>
      </c>
    </row>
    <row r="18" spans="1:17" x14ac:dyDescent="0.25">
      <c r="A18" s="707"/>
      <c r="B18" s="238" t="s">
        <v>530</v>
      </c>
      <c r="C18" s="707"/>
      <c r="D18" s="259">
        <v>6.2149999999999999</v>
      </c>
      <c r="E18" s="259">
        <v>5.0049999999999999</v>
      </c>
      <c r="F18" s="259">
        <v>0</v>
      </c>
      <c r="G18" s="259">
        <v>0</v>
      </c>
      <c r="H18" s="259">
        <v>0</v>
      </c>
      <c r="I18" s="259">
        <v>0</v>
      </c>
      <c r="J18" s="259">
        <v>0</v>
      </c>
      <c r="K18" s="259">
        <v>0</v>
      </c>
      <c r="L18" s="259">
        <v>0</v>
      </c>
      <c r="M18" s="259">
        <v>0</v>
      </c>
      <c r="N18" s="259">
        <v>0</v>
      </c>
      <c r="O18" s="259">
        <v>5.0049999999999999</v>
      </c>
      <c r="P18" s="259">
        <v>5.0049999999999999</v>
      </c>
    </row>
    <row r="19" spans="1:17" x14ac:dyDescent="0.25">
      <c r="A19" s="707"/>
      <c r="B19" s="238"/>
      <c r="C19" s="707"/>
      <c r="D19" s="259" t="s">
        <v>531</v>
      </c>
      <c r="E19" s="259" t="s">
        <v>531</v>
      </c>
      <c r="F19" s="259" t="s">
        <v>531</v>
      </c>
      <c r="G19" s="259" t="s">
        <v>531</v>
      </c>
      <c r="H19" s="259" t="s">
        <v>531</v>
      </c>
      <c r="I19" s="259" t="s">
        <v>531</v>
      </c>
      <c r="J19" s="259" t="s">
        <v>531</v>
      </c>
      <c r="K19" s="259" t="s">
        <v>531</v>
      </c>
      <c r="L19" s="259" t="s">
        <v>531</v>
      </c>
      <c r="M19" s="259" t="s">
        <v>531</v>
      </c>
      <c r="N19" s="259" t="s">
        <v>531</v>
      </c>
      <c r="O19" s="259" t="s">
        <v>531</v>
      </c>
      <c r="P19" s="259" t="s">
        <v>531</v>
      </c>
    </row>
    <row r="20" spans="1:17" x14ac:dyDescent="0.25">
      <c r="A20" s="707"/>
      <c r="B20" s="238"/>
      <c r="C20" s="707" t="s">
        <v>532</v>
      </c>
      <c r="D20" s="259">
        <v>370.10500000000002</v>
      </c>
      <c r="E20" s="259">
        <v>71.484999999999999</v>
      </c>
      <c r="F20" s="259">
        <v>0</v>
      </c>
      <c r="G20" s="259">
        <v>0</v>
      </c>
      <c r="H20" s="259">
        <v>0</v>
      </c>
      <c r="I20" s="259">
        <v>0</v>
      </c>
      <c r="J20" s="259">
        <v>0</v>
      </c>
      <c r="K20" s="259">
        <v>0</v>
      </c>
      <c r="L20" s="259">
        <v>0</v>
      </c>
      <c r="M20" s="259">
        <v>0</v>
      </c>
      <c r="N20" s="259">
        <v>0</v>
      </c>
      <c r="O20" s="259">
        <v>71.484999999999999</v>
      </c>
      <c r="P20" s="259">
        <v>71.484999999999999</v>
      </c>
    </row>
    <row r="21" spans="1:17" x14ac:dyDescent="0.25">
      <c r="A21" s="707"/>
      <c r="B21" s="238"/>
      <c r="C21" s="707"/>
      <c r="D21" s="259"/>
      <c r="E21" s="259"/>
      <c r="F21" s="259"/>
      <c r="G21" s="259"/>
      <c r="H21" s="259"/>
      <c r="I21" s="259"/>
      <c r="J21" s="259"/>
      <c r="K21" s="259"/>
      <c r="L21" s="259"/>
      <c r="M21" s="259"/>
      <c r="N21" s="259"/>
      <c r="O21" s="259"/>
      <c r="P21" s="259"/>
    </row>
    <row r="22" spans="1:17" ht="17.100000000000001" customHeight="1" x14ac:dyDescent="0.25">
      <c r="A22" s="707" t="s">
        <v>533</v>
      </c>
      <c r="B22" s="238"/>
      <c r="C22" s="707"/>
      <c r="D22" s="259">
        <v>271.98399999999998</v>
      </c>
      <c r="E22" s="259">
        <v>9.327</v>
      </c>
      <c r="F22" s="259">
        <v>0</v>
      </c>
      <c r="G22" s="259">
        <v>0</v>
      </c>
      <c r="H22" s="259">
        <v>0</v>
      </c>
      <c r="I22" s="259">
        <v>0</v>
      </c>
      <c r="J22" s="259">
        <v>0</v>
      </c>
      <c r="K22" s="259">
        <v>0</v>
      </c>
      <c r="L22" s="259">
        <v>0</v>
      </c>
      <c r="M22" s="259">
        <v>0</v>
      </c>
      <c r="N22" s="259">
        <v>0</v>
      </c>
      <c r="O22" s="259">
        <v>9.327</v>
      </c>
      <c r="P22" s="259">
        <v>9.327</v>
      </c>
      <c r="Q22" t="s">
        <v>534</v>
      </c>
    </row>
    <row r="23" spans="1:17" x14ac:dyDescent="0.25">
      <c r="A23" s="707" t="s">
        <v>149</v>
      </c>
      <c r="B23" s="238"/>
      <c r="C23" s="238"/>
      <c r="D23" s="259">
        <v>149.97300000000001</v>
      </c>
      <c r="E23" s="259">
        <v>2.5999999999999999E-2</v>
      </c>
      <c r="F23" s="259">
        <v>0</v>
      </c>
      <c r="G23" s="259">
        <v>0</v>
      </c>
      <c r="H23" s="259">
        <v>0</v>
      </c>
      <c r="I23" s="259">
        <v>0</v>
      </c>
      <c r="J23" s="259">
        <v>0</v>
      </c>
      <c r="K23" s="259">
        <v>0</v>
      </c>
      <c r="L23" s="259">
        <v>0</v>
      </c>
      <c r="M23" s="259">
        <v>0</v>
      </c>
      <c r="N23" s="259">
        <v>0</v>
      </c>
      <c r="O23" s="259">
        <v>2.5999999999999999E-2</v>
      </c>
      <c r="P23" s="259">
        <v>2.5999999999999999E-2</v>
      </c>
      <c r="Q23" t="s">
        <v>51</v>
      </c>
    </row>
    <row r="24" spans="1:17" x14ac:dyDescent="0.25">
      <c r="A24" s="707" t="s">
        <v>535</v>
      </c>
      <c r="B24" s="238"/>
      <c r="C24" s="238"/>
      <c r="D24" s="259">
        <v>135.41999999999999</v>
      </c>
      <c r="E24" s="259">
        <v>72.537999999999997</v>
      </c>
      <c r="F24" s="259">
        <v>10.331</v>
      </c>
      <c r="G24" s="259">
        <v>4.2670000000000003</v>
      </c>
      <c r="H24" s="259">
        <v>1.347</v>
      </c>
      <c r="I24" s="259">
        <v>0.67400000000000004</v>
      </c>
      <c r="J24" s="259">
        <v>0</v>
      </c>
      <c r="K24" s="259">
        <v>0</v>
      </c>
      <c r="L24" s="259">
        <v>0</v>
      </c>
      <c r="M24" s="259">
        <v>0</v>
      </c>
      <c r="N24" s="259">
        <v>0</v>
      </c>
      <c r="O24" s="259">
        <v>89.156999999999996</v>
      </c>
      <c r="P24" s="259">
        <v>89.156999999999996</v>
      </c>
      <c r="Q24" t="s">
        <v>536</v>
      </c>
    </row>
    <row r="25" spans="1:17" x14ac:dyDescent="0.25">
      <c r="A25" s="707" t="s">
        <v>537</v>
      </c>
      <c r="B25" s="238"/>
      <c r="C25" s="238"/>
      <c r="D25" s="259"/>
      <c r="E25" s="259"/>
      <c r="F25" s="259"/>
      <c r="G25" s="259"/>
      <c r="H25" s="259"/>
      <c r="I25" s="259"/>
      <c r="J25" s="259"/>
      <c r="K25" s="259"/>
      <c r="L25" s="259"/>
      <c r="M25" s="259"/>
      <c r="N25" s="259"/>
      <c r="O25" s="259"/>
      <c r="P25" s="259"/>
    </row>
    <row r="26" spans="1:17" x14ac:dyDescent="0.25">
      <c r="A26" s="707" t="s">
        <v>538</v>
      </c>
      <c r="B26" s="238"/>
      <c r="C26" s="238"/>
      <c r="D26" s="259">
        <v>40.831000000000003</v>
      </c>
      <c r="E26" s="259">
        <v>79.391999999999996</v>
      </c>
      <c r="F26" s="259">
        <v>47.442999999999998</v>
      </c>
      <c r="G26" s="259">
        <v>4.7220000000000004</v>
      </c>
      <c r="H26" s="259">
        <v>0</v>
      </c>
      <c r="I26" s="259">
        <v>0</v>
      </c>
      <c r="J26" s="259">
        <v>0</v>
      </c>
      <c r="K26" s="259">
        <v>0</v>
      </c>
      <c r="L26" s="259">
        <v>0</v>
      </c>
      <c r="M26" s="259">
        <v>0</v>
      </c>
      <c r="N26" s="259">
        <v>0</v>
      </c>
      <c r="O26" s="259">
        <v>131.55699999999999</v>
      </c>
      <c r="P26" s="259">
        <v>131.55699999999999</v>
      </c>
      <c r="Q26" t="s">
        <v>133</v>
      </c>
    </row>
    <row r="27" spans="1:17" x14ac:dyDescent="0.25">
      <c r="A27" s="707" t="s">
        <v>539</v>
      </c>
      <c r="B27" s="238"/>
      <c r="C27" s="238"/>
      <c r="D27" s="259">
        <v>58.054000000000002</v>
      </c>
      <c r="E27" s="259">
        <v>14.755000000000001</v>
      </c>
      <c r="F27" s="259">
        <v>3.4750000000000001</v>
      </c>
      <c r="G27" s="259">
        <v>3.9249999999999998</v>
      </c>
      <c r="H27" s="259">
        <v>4.375</v>
      </c>
      <c r="I27" s="259">
        <v>4.375</v>
      </c>
      <c r="J27" s="259">
        <v>4.5</v>
      </c>
      <c r="K27" s="259">
        <v>4.5</v>
      </c>
      <c r="L27" s="259">
        <v>4.5</v>
      </c>
      <c r="M27" s="259">
        <v>4.5</v>
      </c>
      <c r="N27" s="259">
        <v>4.5</v>
      </c>
      <c r="O27" s="259">
        <v>30.905000000000001</v>
      </c>
      <c r="P27" s="259">
        <v>53.405000000000001</v>
      </c>
    </row>
    <row r="28" spans="1:17" x14ac:dyDescent="0.25">
      <c r="A28" s="707" t="s">
        <v>540</v>
      </c>
      <c r="B28" s="238"/>
      <c r="C28" s="238"/>
      <c r="D28" s="259">
        <v>47.372999999999998</v>
      </c>
      <c r="E28" s="259">
        <v>-46.081000000000003</v>
      </c>
      <c r="F28" s="259">
        <v>0</v>
      </c>
      <c r="G28" s="259">
        <v>0</v>
      </c>
      <c r="H28" s="259">
        <v>0</v>
      </c>
      <c r="I28" s="259">
        <v>0</v>
      </c>
      <c r="J28" s="259">
        <v>0</v>
      </c>
      <c r="K28" s="259">
        <v>0</v>
      </c>
      <c r="L28" s="259">
        <v>0</v>
      </c>
      <c r="M28" s="259">
        <v>0</v>
      </c>
      <c r="N28" s="259">
        <v>0</v>
      </c>
      <c r="O28" s="259">
        <v>-46.081000000000003</v>
      </c>
      <c r="P28" s="259">
        <v>-46.081000000000003</v>
      </c>
      <c r="Q28" t="s">
        <v>55</v>
      </c>
    </row>
    <row r="29" spans="1:17" x14ac:dyDescent="0.25">
      <c r="A29" s="707" t="s">
        <v>541</v>
      </c>
      <c r="B29" s="238"/>
      <c r="C29" s="238"/>
      <c r="D29" s="259">
        <v>24.475000000000001</v>
      </c>
      <c r="E29" s="259">
        <v>32.784999999999997</v>
      </c>
      <c r="F29" s="259">
        <v>8.4600000000000009</v>
      </c>
      <c r="G29" s="259">
        <v>0</v>
      </c>
      <c r="H29" s="259">
        <v>0</v>
      </c>
      <c r="I29" s="259">
        <v>0</v>
      </c>
      <c r="J29" s="259">
        <v>0</v>
      </c>
      <c r="K29" s="259">
        <v>0</v>
      </c>
      <c r="L29" s="259">
        <v>0</v>
      </c>
      <c r="M29" s="259">
        <v>0</v>
      </c>
      <c r="N29" s="259">
        <v>0</v>
      </c>
      <c r="O29" s="259">
        <v>41.244999999999997</v>
      </c>
      <c r="P29" s="259">
        <v>41.244999999999997</v>
      </c>
      <c r="Q29" t="s">
        <v>542</v>
      </c>
    </row>
    <row r="30" spans="1:17" x14ac:dyDescent="0.25">
      <c r="A30" s="707" t="s">
        <v>543</v>
      </c>
      <c r="B30" s="238"/>
      <c r="C30" s="238"/>
      <c r="D30" s="259">
        <v>27.5</v>
      </c>
      <c r="E30" s="259">
        <v>0.86</v>
      </c>
      <c r="F30" s="259">
        <v>-0.22</v>
      </c>
      <c r="G30" s="259">
        <v>-0.49</v>
      </c>
      <c r="H30" s="259">
        <v>-0.56000000000000005</v>
      </c>
      <c r="I30" s="259">
        <v>-0.98</v>
      </c>
      <c r="J30" s="259">
        <v>-0.76</v>
      </c>
      <c r="K30" s="259">
        <v>-0.74</v>
      </c>
      <c r="L30" s="259">
        <v>-0.72</v>
      </c>
      <c r="M30" s="259">
        <v>-0.7</v>
      </c>
      <c r="N30" s="259">
        <v>-0.69</v>
      </c>
      <c r="O30" s="259">
        <v>-1.39</v>
      </c>
      <c r="P30" s="259">
        <v>-5</v>
      </c>
      <c r="Q30" t="s">
        <v>52</v>
      </c>
    </row>
    <row r="31" spans="1:17" x14ac:dyDescent="0.25">
      <c r="A31" s="707" t="s">
        <v>150</v>
      </c>
      <c r="B31" s="238"/>
      <c r="C31" s="238"/>
      <c r="D31" s="259">
        <v>11.407999999999999</v>
      </c>
      <c r="E31" s="259">
        <v>10.763</v>
      </c>
      <c r="F31" s="259">
        <v>5.7809999999999997</v>
      </c>
      <c r="G31" s="259">
        <v>0.92300000000000004</v>
      </c>
      <c r="H31" s="259">
        <v>0.52300000000000002</v>
      </c>
      <c r="I31" s="259">
        <v>0.43099999999999999</v>
      </c>
      <c r="J31" s="259">
        <v>0.246</v>
      </c>
      <c r="K31" s="259">
        <v>0</v>
      </c>
      <c r="L31" s="259">
        <v>0</v>
      </c>
      <c r="M31" s="259">
        <v>0</v>
      </c>
      <c r="N31" s="259">
        <v>0</v>
      </c>
      <c r="O31" s="259">
        <v>18.420999999999999</v>
      </c>
      <c r="P31" s="259">
        <v>18.667000000000002</v>
      </c>
      <c r="Q31" t="s">
        <v>544</v>
      </c>
    </row>
    <row r="32" spans="1:17" x14ac:dyDescent="0.25">
      <c r="A32" s="707" t="s">
        <v>545</v>
      </c>
      <c r="B32" s="238"/>
      <c r="C32" s="238"/>
      <c r="D32" s="259">
        <v>99.444000000000003</v>
      </c>
      <c r="E32" s="259">
        <v>61.634</v>
      </c>
      <c r="F32" s="259">
        <v>23.815000000000001</v>
      </c>
      <c r="G32" s="259">
        <v>7.35</v>
      </c>
      <c r="H32" s="259">
        <v>4.4029999999999996</v>
      </c>
      <c r="I32" s="259">
        <v>1.663</v>
      </c>
      <c r="J32" s="259">
        <v>0.74399999999999999</v>
      </c>
      <c r="K32" s="259">
        <v>0.65500000000000003</v>
      </c>
      <c r="L32" s="259">
        <v>0.68799999999999994</v>
      </c>
      <c r="M32" s="259">
        <v>10.603</v>
      </c>
      <c r="N32" s="259">
        <v>-35.328000000000003</v>
      </c>
      <c r="O32" s="259">
        <v>98.864999999999995</v>
      </c>
      <c r="P32" s="259">
        <v>76.227000000000004</v>
      </c>
      <c r="Q32" t="s">
        <v>546</v>
      </c>
    </row>
    <row r="33" spans="1:16" x14ac:dyDescent="0.25">
      <c r="A33" s="707"/>
      <c r="B33" s="238"/>
      <c r="C33" s="238"/>
      <c r="D33" s="259"/>
      <c r="E33" s="259"/>
      <c r="F33" s="259"/>
      <c r="G33" s="259"/>
      <c r="H33" s="259"/>
      <c r="I33" s="259"/>
      <c r="J33" s="259"/>
      <c r="K33" s="259"/>
      <c r="L33" s="259"/>
      <c r="M33" s="259"/>
      <c r="N33" s="259"/>
      <c r="O33" s="259"/>
      <c r="P33" s="259"/>
    </row>
    <row r="34" spans="1:16" x14ac:dyDescent="0.25">
      <c r="A34" s="1026"/>
      <c r="B34" s="1026"/>
      <c r="C34" s="1026" t="s">
        <v>311</v>
      </c>
      <c r="D34" s="1033">
        <v>1777.13</v>
      </c>
      <c r="E34" s="1033">
        <v>307.48399999999998</v>
      </c>
      <c r="F34" s="1033">
        <v>99.084999999999994</v>
      </c>
      <c r="G34" s="1033">
        <v>20.696999999999999</v>
      </c>
      <c r="H34" s="1033">
        <v>10.087999999999999</v>
      </c>
      <c r="I34" s="1033">
        <v>6.1630000000000003</v>
      </c>
      <c r="J34" s="1033">
        <v>4.7300000000000004</v>
      </c>
      <c r="K34" s="1033">
        <v>4.415</v>
      </c>
      <c r="L34" s="1033">
        <v>4.468</v>
      </c>
      <c r="M34" s="1033">
        <v>14.403</v>
      </c>
      <c r="N34" s="1033">
        <v>-31.518000000000001</v>
      </c>
      <c r="O34" s="1033">
        <v>443.517</v>
      </c>
      <c r="P34" s="1033">
        <v>440.01499999999999</v>
      </c>
    </row>
    <row r="35" spans="1:16" x14ac:dyDescent="0.25">
      <c r="A35" s="238"/>
      <c r="B35" s="238"/>
      <c r="C35" s="238"/>
      <c r="D35" s="1025"/>
      <c r="E35" s="484"/>
      <c r="F35" s="707"/>
      <c r="G35" s="707"/>
      <c r="H35" s="707"/>
      <c r="I35" s="707"/>
      <c r="J35" s="707"/>
      <c r="K35" s="707"/>
      <c r="L35" s="707"/>
      <c r="M35" s="707"/>
      <c r="N35" s="707"/>
      <c r="O35" s="707"/>
      <c r="P35" s="707"/>
    </row>
    <row r="36" spans="1:16" x14ac:dyDescent="0.25">
      <c r="A36" s="1029" t="s">
        <v>547</v>
      </c>
      <c r="B36" s="1029"/>
      <c r="C36" s="1029"/>
      <c r="D36" s="1030"/>
      <c r="E36" s="1029"/>
      <c r="F36" s="1029"/>
      <c r="G36" s="1029"/>
      <c r="H36" s="1029"/>
      <c r="I36" s="1029"/>
      <c r="J36" s="1029"/>
      <c r="K36" s="1029"/>
      <c r="L36" s="1029"/>
      <c r="M36" s="1029"/>
      <c r="N36" s="1029"/>
      <c r="O36" s="1029"/>
      <c r="P36" s="1029"/>
    </row>
    <row r="37" spans="1:16" x14ac:dyDescent="0.25">
      <c r="A37" s="1029"/>
      <c r="B37" s="1029"/>
      <c r="C37" s="1029"/>
      <c r="D37" s="1030"/>
      <c r="E37" s="1029"/>
      <c r="F37" s="1029"/>
      <c r="G37" s="1029"/>
      <c r="H37" s="1029"/>
      <c r="I37" s="1029"/>
      <c r="J37" s="1029"/>
      <c r="K37" s="1029"/>
      <c r="L37" s="1029"/>
      <c r="M37" s="1029"/>
      <c r="N37" s="1029"/>
      <c r="O37" s="1029"/>
      <c r="P37" s="1029"/>
    </row>
    <row r="38" spans="1:16" x14ac:dyDescent="0.25">
      <c r="A38" s="1410" t="s">
        <v>548</v>
      </c>
      <c r="B38" s="1410"/>
      <c r="C38" s="1410"/>
      <c r="D38" s="1410"/>
      <c r="E38" s="1410"/>
      <c r="F38" s="1410"/>
      <c r="G38" s="1410"/>
      <c r="H38" s="1410"/>
      <c r="I38" s="1410"/>
      <c r="J38" s="1410"/>
      <c r="K38" s="1410"/>
      <c r="L38" s="1410"/>
      <c r="M38" s="1410"/>
      <c r="N38" s="1410"/>
      <c r="O38" s="1410"/>
      <c r="P38" s="1410"/>
    </row>
    <row r="39" spans="1:16" x14ac:dyDescent="0.25">
      <c r="A39" s="1410"/>
      <c r="B39" s="1410"/>
      <c r="C39" s="1410"/>
      <c r="D39" s="1410"/>
      <c r="E39" s="1410"/>
      <c r="F39" s="1410"/>
      <c r="G39" s="1410"/>
      <c r="H39" s="1410"/>
      <c r="I39" s="1410"/>
      <c r="J39" s="1410"/>
      <c r="K39" s="1410"/>
      <c r="L39" s="1410"/>
      <c r="M39" s="1410"/>
      <c r="N39" s="1410"/>
      <c r="O39" s="1410"/>
      <c r="P39" s="1410"/>
    </row>
    <row r="40" spans="1:16" x14ac:dyDescent="0.25">
      <c r="A40" s="1410"/>
      <c r="B40" s="1410"/>
      <c r="C40" s="1410"/>
      <c r="D40" s="1410"/>
      <c r="E40" s="1410"/>
      <c r="F40" s="1410"/>
      <c r="G40" s="1410"/>
      <c r="H40" s="1410"/>
      <c r="I40" s="1410"/>
      <c r="J40" s="1410"/>
      <c r="K40" s="1410"/>
      <c r="L40" s="1410"/>
      <c r="M40" s="1410"/>
      <c r="N40" s="1410"/>
      <c r="O40" s="1410"/>
      <c r="P40" s="1410"/>
    </row>
    <row r="41" spans="1:16" x14ac:dyDescent="0.25">
      <c r="A41" s="1410"/>
      <c r="B41" s="1410"/>
      <c r="C41" s="1410"/>
      <c r="D41" s="1410"/>
      <c r="E41" s="1410"/>
      <c r="F41" s="1410"/>
      <c r="G41" s="1410"/>
      <c r="H41" s="1410"/>
      <c r="I41" s="1410"/>
      <c r="J41" s="1410"/>
      <c r="K41" s="1410"/>
      <c r="L41" s="1410"/>
      <c r="M41" s="1410"/>
      <c r="N41" s="1410"/>
      <c r="O41" s="1410"/>
      <c r="P41" s="1410"/>
    </row>
    <row r="42" spans="1:16" x14ac:dyDescent="0.25">
      <c r="A42" s="1410"/>
      <c r="B42" s="1410"/>
      <c r="C42" s="1410"/>
      <c r="D42" s="1410"/>
      <c r="E42" s="1410"/>
      <c r="F42" s="1410"/>
      <c r="G42" s="1410"/>
      <c r="H42" s="1410"/>
      <c r="I42" s="1410"/>
      <c r="J42" s="1410"/>
      <c r="K42" s="1410"/>
      <c r="L42" s="1410"/>
      <c r="M42" s="1410"/>
      <c r="N42" s="1410"/>
      <c r="O42" s="1410"/>
      <c r="P42" s="1410"/>
    </row>
    <row r="43" spans="1:16" x14ac:dyDescent="0.25">
      <c r="A43" s="244"/>
      <c r="B43" s="244"/>
      <c r="C43" s="244"/>
      <c r="D43" s="244"/>
      <c r="E43" s="244"/>
      <c r="F43" s="244"/>
      <c r="G43" s="244"/>
      <c r="H43" s="244"/>
      <c r="I43" s="244"/>
      <c r="J43" s="244"/>
      <c r="K43" s="244"/>
      <c r="L43" s="244"/>
      <c r="M43" s="244"/>
      <c r="N43" s="244"/>
      <c r="O43" s="244"/>
      <c r="P43" s="244"/>
    </row>
    <row r="44" spans="1:16" x14ac:dyDescent="0.25">
      <c r="A44" s="1306" t="s">
        <v>549</v>
      </c>
      <c r="B44" s="1306"/>
      <c r="C44" s="1306"/>
      <c r="D44" s="1306"/>
      <c r="E44" s="1306"/>
      <c r="F44" s="1306"/>
      <c r="G44" s="1306"/>
      <c r="H44" s="1306"/>
      <c r="I44" s="1306"/>
      <c r="J44" s="1306"/>
      <c r="K44" s="1306"/>
      <c r="L44" s="1306"/>
      <c r="M44" s="1306"/>
      <c r="N44" s="1306"/>
      <c r="O44" s="1306"/>
      <c r="P44" s="1306"/>
    </row>
    <row r="45" spans="1:16" x14ac:dyDescent="0.25">
      <c r="A45" s="1306"/>
      <c r="B45" s="1306"/>
      <c r="C45" s="1306"/>
      <c r="D45" s="1306"/>
      <c r="E45" s="1306"/>
      <c r="F45" s="1306"/>
      <c r="G45" s="1306"/>
      <c r="H45" s="1306"/>
      <c r="I45" s="1306"/>
      <c r="J45" s="1306"/>
      <c r="K45" s="1306"/>
      <c r="L45" s="1306"/>
      <c r="M45" s="1306"/>
      <c r="N45" s="1306"/>
      <c r="O45" s="1306"/>
      <c r="P45" s="1306"/>
    </row>
    <row r="46" spans="1:16" x14ac:dyDescent="0.25">
      <c r="A46" s="1306"/>
      <c r="B46" s="1306"/>
      <c r="C46" s="1306"/>
      <c r="D46" s="1306"/>
      <c r="E46" s="1306"/>
      <c r="F46" s="1306"/>
      <c r="G46" s="1306"/>
      <c r="H46" s="1306"/>
      <c r="I46" s="1306"/>
      <c r="J46" s="1306"/>
      <c r="K46" s="1306"/>
      <c r="L46" s="1306"/>
      <c r="M46" s="1306"/>
      <c r="N46" s="1306"/>
      <c r="O46" s="1306"/>
      <c r="P46" s="1306"/>
    </row>
    <row r="47" spans="1:16" x14ac:dyDescent="0.25">
      <c r="A47" s="1029"/>
      <c r="B47" s="1029"/>
      <c r="C47" s="1029"/>
      <c r="D47" s="1030"/>
      <c r="E47" s="1029"/>
      <c r="F47" s="1029"/>
      <c r="G47" s="1029"/>
      <c r="H47" s="1029"/>
      <c r="I47" s="1029"/>
      <c r="J47" s="1029"/>
      <c r="K47" s="1029"/>
      <c r="L47" s="1029"/>
      <c r="M47" s="1029"/>
      <c r="N47" s="1029"/>
      <c r="O47" s="1029"/>
      <c r="P47" s="1029"/>
    </row>
    <row r="48" spans="1:16" x14ac:dyDescent="0.25">
      <c r="A48" s="1408" t="s">
        <v>550</v>
      </c>
      <c r="B48" s="1409"/>
      <c r="C48" s="1409"/>
      <c r="D48" s="1409"/>
      <c r="E48" s="1409"/>
      <c r="F48" s="1409"/>
      <c r="G48" s="1409"/>
      <c r="H48" s="1409"/>
      <c r="I48" s="1409"/>
      <c r="J48" s="1409"/>
      <c r="K48" s="1409"/>
      <c r="L48" s="1409"/>
      <c r="M48" s="1409"/>
      <c r="N48" s="1409"/>
      <c r="O48" s="1409"/>
      <c r="P48" s="1409"/>
    </row>
    <row r="49" spans="1:16" x14ac:dyDescent="0.25">
      <c r="A49" s="1409"/>
      <c r="B49" s="1409"/>
      <c r="C49" s="1409"/>
      <c r="D49" s="1409"/>
      <c r="E49" s="1409"/>
      <c r="F49" s="1409"/>
      <c r="G49" s="1409"/>
      <c r="H49" s="1409"/>
      <c r="I49" s="1409"/>
      <c r="J49" s="1409"/>
      <c r="K49" s="1409"/>
      <c r="L49" s="1409"/>
      <c r="M49" s="1409"/>
      <c r="N49" s="1409"/>
      <c r="O49" s="1409"/>
      <c r="P49" s="1409"/>
    </row>
    <row r="50" spans="1:16" x14ac:dyDescent="0.25">
      <c r="A50" s="1029"/>
      <c r="B50" s="1029"/>
      <c r="C50" s="1029"/>
      <c r="D50" s="1030"/>
      <c r="E50" s="1029"/>
      <c r="F50" s="1029"/>
      <c r="G50" s="1029"/>
      <c r="H50" s="1029"/>
      <c r="I50" s="1029"/>
      <c r="J50" s="1029"/>
      <c r="K50" s="1029"/>
      <c r="L50" s="1029"/>
      <c r="M50" s="1029"/>
      <c r="N50" s="1029"/>
      <c r="O50" s="1029"/>
      <c r="P50" s="1029"/>
    </row>
    <row r="51" spans="1:16" x14ac:dyDescent="0.25">
      <c r="A51" s="1404" t="s">
        <v>551</v>
      </c>
      <c r="B51" s="1404"/>
      <c r="C51" s="1404"/>
      <c r="D51" s="1404"/>
      <c r="E51" s="1404"/>
      <c r="F51" s="1404"/>
      <c r="G51" s="1404"/>
      <c r="H51" s="1404"/>
      <c r="I51" s="1404"/>
      <c r="J51" s="1404"/>
      <c r="K51" s="1404"/>
      <c r="L51" s="1404"/>
      <c r="M51" s="1404"/>
      <c r="N51" s="1404"/>
      <c r="O51" s="1404"/>
      <c r="P51" s="1404"/>
    </row>
    <row r="52" spans="1:16" x14ac:dyDescent="0.25">
      <c r="A52" s="1404"/>
      <c r="B52" s="1404"/>
      <c r="C52" s="1404"/>
      <c r="D52" s="1404"/>
      <c r="E52" s="1404"/>
      <c r="F52" s="1404"/>
      <c r="G52" s="1404"/>
      <c r="H52" s="1404"/>
      <c r="I52" s="1404"/>
      <c r="J52" s="1404"/>
      <c r="K52" s="1404"/>
      <c r="L52" s="1404"/>
      <c r="M52" s="1404"/>
      <c r="N52" s="1404"/>
      <c r="O52" s="1404"/>
      <c r="P52" s="1404"/>
    </row>
    <row r="53" spans="1:16" x14ac:dyDescent="0.25">
      <c r="A53" s="1404"/>
      <c r="B53" s="1404"/>
      <c r="C53" s="1404"/>
      <c r="D53" s="1404"/>
      <c r="E53" s="1404"/>
      <c r="F53" s="1404"/>
      <c r="G53" s="1404"/>
      <c r="H53" s="1404"/>
      <c r="I53" s="1404"/>
      <c r="J53" s="1404"/>
      <c r="K53" s="1404"/>
      <c r="L53" s="1404"/>
      <c r="M53" s="1404"/>
      <c r="N53" s="1404"/>
      <c r="O53" s="1404"/>
      <c r="P53" s="1404"/>
    </row>
    <row r="54" spans="1:16" x14ac:dyDescent="0.25">
      <c r="A54" s="1031"/>
      <c r="B54" s="1031"/>
      <c r="C54" s="1031"/>
      <c r="D54" s="1022"/>
      <c r="E54" s="1031"/>
      <c r="F54" s="1031"/>
      <c r="G54" s="1031"/>
      <c r="H54" s="1031"/>
      <c r="I54" s="1031"/>
      <c r="J54" s="1031"/>
      <c r="K54" s="1031"/>
      <c r="L54" s="1031"/>
      <c r="M54" s="1031"/>
      <c r="N54" s="1031"/>
      <c r="O54" s="1031"/>
      <c r="P54" s="1031"/>
    </row>
  </sheetData>
  <mergeCells count="6">
    <mergeCell ref="A51:P53"/>
    <mergeCell ref="A7:P7"/>
    <mergeCell ref="O10:P10"/>
    <mergeCell ref="A48:P49"/>
    <mergeCell ref="A38:P42"/>
    <mergeCell ref="A44:P46"/>
  </mergeCells>
  <hyperlinks>
    <hyperlink ref="A4" r:id="rId1" xr:uid="{00000000-0004-0000-1D00-000000000000}"/>
  </hyperlinks>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198"/>
  <sheetViews>
    <sheetView workbookViewId="0">
      <selection activeCell="M38" sqref="M38"/>
    </sheetView>
  </sheetViews>
  <sheetFormatPr defaultColWidth="10.85546875" defaultRowHeight="15" x14ac:dyDescent="0.25"/>
  <cols>
    <col min="1" max="1" width="36" customWidth="1"/>
    <col min="2" max="2" width="15.5703125" customWidth="1"/>
    <col min="3" max="19" width="10.7109375" customWidth="1"/>
    <col min="20" max="20" width="125.85546875" customWidth="1"/>
  </cols>
  <sheetData>
    <row r="1" spans="1:19" x14ac:dyDescent="0.25">
      <c r="A1" s="180" t="s">
        <v>1380</v>
      </c>
      <c r="D1" s="1112">
        <v>2022</v>
      </c>
      <c r="E1" s="1112">
        <v>2023</v>
      </c>
      <c r="F1" s="1112">
        <v>2024</v>
      </c>
      <c r="G1" s="1112">
        <v>2025</v>
      </c>
      <c r="H1" s="1112">
        <v>2026</v>
      </c>
      <c r="I1" s="1112">
        <v>2027</v>
      </c>
      <c r="J1" s="1112">
        <v>2028</v>
      </c>
      <c r="K1" s="1112">
        <v>2029</v>
      </c>
      <c r="L1" s="1112">
        <v>2030</v>
      </c>
      <c r="M1" s="1113">
        <v>2031</v>
      </c>
      <c r="N1" s="1114" t="s">
        <v>1182</v>
      </c>
      <c r="O1" s="1114" t="s">
        <v>1183</v>
      </c>
      <c r="P1" s="1099"/>
      <c r="Q1" s="1099"/>
      <c r="R1" s="1099"/>
      <c r="S1" s="1099"/>
    </row>
    <row r="2" spans="1:19" x14ac:dyDescent="0.25">
      <c r="C2" s="1411" t="s">
        <v>1381</v>
      </c>
      <c r="D2" s="1411"/>
      <c r="E2" s="1411"/>
      <c r="F2" s="1411"/>
      <c r="G2" s="1411"/>
      <c r="H2" s="1411"/>
      <c r="I2" s="1411"/>
      <c r="J2" s="1411"/>
      <c r="K2" s="1411"/>
      <c r="L2" s="1411"/>
      <c r="M2" s="1411"/>
      <c r="N2" s="1411"/>
      <c r="O2" s="1411"/>
      <c r="P2" s="1098"/>
      <c r="Q2" s="1098"/>
      <c r="R2" s="1098"/>
      <c r="S2" s="1098"/>
    </row>
    <row r="3" spans="1:19" x14ac:dyDescent="0.25">
      <c r="A3" s="56" t="s">
        <v>1191</v>
      </c>
      <c r="B3" s="56">
        <v>13601</v>
      </c>
      <c r="C3" s="56" t="s">
        <v>1382</v>
      </c>
      <c r="D3" s="56">
        <v>0</v>
      </c>
      <c r="E3" s="56">
        <v>0</v>
      </c>
      <c r="F3" s="56">
        <v>601</v>
      </c>
      <c r="G3" s="56">
        <v>1038</v>
      </c>
      <c r="H3" s="56">
        <v>1251</v>
      </c>
      <c r="I3" s="56">
        <v>1431</v>
      </c>
      <c r="J3" s="56">
        <v>1492</v>
      </c>
      <c r="K3" s="56">
        <v>1530</v>
      </c>
      <c r="L3" s="56">
        <v>1567</v>
      </c>
      <c r="M3" s="56">
        <v>1606</v>
      </c>
      <c r="N3" s="56">
        <v>2890</v>
      </c>
      <c r="O3" s="56">
        <v>10516</v>
      </c>
      <c r="P3" s="56"/>
      <c r="Q3" s="56"/>
      <c r="R3" s="56"/>
      <c r="S3" s="56"/>
    </row>
    <row r="4" spans="1:19" x14ac:dyDescent="0.25">
      <c r="A4" s="56" t="s">
        <v>1204</v>
      </c>
      <c r="B4" s="56">
        <v>10301</v>
      </c>
      <c r="C4" s="56" t="s">
        <v>1382</v>
      </c>
      <c r="D4" s="56">
        <v>0</v>
      </c>
      <c r="E4" s="56">
        <v>3823</v>
      </c>
      <c r="F4" s="56">
        <v>3380</v>
      </c>
      <c r="G4" s="56">
        <v>4970</v>
      </c>
      <c r="H4" s="56">
        <v>6248</v>
      </c>
      <c r="I4" s="56">
        <v>7996</v>
      </c>
      <c r="J4" s="56">
        <v>10106</v>
      </c>
      <c r="K4" s="56">
        <v>12617</v>
      </c>
      <c r="L4" s="56">
        <v>15072</v>
      </c>
      <c r="M4" s="56">
        <v>15388</v>
      </c>
      <c r="N4" s="56">
        <v>18421</v>
      </c>
      <c r="O4" s="56">
        <v>79600</v>
      </c>
      <c r="P4" s="56"/>
      <c r="Q4" s="56"/>
      <c r="R4" s="56"/>
      <c r="S4" s="56"/>
    </row>
    <row r="5" spans="1:19" x14ac:dyDescent="0.25">
      <c r="A5" s="56" t="s">
        <v>1206</v>
      </c>
      <c r="B5" s="56">
        <v>13802</v>
      </c>
      <c r="C5" s="56" t="s">
        <v>1382</v>
      </c>
      <c r="D5" s="56">
        <v>0</v>
      </c>
      <c r="E5" s="56">
        <v>55</v>
      </c>
      <c r="F5" s="56">
        <v>55</v>
      </c>
      <c r="G5" s="56">
        <v>55</v>
      </c>
      <c r="H5" s="56">
        <v>55</v>
      </c>
      <c r="I5" s="56">
        <v>55</v>
      </c>
      <c r="J5" s="56">
        <v>55</v>
      </c>
      <c r="K5" s="56">
        <v>55</v>
      </c>
      <c r="L5" s="56">
        <v>55</v>
      </c>
      <c r="M5" s="56">
        <v>55</v>
      </c>
      <c r="N5" s="56">
        <v>220</v>
      </c>
      <c r="O5" s="56">
        <v>495</v>
      </c>
      <c r="P5" s="56"/>
      <c r="Q5" s="56"/>
      <c r="R5" s="56"/>
      <c r="S5" s="56"/>
    </row>
    <row r="6" spans="1:19" x14ac:dyDescent="0.25">
      <c r="A6" s="56" t="s">
        <v>1208</v>
      </c>
      <c r="B6" s="56">
        <v>22005</v>
      </c>
      <c r="C6" s="56" t="s">
        <v>1382</v>
      </c>
      <c r="D6" s="56">
        <v>0</v>
      </c>
      <c r="E6" s="56">
        <v>19</v>
      </c>
      <c r="F6" s="56">
        <v>26</v>
      </c>
      <c r="G6" s="56">
        <v>27</v>
      </c>
      <c r="H6" s="56">
        <v>17</v>
      </c>
      <c r="I6" s="56">
        <v>7</v>
      </c>
      <c r="J6" s="56">
        <v>3</v>
      </c>
      <c r="K6" s="56">
        <v>1</v>
      </c>
      <c r="L6" s="56">
        <v>0</v>
      </c>
      <c r="M6" s="56">
        <v>0</v>
      </c>
      <c r="N6" s="56">
        <v>89</v>
      </c>
      <c r="O6" s="56">
        <v>100</v>
      </c>
      <c r="P6" s="56"/>
      <c r="Q6" s="56"/>
      <c r="R6" s="56"/>
      <c r="S6" s="56"/>
    </row>
    <row r="7" spans="1:19" x14ac:dyDescent="0.25">
      <c r="A7" s="56" t="s">
        <v>1194</v>
      </c>
      <c r="B7" s="56">
        <v>23001</v>
      </c>
      <c r="C7" s="56" t="s">
        <v>1382</v>
      </c>
      <c r="D7" s="56">
        <v>0</v>
      </c>
      <c r="E7" s="56">
        <v>35</v>
      </c>
      <c r="F7" s="56">
        <v>125</v>
      </c>
      <c r="G7" s="56">
        <v>170</v>
      </c>
      <c r="H7" s="56">
        <v>375</v>
      </c>
      <c r="I7" s="56">
        <v>470</v>
      </c>
      <c r="J7" s="56">
        <v>415</v>
      </c>
      <c r="K7" s="56">
        <v>280</v>
      </c>
      <c r="L7" s="56">
        <v>217</v>
      </c>
      <c r="M7" s="56">
        <v>58</v>
      </c>
      <c r="N7" s="56">
        <v>705</v>
      </c>
      <c r="O7" s="56">
        <v>2145</v>
      </c>
      <c r="P7" s="56"/>
      <c r="Q7" s="56"/>
      <c r="R7" s="56"/>
      <c r="S7" s="56"/>
    </row>
    <row r="8" spans="1:19" x14ac:dyDescent="0.25">
      <c r="A8" s="56" t="s">
        <v>1210</v>
      </c>
      <c r="B8" s="56">
        <v>23005</v>
      </c>
      <c r="C8" s="56" t="s">
        <v>1382</v>
      </c>
      <c r="D8" s="56">
        <v>0</v>
      </c>
      <c r="E8" s="56">
        <v>15</v>
      </c>
      <c r="F8" s="56">
        <v>15</v>
      </c>
      <c r="G8" s="56">
        <v>15</v>
      </c>
      <c r="H8" s="56">
        <v>10</v>
      </c>
      <c r="I8" s="56">
        <v>10</v>
      </c>
      <c r="J8" s="56">
        <v>10</v>
      </c>
      <c r="K8" s="56">
        <v>10</v>
      </c>
      <c r="L8" s="56">
        <v>10</v>
      </c>
      <c r="M8" s="56">
        <v>5</v>
      </c>
      <c r="N8" s="56">
        <v>55</v>
      </c>
      <c r="O8" s="56">
        <v>100</v>
      </c>
      <c r="P8" s="56"/>
      <c r="Q8" s="56"/>
      <c r="R8" s="56"/>
      <c r="S8" s="56"/>
    </row>
    <row r="9" spans="1:19" x14ac:dyDescent="0.25">
      <c r="A9" s="56" t="s">
        <v>1263</v>
      </c>
      <c r="B9" s="56">
        <v>23003</v>
      </c>
      <c r="C9" s="56" t="s">
        <v>1250</v>
      </c>
      <c r="D9" s="56">
        <v>0</v>
      </c>
      <c r="E9" s="56">
        <v>65</v>
      </c>
      <c r="F9" s="56">
        <v>150</v>
      </c>
      <c r="G9" s="56">
        <v>290</v>
      </c>
      <c r="H9" s="56">
        <v>290</v>
      </c>
      <c r="I9" s="56">
        <v>290</v>
      </c>
      <c r="J9" s="56">
        <v>285</v>
      </c>
      <c r="K9" s="56">
        <v>250</v>
      </c>
      <c r="L9" s="56">
        <v>220</v>
      </c>
      <c r="M9" s="56">
        <v>160</v>
      </c>
      <c r="N9" s="56">
        <v>795</v>
      </c>
      <c r="O9" s="56">
        <v>2000</v>
      </c>
      <c r="P9" s="56"/>
      <c r="Q9" s="56"/>
      <c r="R9" s="56"/>
      <c r="S9" s="56"/>
    </row>
    <row r="10" spans="1:19" x14ac:dyDescent="0.25">
      <c r="A10" s="56" t="s">
        <v>1291</v>
      </c>
      <c r="B10" s="56">
        <v>11102</v>
      </c>
      <c r="C10" s="56" t="s">
        <v>210</v>
      </c>
      <c r="D10" s="56">
        <v>0</v>
      </c>
      <c r="E10" s="56">
        <v>110</v>
      </c>
      <c r="F10" s="56">
        <v>504</v>
      </c>
      <c r="G10" s="56">
        <v>878</v>
      </c>
      <c r="H10" s="56">
        <v>1193</v>
      </c>
      <c r="I10" s="56">
        <v>1596</v>
      </c>
      <c r="J10" s="56">
        <v>2081</v>
      </c>
      <c r="K10" s="56">
        <v>2587</v>
      </c>
      <c r="L10" s="56">
        <v>3117</v>
      </c>
      <c r="M10" s="56">
        <v>3648</v>
      </c>
      <c r="N10" s="56">
        <v>2685</v>
      </c>
      <c r="O10" s="56">
        <v>15714</v>
      </c>
      <c r="P10" s="56"/>
      <c r="Q10" s="56"/>
      <c r="R10" s="56"/>
      <c r="S10" s="56"/>
    </row>
    <row r="11" spans="1:19" x14ac:dyDescent="0.25">
      <c r="A11" s="56" t="s">
        <v>1293</v>
      </c>
      <c r="B11" s="56">
        <v>11405</v>
      </c>
      <c r="C11" s="56" t="s">
        <v>210</v>
      </c>
      <c r="D11" s="56">
        <v>0</v>
      </c>
      <c r="E11" s="56">
        <v>0</v>
      </c>
      <c r="F11" s="56">
        <v>235</v>
      </c>
      <c r="G11" s="56">
        <v>317</v>
      </c>
      <c r="H11" s="56">
        <v>304</v>
      </c>
      <c r="I11" s="56">
        <v>314</v>
      </c>
      <c r="J11" s="56">
        <v>324</v>
      </c>
      <c r="K11" s="56">
        <v>335</v>
      </c>
      <c r="L11" s="56">
        <v>346</v>
      </c>
      <c r="M11" s="56">
        <v>359</v>
      </c>
      <c r="N11" s="56">
        <v>856</v>
      </c>
      <c r="O11" s="56">
        <v>2534</v>
      </c>
      <c r="P11" s="56"/>
      <c r="Q11" s="56"/>
      <c r="R11" s="56"/>
      <c r="S11" s="56"/>
    </row>
    <row r="12" spans="1:19" x14ac:dyDescent="0.25">
      <c r="A12" s="56" t="s">
        <v>1295</v>
      </c>
      <c r="B12" s="56">
        <v>11001</v>
      </c>
      <c r="C12" s="56" t="s">
        <v>211</v>
      </c>
      <c r="D12" s="56">
        <v>0</v>
      </c>
      <c r="E12" s="56">
        <v>0</v>
      </c>
      <c r="F12" s="56">
        <v>0</v>
      </c>
      <c r="G12" s="56">
        <v>0</v>
      </c>
      <c r="H12" s="56">
        <v>-3728</v>
      </c>
      <c r="I12" s="56">
        <v>-8317</v>
      </c>
      <c r="J12" s="56">
        <v>-17535</v>
      </c>
      <c r="K12" s="56">
        <v>-21009</v>
      </c>
      <c r="L12" s="56">
        <v>-23416</v>
      </c>
      <c r="M12" s="56">
        <v>-24516</v>
      </c>
      <c r="N12" s="56">
        <v>-3728</v>
      </c>
      <c r="O12" s="56">
        <v>-98521</v>
      </c>
      <c r="P12" s="56"/>
      <c r="Q12" s="56"/>
      <c r="R12" s="56"/>
      <c r="S12" s="56"/>
    </row>
    <row r="13" spans="1:19" x14ac:dyDescent="0.25">
      <c r="A13" s="56">
        <v>0</v>
      </c>
      <c r="B13" s="56">
        <v>11004</v>
      </c>
      <c r="C13" s="56" t="s">
        <v>211</v>
      </c>
      <c r="D13" s="56">
        <v>0</v>
      </c>
      <c r="E13" s="56">
        <v>333</v>
      </c>
      <c r="F13" s="56">
        <v>314</v>
      </c>
      <c r="G13" s="56">
        <v>314</v>
      </c>
      <c r="H13" s="56">
        <v>314</v>
      </c>
      <c r="I13" s="56">
        <v>314</v>
      </c>
      <c r="J13" s="56">
        <v>314</v>
      </c>
      <c r="K13" s="56">
        <v>314</v>
      </c>
      <c r="L13" s="56">
        <v>314</v>
      </c>
      <c r="M13" s="56">
        <v>314</v>
      </c>
      <c r="N13" s="56">
        <v>1275</v>
      </c>
      <c r="O13" s="56">
        <v>2845</v>
      </c>
      <c r="P13" s="56"/>
      <c r="Q13" s="56"/>
      <c r="R13" s="56"/>
      <c r="S13" s="56"/>
    </row>
    <row r="14" spans="1:19" x14ac:dyDescent="0.25">
      <c r="A14" s="56" t="s">
        <v>1291</v>
      </c>
      <c r="B14" s="56">
        <v>11102</v>
      </c>
      <c r="C14" s="56" t="s">
        <v>211</v>
      </c>
      <c r="D14" s="56">
        <v>0</v>
      </c>
      <c r="E14" s="56">
        <v>-719</v>
      </c>
      <c r="F14" s="56">
        <v>-1051</v>
      </c>
      <c r="G14" s="56">
        <v>-18680</v>
      </c>
      <c r="H14" s="56">
        <v>-7174</v>
      </c>
      <c r="I14" s="56">
        <v>-7523</v>
      </c>
      <c r="J14" s="56">
        <v>-7820</v>
      </c>
      <c r="K14" s="56">
        <v>-8529</v>
      </c>
      <c r="L14" s="56">
        <v>-9564</v>
      </c>
      <c r="M14" s="56">
        <v>-10720</v>
      </c>
      <c r="N14" s="56">
        <v>-27624</v>
      </c>
      <c r="O14" s="56">
        <v>-71780</v>
      </c>
      <c r="P14" s="56"/>
      <c r="Q14" s="56"/>
      <c r="R14" s="56"/>
      <c r="S14" s="56"/>
    </row>
    <row r="15" spans="1:19" x14ac:dyDescent="0.25">
      <c r="A15" s="56">
        <v>0</v>
      </c>
      <c r="B15" s="56">
        <v>11102</v>
      </c>
      <c r="C15" s="56" t="s">
        <v>211</v>
      </c>
      <c r="D15" s="56">
        <v>0</v>
      </c>
      <c r="E15" s="56">
        <v>-23</v>
      </c>
      <c r="F15" s="56">
        <v>-60</v>
      </c>
      <c r="G15" s="56">
        <v>-61</v>
      </c>
      <c r="H15" s="56">
        <v>-43</v>
      </c>
      <c r="I15" s="56">
        <v>-30</v>
      </c>
      <c r="J15" s="56">
        <v>-34</v>
      </c>
      <c r="K15" s="56">
        <v>-26</v>
      </c>
      <c r="L15" s="56">
        <v>-3</v>
      </c>
      <c r="M15" s="56">
        <v>7</v>
      </c>
      <c r="N15" s="56">
        <v>-187</v>
      </c>
      <c r="O15" s="56">
        <v>-273</v>
      </c>
      <c r="P15" s="56"/>
      <c r="Q15" s="56"/>
      <c r="R15" s="56"/>
      <c r="S15" s="56"/>
    </row>
    <row r="16" spans="1:19" x14ac:dyDescent="0.25">
      <c r="A16" s="56" t="s">
        <v>1298</v>
      </c>
      <c r="B16" s="56">
        <v>11201</v>
      </c>
      <c r="C16" s="56" t="s">
        <v>211</v>
      </c>
      <c r="D16" s="56">
        <v>0</v>
      </c>
      <c r="E16" s="56">
        <v>48</v>
      </c>
      <c r="F16" s="56">
        <v>2541</v>
      </c>
      <c r="G16" s="56">
        <v>4311</v>
      </c>
      <c r="H16" s="56">
        <v>3827</v>
      </c>
      <c r="I16" s="56">
        <v>4927</v>
      </c>
      <c r="J16" s="56">
        <v>5162</v>
      </c>
      <c r="K16" s="56">
        <v>4780</v>
      </c>
      <c r="L16" s="56">
        <v>2375</v>
      </c>
      <c r="M16" s="56">
        <v>1866</v>
      </c>
      <c r="N16" s="56">
        <v>10727</v>
      </c>
      <c r="O16" s="56">
        <v>29837</v>
      </c>
      <c r="P16" s="56"/>
      <c r="Q16" s="56"/>
      <c r="R16" s="56"/>
      <c r="S16" s="56"/>
    </row>
    <row r="17" spans="1:19" x14ac:dyDescent="0.25">
      <c r="A17" s="56" t="s">
        <v>1383</v>
      </c>
      <c r="B17" s="56">
        <v>11202</v>
      </c>
      <c r="C17" s="56" t="s">
        <v>211</v>
      </c>
      <c r="D17" s="56">
        <v>0</v>
      </c>
      <c r="E17" s="56">
        <v>5</v>
      </c>
      <c r="F17" s="56">
        <v>3</v>
      </c>
      <c r="G17" s="56">
        <v>17</v>
      </c>
      <c r="H17" s="56">
        <v>15</v>
      </c>
      <c r="I17" s="56">
        <v>15</v>
      </c>
      <c r="J17" s="56">
        <v>20</v>
      </c>
      <c r="K17" s="56">
        <v>15</v>
      </c>
      <c r="L17" s="56">
        <v>15</v>
      </c>
      <c r="M17" s="56">
        <v>20</v>
      </c>
      <c r="N17" s="56">
        <v>40</v>
      </c>
      <c r="O17" s="56">
        <v>125</v>
      </c>
      <c r="P17" s="56"/>
      <c r="Q17" s="56"/>
      <c r="R17" s="56"/>
      <c r="S17" s="56"/>
    </row>
    <row r="18" spans="1:19" x14ac:dyDescent="0.25">
      <c r="A18" s="56" t="s">
        <v>1300</v>
      </c>
      <c r="B18" s="56">
        <v>11301</v>
      </c>
      <c r="C18" s="56" t="s">
        <v>211</v>
      </c>
      <c r="D18" s="56">
        <v>0</v>
      </c>
      <c r="E18" s="56">
        <v>0</v>
      </c>
      <c r="F18" s="56">
        <v>0</v>
      </c>
      <c r="G18" s="56">
        <v>0</v>
      </c>
      <c r="H18" s="56">
        <v>0</v>
      </c>
      <c r="I18" s="56">
        <v>-16290</v>
      </c>
      <c r="J18" s="56">
        <v>-25656</v>
      </c>
      <c r="K18" s="56">
        <v>-23394</v>
      </c>
      <c r="L18" s="56">
        <v>-27561</v>
      </c>
      <c r="M18" s="56">
        <v>-29250</v>
      </c>
      <c r="N18" s="56">
        <v>0</v>
      </c>
      <c r="O18" s="56">
        <v>-122151</v>
      </c>
      <c r="P18" s="56"/>
      <c r="Q18" s="56"/>
      <c r="R18" s="56"/>
      <c r="S18" s="56"/>
    </row>
    <row r="19" spans="1:19" x14ac:dyDescent="0.25">
      <c r="A19" s="56" t="s">
        <v>1302</v>
      </c>
      <c r="B19" s="56">
        <v>11401</v>
      </c>
      <c r="C19" s="56" t="s">
        <v>211</v>
      </c>
      <c r="D19" s="56">
        <v>0</v>
      </c>
      <c r="E19" s="56">
        <v>-69</v>
      </c>
      <c r="F19" s="56">
        <v>301</v>
      </c>
      <c r="G19" s="56">
        <v>863</v>
      </c>
      <c r="H19" s="56">
        <v>579</v>
      </c>
      <c r="I19" s="56">
        <v>466</v>
      </c>
      <c r="J19" s="56">
        <v>551</v>
      </c>
      <c r="K19" s="56">
        <v>503</v>
      </c>
      <c r="L19" s="56">
        <v>593</v>
      </c>
      <c r="M19" s="56">
        <v>632</v>
      </c>
      <c r="N19" s="56">
        <v>1674</v>
      </c>
      <c r="O19" s="56">
        <v>4419</v>
      </c>
      <c r="P19" s="56"/>
      <c r="Q19" s="56"/>
      <c r="R19" s="56"/>
      <c r="S19" s="56"/>
    </row>
    <row r="20" spans="1:19" x14ac:dyDescent="0.25">
      <c r="A20" s="56">
        <v>0</v>
      </c>
      <c r="B20" s="56">
        <v>11402</v>
      </c>
      <c r="C20" s="56" t="s">
        <v>211</v>
      </c>
      <c r="D20" s="56">
        <v>0</v>
      </c>
      <c r="E20" s="56">
        <v>-1</v>
      </c>
      <c r="F20" s="56">
        <v>-1</v>
      </c>
      <c r="G20" s="56">
        <v>-1</v>
      </c>
      <c r="H20" s="56">
        <v>-2</v>
      </c>
      <c r="I20" s="56">
        <v>-2</v>
      </c>
      <c r="J20" s="56">
        <v>-2</v>
      </c>
      <c r="K20" s="56">
        <v>-2</v>
      </c>
      <c r="L20" s="56">
        <v>-2</v>
      </c>
      <c r="M20" s="56">
        <v>-2</v>
      </c>
      <c r="N20" s="56">
        <v>-5</v>
      </c>
      <c r="O20" s="56">
        <v>-15</v>
      </c>
      <c r="P20" s="56"/>
      <c r="Q20" s="56"/>
      <c r="R20" s="56"/>
      <c r="S20" s="56"/>
    </row>
    <row r="21" spans="1:19" x14ac:dyDescent="0.25">
      <c r="A21" s="56">
        <v>0</v>
      </c>
      <c r="B21" s="56">
        <v>11403</v>
      </c>
      <c r="C21" s="56" t="s">
        <v>211</v>
      </c>
      <c r="D21" s="56">
        <v>0</v>
      </c>
      <c r="E21" s="56">
        <v>0</v>
      </c>
      <c r="F21" s="56">
        <v>0</v>
      </c>
      <c r="G21" s="56">
        <v>0</v>
      </c>
      <c r="H21" s="56">
        <v>0</v>
      </c>
      <c r="I21" s="56">
        <v>0</v>
      </c>
      <c r="J21" s="56">
        <v>0</v>
      </c>
      <c r="K21" s="56">
        <v>0</v>
      </c>
      <c r="L21" s="56">
        <v>0</v>
      </c>
      <c r="M21" s="56">
        <v>0</v>
      </c>
      <c r="N21" s="56">
        <v>0</v>
      </c>
      <c r="O21" s="56">
        <v>0</v>
      </c>
      <c r="P21" s="56"/>
      <c r="Q21" s="56"/>
      <c r="R21" s="56"/>
      <c r="S21" s="56"/>
    </row>
    <row r="22" spans="1:19" x14ac:dyDescent="0.25">
      <c r="A22" s="56">
        <v>0</v>
      </c>
      <c r="B22" s="56">
        <v>11406</v>
      </c>
      <c r="C22" s="56" t="s">
        <v>211</v>
      </c>
      <c r="D22" s="56">
        <v>0</v>
      </c>
      <c r="E22" s="56">
        <v>1</v>
      </c>
      <c r="F22" s="56">
        <v>501</v>
      </c>
      <c r="G22" s="56">
        <v>506</v>
      </c>
      <c r="H22" s="56">
        <v>561</v>
      </c>
      <c r="I22" s="56">
        <v>628</v>
      </c>
      <c r="J22" s="56">
        <v>681</v>
      </c>
      <c r="K22" s="56">
        <v>608</v>
      </c>
      <c r="L22" s="56">
        <v>659</v>
      </c>
      <c r="M22" s="56">
        <v>684</v>
      </c>
      <c r="N22" s="56">
        <v>1569</v>
      </c>
      <c r="O22" s="56">
        <v>4829</v>
      </c>
      <c r="P22" s="56"/>
      <c r="Q22" s="56"/>
      <c r="R22" s="56"/>
      <c r="S22" s="56"/>
    </row>
    <row r="23" spans="1:19" x14ac:dyDescent="0.25">
      <c r="A23" s="56">
        <v>0</v>
      </c>
      <c r="B23" s="56">
        <v>11407</v>
      </c>
      <c r="C23" s="56" t="s">
        <v>211</v>
      </c>
      <c r="D23" s="56">
        <v>0</v>
      </c>
      <c r="E23" s="56">
        <v>10</v>
      </c>
      <c r="F23" s="56">
        <v>25</v>
      </c>
      <c r="G23" s="56">
        <v>28</v>
      </c>
      <c r="H23" s="56">
        <v>29</v>
      </c>
      <c r="I23" s="56">
        <v>31</v>
      </c>
      <c r="J23" s="56">
        <v>33</v>
      </c>
      <c r="K23" s="56">
        <v>33</v>
      </c>
      <c r="L23" s="56">
        <v>35</v>
      </c>
      <c r="M23" s="56">
        <v>37</v>
      </c>
      <c r="N23" s="56">
        <v>92</v>
      </c>
      <c r="O23" s="56">
        <v>261</v>
      </c>
      <c r="P23" s="56"/>
      <c r="Q23" s="56"/>
      <c r="R23" s="56"/>
      <c r="S23" s="56"/>
    </row>
    <row r="24" spans="1:19" x14ac:dyDescent="0.25">
      <c r="A24" s="56">
        <v>0</v>
      </c>
      <c r="B24" s="56">
        <v>11408</v>
      </c>
      <c r="C24" s="56" t="s">
        <v>211</v>
      </c>
      <c r="D24" s="56">
        <v>0</v>
      </c>
      <c r="E24" s="56">
        <v>0</v>
      </c>
      <c r="F24" s="56">
        <v>0</v>
      </c>
      <c r="G24" s="56">
        <v>0</v>
      </c>
      <c r="H24" s="56">
        <v>0</v>
      </c>
      <c r="I24" s="56">
        <v>0</v>
      </c>
      <c r="J24" s="56">
        <v>0</v>
      </c>
      <c r="K24" s="56">
        <v>0</v>
      </c>
      <c r="L24" s="56">
        <v>0</v>
      </c>
      <c r="M24" s="56">
        <v>0</v>
      </c>
      <c r="N24" s="56">
        <v>0</v>
      </c>
      <c r="O24" s="56">
        <v>0</v>
      </c>
      <c r="P24" s="56"/>
      <c r="Q24" s="56"/>
      <c r="R24" s="56"/>
      <c r="S24" s="56"/>
    </row>
    <row r="25" spans="1:19" x14ac:dyDescent="0.25">
      <c r="A25" s="56" t="s">
        <v>1304</v>
      </c>
      <c r="B25" s="56">
        <v>11404</v>
      </c>
      <c r="C25" s="56" t="s">
        <v>211</v>
      </c>
      <c r="D25" s="56">
        <v>0</v>
      </c>
      <c r="E25" s="56">
        <v>0</v>
      </c>
      <c r="F25" s="56">
        <v>195</v>
      </c>
      <c r="G25" s="56">
        <v>230</v>
      </c>
      <c r="H25" s="56">
        <v>248</v>
      </c>
      <c r="I25" s="56">
        <v>266</v>
      </c>
      <c r="J25" s="56">
        <v>311</v>
      </c>
      <c r="K25" s="56">
        <v>281</v>
      </c>
      <c r="L25" s="56">
        <v>327</v>
      </c>
      <c r="M25" s="56">
        <v>347</v>
      </c>
      <c r="N25" s="56">
        <v>673</v>
      </c>
      <c r="O25" s="56">
        <v>2205</v>
      </c>
      <c r="P25" s="56"/>
      <c r="Q25" s="56"/>
      <c r="R25" s="56"/>
      <c r="S25" s="56"/>
    </row>
    <row r="26" spans="1:19" x14ac:dyDescent="0.25">
      <c r="A26" s="56" t="s">
        <v>1316</v>
      </c>
      <c r="B26" s="56">
        <v>12001</v>
      </c>
      <c r="C26" s="56" t="s">
        <v>1384</v>
      </c>
      <c r="D26" s="56">
        <v>0</v>
      </c>
      <c r="E26" s="56">
        <v>20892</v>
      </c>
      <c r="F26" s="56">
        <v>11288</v>
      </c>
      <c r="G26" s="56">
        <v>9651</v>
      </c>
      <c r="H26" s="56">
        <v>-8548</v>
      </c>
      <c r="I26" s="56">
        <v>-463</v>
      </c>
      <c r="J26" s="56">
        <v>0</v>
      </c>
      <c r="K26" s="56">
        <v>0</v>
      </c>
      <c r="L26" s="56">
        <v>0</v>
      </c>
      <c r="M26" s="56">
        <v>0</v>
      </c>
      <c r="N26" s="56">
        <v>33283</v>
      </c>
      <c r="O26" s="56">
        <v>32820</v>
      </c>
      <c r="P26" s="56"/>
      <c r="Q26" s="56"/>
      <c r="R26" s="56"/>
      <c r="S26" s="56"/>
    </row>
    <row r="27" spans="1:19" x14ac:dyDescent="0.25">
      <c r="A27" s="56" t="s">
        <v>1318</v>
      </c>
      <c r="B27" s="56">
        <v>22003</v>
      </c>
      <c r="C27" s="56" t="s">
        <v>1384</v>
      </c>
      <c r="D27" s="56">
        <v>0</v>
      </c>
      <c r="E27" s="56">
        <v>24</v>
      </c>
      <c r="F27" s="56">
        <v>65</v>
      </c>
      <c r="G27" s="56">
        <v>112</v>
      </c>
      <c r="H27" s="56">
        <v>130</v>
      </c>
      <c r="I27" s="56">
        <v>98</v>
      </c>
      <c r="J27" s="56">
        <v>56</v>
      </c>
      <c r="K27" s="56">
        <v>15</v>
      </c>
      <c r="L27" s="56">
        <v>0</v>
      </c>
      <c r="M27" s="56">
        <v>0</v>
      </c>
      <c r="N27" s="56">
        <v>331</v>
      </c>
      <c r="O27" s="56">
        <v>500</v>
      </c>
      <c r="P27" s="56"/>
      <c r="Q27" s="56"/>
      <c r="R27" s="56"/>
      <c r="S27" s="56"/>
    </row>
    <row r="28" spans="1:19" x14ac:dyDescent="0.25">
      <c r="A28" s="56" t="s">
        <v>1320</v>
      </c>
      <c r="B28" s="56">
        <v>22004</v>
      </c>
      <c r="C28" s="56" t="s">
        <v>1384</v>
      </c>
      <c r="D28" s="56">
        <v>0</v>
      </c>
      <c r="E28" s="56">
        <v>50</v>
      </c>
      <c r="F28" s="56">
        <v>500</v>
      </c>
      <c r="G28" s="56">
        <v>920</v>
      </c>
      <c r="H28" s="56">
        <v>1310</v>
      </c>
      <c r="I28" s="56">
        <v>1680</v>
      </c>
      <c r="J28" s="56">
        <v>1780</v>
      </c>
      <c r="K28" s="56">
        <v>1640</v>
      </c>
      <c r="L28" s="56">
        <v>1090</v>
      </c>
      <c r="M28" s="56">
        <v>630</v>
      </c>
      <c r="N28" s="56">
        <v>2780</v>
      </c>
      <c r="O28" s="56">
        <v>9600</v>
      </c>
      <c r="P28" s="56"/>
      <c r="Q28" s="56"/>
      <c r="R28" s="56"/>
      <c r="S28" s="56"/>
    </row>
    <row r="29" spans="1:19" ht="45" customHeight="1" x14ac:dyDescent="0.25">
      <c r="A29" s="14" t="s">
        <v>1385</v>
      </c>
      <c r="B29" s="56">
        <v>22007</v>
      </c>
      <c r="C29" s="56" t="s">
        <v>1384</v>
      </c>
      <c r="D29" s="56">
        <v>-622</v>
      </c>
      <c r="E29" s="56">
        <v>80</v>
      </c>
      <c r="F29" s="56">
        <v>248</v>
      </c>
      <c r="G29" s="56">
        <v>266</v>
      </c>
      <c r="H29" s="56">
        <v>363</v>
      </c>
      <c r="I29" s="56">
        <v>464</v>
      </c>
      <c r="J29" s="56">
        <v>451</v>
      </c>
      <c r="K29" s="56">
        <v>336</v>
      </c>
      <c r="L29" s="56">
        <v>226</v>
      </c>
      <c r="M29" s="56">
        <v>117</v>
      </c>
      <c r="N29" s="56">
        <v>335</v>
      </c>
      <c r="O29" s="56">
        <v>1929</v>
      </c>
      <c r="P29" s="56"/>
      <c r="Q29" s="56"/>
      <c r="R29" s="56"/>
      <c r="S29" s="56"/>
    </row>
    <row r="30" spans="1:19" x14ac:dyDescent="0.25">
      <c r="A30" s="56" t="s">
        <v>1322</v>
      </c>
      <c r="B30" s="56">
        <v>23002</v>
      </c>
      <c r="C30" s="56" t="s">
        <v>1384</v>
      </c>
      <c r="D30" s="56">
        <v>0</v>
      </c>
      <c r="E30" s="56">
        <v>30</v>
      </c>
      <c r="F30" s="56">
        <v>90</v>
      </c>
      <c r="G30" s="56">
        <v>90</v>
      </c>
      <c r="H30" s="56">
        <v>85</v>
      </c>
      <c r="I30" s="56">
        <v>70</v>
      </c>
      <c r="J30" s="56">
        <v>65</v>
      </c>
      <c r="K30" s="56">
        <v>65</v>
      </c>
      <c r="L30" s="56">
        <v>35</v>
      </c>
      <c r="M30" s="56">
        <v>15</v>
      </c>
      <c r="N30" s="56">
        <v>295</v>
      </c>
      <c r="O30" s="56">
        <v>545</v>
      </c>
      <c r="P30" s="56"/>
      <c r="Q30" s="56"/>
      <c r="R30" s="56"/>
      <c r="S30" s="56"/>
    </row>
    <row r="31" spans="1:19" x14ac:dyDescent="0.25">
      <c r="A31" s="56" t="s">
        <v>1313</v>
      </c>
      <c r="B31" s="56">
        <v>30002</v>
      </c>
      <c r="C31" s="56" t="s">
        <v>1384</v>
      </c>
      <c r="D31" s="56">
        <v>0</v>
      </c>
      <c r="E31" s="56">
        <v>20</v>
      </c>
      <c r="F31" s="56">
        <v>65</v>
      </c>
      <c r="G31" s="56">
        <v>110</v>
      </c>
      <c r="H31" s="56">
        <v>135</v>
      </c>
      <c r="I31" s="56">
        <v>180</v>
      </c>
      <c r="J31" s="56">
        <v>230</v>
      </c>
      <c r="K31" s="56">
        <v>180</v>
      </c>
      <c r="L31" s="56">
        <v>60</v>
      </c>
      <c r="M31" s="56">
        <v>10</v>
      </c>
      <c r="N31" s="56">
        <v>330</v>
      </c>
      <c r="O31" s="56">
        <v>990</v>
      </c>
      <c r="P31" s="56"/>
      <c r="Q31" s="56"/>
      <c r="R31" s="56"/>
      <c r="S31" s="56"/>
    </row>
    <row r="32" spans="1:19" x14ac:dyDescent="0.25">
      <c r="A32" s="56" t="s">
        <v>1386</v>
      </c>
      <c r="B32" s="56">
        <v>13104</v>
      </c>
      <c r="C32" s="56" t="s">
        <v>1387</v>
      </c>
      <c r="D32" s="56">
        <v>0</v>
      </c>
      <c r="E32" s="56">
        <v>20</v>
      </c>
      <c r="F32" s="56">
        <v>145</v>
      </c>
      <c r="G32" s="56">
        <v>225</v>
      </c>
      <c r="H32" s="56">
        <v>238</v>
      </c>
      <c r="I32" s="56">
        <v>222</v>
      </c>
      <c r="J32" s="56">
        <v>206</v>
      </c>
      <c r="K32" s="56">
        <v>186</v>
      </c>
      <c r="L32" s="56">
        <v>165</v>
      </c>
      <c r="M32" s="56">
        <v>142</v>
      </c>
      <c r="N32" s="56">
        <v>628</v>
      </c>
      <c r="O32" s="56">
        <v>1550</v>
      </c>
      <c r="P32" s="56"/>
      <c r="Q32" s="56"/>
      <c r="R32" s="56"/>
      <c r="S32" s="56"/>
    </row>
    <row r="33" spans="1:19" x14ac:dyDescent="0.25">
      <c r="A33" s="56" t="s">
        <v>1388</v>
      </c>
      <c r="B33" s="56">
        <v>13105</v>
      </c>
      <c r="C33" s="56" t="s">
        <v>1387</v>
      </c>
      <c r="D33" s="56">
        <v>0</v>
      </c>
      <c r="E33" s="56">
        <v>0</v>
      </c>
      <c r="F33" s="56">
        <v>1050</v>
      </c>
      <c r="G33" s="56">
        <v>1692</v>
      </c>
      <c r="H33" s="56">
        <v>1781</v>
      </c>
      <c r="I33" s="56">
        <v>1842</v>
      </c>
      <c r="J33" s="56">
        <v>1901</v>
      </c>
      <c r="K33" s="56">
        <v>1944</v>
      </c>
      <c r="L33" s="56">
        <v>2054</v>
      </c>
      <c r="M33" s="56">
        <v>2137</v>
      </c>
      <c r="N33" s="56">
        <v>4522</v>
      </c>
      <c r="O33" s="56">
        <v>14401</v>
      </c>
      <c r="P33" s="56"/>
      <c r="Q33" s="56"/>
      <c r="R33" s="56"/>
      <c r="S33" s="56"/>
    </row>
    <row r="34" spans="1:19" x14ac:dyDescent="0.25">
      <c r="A34" s="56" t="s">
        <v>1350</v>
      </c>
      <c r="B34" s="56">
        <v>13204</v>
      </c>
      <c r="C34" s="56" t="s">
        <v>1387</v>
      </c>
      <c r="D34" s="56">
        <v>0</v>
      </c>
      <c r="E34" s="56">
        <v>59</v>
      </c>
      <c r="F34" s="56">
        <v>149</v>
      </c>
      <c r="G34" s="56">
        <v>244</v>
      </c>
      <c r="H34" s="56">
        <v>364</v>
      </c>
      <c r="I34" s="56">
        <v>498</v>
      </c>
      <c r="J34" s="56">
        <v>657</v>
      </c>
      <c r="K34" s="56">
        <v>851</v>
      </c>
      <c r="L34" s="56">
        <v>1086</v>
      </c>
      <c r="M34" s="56">
        <v>1410</v>
      </c>
      <c r="N34" s="56">
        <v>815</v>
      </c>
      <c r="O34" s="56">
        <v>5317</v>
      </c>
      <c r="P34" s="56"/>
      <c r="Q34" s="56"/>
      <c r="R34" s="56"/>
      <c r="S34" s="56"/>
    </row>
    <row r="35" spans="1:19" x14ac:dyDescent="0.25">
      <c r="A35" s="56" t="s">
        <v>1389</v>
      </c>
      <c r="B35" s="56">
        <v>13502</v>
      </c>
      <c r="C35" s="56" t="s">
        <v>1387</v>
      </c>
      <c r="D35" s="56">
        <v>0</v>
      </c>
      <c r="E35" s="56">
        <v>842</v>
      </c>
      <c r="F35" s="56">
        <v>1201</v>
      </c>
      <c r="G35" s="56">
        <v>1291</v>
      </c>
      <c r="H35" s="56">
        <v>1519</v>
      </c>
      <c r="I35" s="56">
        <v>1710</v>
      </c>
      <c r="J35" s="56">
        <v>1890</v>
      </c>
      <c r="K35" s="56">
        <v>2176</v>
      </c>
      <c r="L35" s="56">
        <v>2189</v>
      </c>
      <c r="M35" s="56">
        <v>1882</v>
      </c>
      <c r="N35" s="56">
        <v>4853</v>
      </c>
      <c r="O35" s="56">
        <v>14699</v>
      </c>
      <c r="P35" s="56"/>
      <c r="Q35" s="56"/>
      <c r="R35" s="56"/>
      <c r="S35" s="56"/>
    </row>
    <row r="36" spans="1:19" x14ac:dyDescent="0.25">
      <c r="A36" s="56" t="s">
        <v>1390</v>
      </c>
      <c r="B36" s="56">
        <v>13701</v>
      </c>
      <c r="C36" s="56" t="s">
        <v>1387</v>
      </c>
      <c r="D36" s="56">
        <v>0</v>
      </c>
      <c r="E36" s="56">
        <v>1</v>
      </c>
      <c r="F36" s="56">
        <v>1</v>
      </c>
      <c r="G36" s="56">
        <v>2</v>
      </c>
      <c r="H36" s="56">
        <v>2</v>
      </c>
      <c r="I36" s="56">
        <v>3</v>
      </c>
      <c r="J36" s="56">
        <v>3</v>
      </c>
      <c r="K36" s="56">
        <v>4</v>
      </c>
      <c r="L36" s="56">
        <v>5</v>
      </c>
      <c r="M36" s="56">
        <v>6</v>
      </c>
      <c r="N36" s="56">
        <v>6</v>
      </c>
      <c r="O36" s="56">
        <v>26</v>
      </c>
      <c r="P36" s="56"/>
      <c r="Q36" s="56"/>
      <c r="R36" s="56"/>
      <c r="S36" s="56"/>
    </row>
    <row r="37" spans="1:19" x14ac:dyDescent="0.25">
      <c r="A37" s="56" t="s">
        <v>1332</v>
      </c>
      <c r="B37" s="56">
        <v>21001</v>
      </c>
      <c r="C37" s="56" t="s">
        <v>1387</v>
      </c>
      <c r="D37" s="56">
        <v>0</v>
      </c>
      <c r="E37" s="56">
        <v>178</v>
      </c>
      <c r="F37" s="56">
        <v>716</v>
      </c>
      <c r="G37" s="56">
        <v>1268</v>
      </c>
      <c r="H37" s="56">
        <v>2150</v>
      </c>
      <c r="I37" s="56">
        <v>3000</v>
      </c>
      <c r="J37" s="56">
        <v>2906</v>
      </c>
      <c r="K37" s="56">
        <v>2533</v>
      </c>
      <c r="L37" s="56">
        <v>1750</v>
      </c>
      <c r="M37" s="56">
        <v>807</v>
      </c>
      <c r="N37" s="56">
        <v>4312</v>
      </c>
      <c r="O37" s="56">
        <v>15308</v>
      </c>
      <c r="P37" s="56"/>
      <c r="Q37" s="56"/>
      <c r="R37" s="56"/>
      <c r="S37" s="56"/>
    </row>
    <row r="38" spans="1:19" x14ac:dyDescent="0.25">
      <c r="A38" s="56">
        <v>0</v>
      </c>
      <c r="B38" s="56">
        <v>21002</v>
      </c>
      <c r="C38" s="56" t="s">
        <v>1387</v>
      </c>
      <c r="D38" s="56">
        <v>0</v>
      </c>
      <c r="E38" s="56">
        <v>86</v>
      </c>
      <c r="F38" s="56">
        <v>95</v>
      </c>
      <c r="G38" s="56">
        <v>125</v>
      </c>
      <c r="H38" s="56">
        <v>225</v>
      </c>
      <c r="I38" s="56">
        <v>225</v>
      </c>
      <c r="J38" s="56">
        <v>245</v>
      </c>
      <c r="K38" s="56">
        <v>240</v>
      </c>
      <c r="L38" s="56">
        <v>109</v>
      </c>
      <c r="M38" s="56">
        <v>50</v>
      </c>
      <c r="N38" s="56">
        <v>531</v>
      </c>
      <c r="O38" s="56">
        <v>1400</v>
      </c>
      <c r="P38" s="56"/>
      <c r="Q38" s="56"/>
      <c r="R38" s="56"/>
      <c r="S38" s="56"/>
    </row>
    <row r="39" spans="1:19" x14ac:dyDescent="0.25">
      <c r="A39" s="56" t="s">
        <v>1344</v>
      </c>
      <c r="B39" s="56">
        <v>22002</v>
      </c>
      <c r="C39" s="56" t="s">
        <v>1387</v>
      </c>
      <c r="D39" s="56">
        <v>0</v>
      </c>
      <c r="E39" s="56">
        <v>5</v>
      </c>
      <c r="F39" s="56">
        <v>41</v>
      </c>
      <c r="G39" s="56">
        <v>116</v>
      </c>
      <c r="H39" s="56">
        <v>284</v>
      </c>
      <c r="I39" s="56">
        <v>417</v>
      </c>
      <c r="J39" s="56">
        <v>459</v>
      </c>
      <c r="K39" s="56">
        <v>355</v>
      </c>
      <c r="L39" s="56">
        <v>210</v>
      </c>
      <c r="M39" s="56">
        <v>90</v>
      </c>
      <c r="N39" s="56">
        <v>446</v>
      </c>
      <c r="O39" s="56">
        <v>1977</v>
      </c>
      <c r="P39" s="56"/>
      <c r="Q39" s="56"/>
      <c r="R39" s="56"/>
      <c r="S39" s="56"/>
    </row>
    <row r="40" spans="1:19" x14ac:dyDescent="0.25">
      <c r="A40" s="56" t="s">
        <v>1360</v>
      </c>
      <c r="B40" s="56">
        <v>30001</v>
      </c>
      <c r="C40" s="56" t="s">
        <v>1387</v>
      </c>
      <c r="D40" s="56">
        <v>0</v>
      </c>
      <c r="E40" s="56">
        <v>25</v>
      </c>
      <c r="F40" s="56">
        <v>100</v>
      </c>
      <c r="G40" s="56">
        <v>125</v>
      </c>
      <c r="H40" s="56">
        <v>100</v>
      </c>
      <c r="I40" s="56">
        <v>75</v>
      </c>
      <c r="J40" s="56">
        <v>30</v>
      </c>
      <c r="K40" s="56">
        <v>20</v>
      </c>
      <c r="L40" s="56">
        <v>0</v>
      </c>
      <c r="M40" s="56">
        <v>0</v>
      </c>
      <c r="N40" s="56">
        <v>350</v>
      </c>
      <c r="O40" s="56">
        <v>475</v>
      </c>
      <c r="P40" s="56"/>
      <c r="Q40" s="56"/>
      <c r="R40" s="56"/>
      <c r="S40" s="56"/>
    </row>
    <row r="42" spans="1:19" x14ac:dyDescent="0.25">
      <c r="C42" s="1412" t="s">
        <v>1391</v>
      </c>
      <c r="D42" s="1412"/>
      <c r="E42" s="1412"/>
      <c r="F42" s="1412"/>
      <c r="G42" s="1412"/>
      <c r="H42" s="1412"/>
      <c r="I42" s="1412"/>
      <c r="J42" s="1412"/>
      <c r="K42" s="1412"/>
      <c r="L42" s="1412"/>
      <c r="M42" s="1412"/>
      <c r="N42" s="1412"/>
      <c r="O42" s="1412"/>
      <c r="P42" s="1098"/>
      <c r="Q42" s="1098"/>
      <c r="R42" s="1098"/>
      <c r="S42" s="1098"/>
    </row>
    <row r="43" spans="1:19" x14ac:dyDescent="0.25">
      <c r="A43" s="56" t="s">
        <v>1392</v>
      </c>
      <c r="B43" s="56">
        <v>10101</v>
      </c>
      <c r="C43" s="56" t="s">
        <v>1393</v>
      </c>
      <c r="D43" s="56">
        <v>0</v>
      </c>
      <c r="E43" s="56">
        <v>34679</v>
      </c>
      <c r="F43" s="56">
        <v>34258</v>
      </c>
      <c r="G43" s="56">
        <v>22039</v>
      </c>
      <c r="H43" s="56">
        <v>17702</v>
      </c>
      <c r="I43" s="56">
        <v>18699</v>
      </c>
      <c r="J43" s="56">
        <v>20798</v>
      </c>
      <c r="K43" s="56">
        <v>22756</v>
      </c>
      <c r="L43" s="56">
        <v>24658</v>
      </c>
      <c r="M43" s="56">
        <v>26659</v>
      </c>
      <c r="N43" s="56">
        <v>108678</v>
      </c>
      <c r="O43" s="56">
        <v>222248</v>
      </c>
      <c r="P43" s="56"/>
      <c r="Q43" s="56"/>
      <c r="R43" s="56"/>
      <c r="S43" s="56"/>
    </row>
    <row r="44" spans="1:19" x14ac:dyDescent="0.25">
      <c r="A44" s="56" t="s">
        <v>1394</v>
      </c>
      <c r="B44" s="56" t="s">
        <v>1395</v>
      </c>
      <c r="C44" s="56" t="s">
        <v>1393</v>
      </c>
      <c r="D44" s="56">
        <v>0</v>
      </c>
      <c r="E44" s="56">
        <v>113</v>
      </c>
      <c r="F44" s="56">
        <v>314</v>
      </c>
      <c r="G44" s="56">
        <v>470</v>
      </c>
      <c r="H44" s="56">
        <v>642</v>
      </c>
      <c r="I44" s="56">
        <v>812</v>
      </c>
      <c r="J44" s="56">
        <v>973</v>
      </c>
      <c r="K44" s="56">
        <v>1100</v>
      </c>
      <c r="L44" s="56">
        <v>1181</v>
      </c>
      <c r="M44" s="56">
        <v>1245</v>
      </c>
      <c r="N44" s="56">
        <v>1539</v>
      </c>
      <c r="O44" s="56">
        <v>6850</v>
      </c>
      <c r="P44" s="56"/>
      <c r="Q44" s="56"/>
      <c r="R44" s="56"/>
      <c r="S44" s="56"/>
    </row>
    <row r="45" spans="1:19" x14ac:dyDescent="0.25">
      <c r="A45" s="56" t="s">
        <v>1396</v>
      </c>
      <c r="B45" s="56">
        <v>13101</v>
      </c>
      <c r="C45" s="56" t="s">
        <v>1393</v>
      </c>
      <c r="D45" s="56">
        <v>0</v>
      </c>
      <c r="E45" s="56">
        <v>-1562</v>
      </c>
      <c r="F45" s="56">
        <v>-2183</v>
      </c>
      <c r="G45" s="56">
        <v>-3317</v>
      </c>
      <c r="H45" s="56">
        <v>-4822</v>
      </c>
      <c r="I45" s="56">
        <v>-6428</v>
      </c>
      <c r="J45" s="56">
        <v>-7677</v>
      </c>
      <c r="K45" s="56">
        <v>-8232</v>
      </c>
      <c r="L45" s="56">
        <v>-8329</v>
      </c>
      <c r="M45" s="56">
        <v>-8511</v>
      </c>
      <c r="N45" s="56">
        <v>-11885</v>
      </c>
      <c r="O45" s="56">
        <v>-51062</v>
      </c>
      <c r="P45" s="56"/>
      <c r="Q45" s="56"/>
      <c r="R45" s="56"/>
      <c r="S45" s="56"/>
    </row>
    <row r="46" spans="1:19" x14ac:dyDescent="0.25">
      <c r="A46" s="56" t="s">
        <v>1397</v>
      </c>
      <c r="B46" s="56">
        <v>13102</v>
      </c>
      <c r="C46" s="56" t="s">
        <v>1393</v>
      </c>
      <c r="D46" s="56">
        <v>0</v>
      </c>
      <c r="E46" s="56">
        <v>-2140</v>
      </c>
      <c r="F46" s="56">
        <v>-1559</v>
      </c>
      <c r="G46" s="56">
        <v>-2458</v>
      </c>
      <c r="H46" s="56">
        <v>-5367</v>
      </c>
      <c r="I46" s="56">
        <v>-2359</v>
      </c>
      <c r="J46" s="56">
        <v>-48</v>
      </c>
      <c r="K46" s="56">
        <v>-38</v>
      </c>
      <c r="L46" s="56">
        <v>-9</v>
      </c>
      <c r="M46" s="56">
        <v>15</v>
      </c>
      <c r="N46" s="56">
        <v>-11523</v>
      </c>
      <c r="O46" s="56">
        <v>-13962</v>
      </c>
      <c r="P46" s="56"/>
      <c r="Q46" s="56"/>
      <c r="R46" s="56"/>
      <c r="S46" s="56"/>
    </row>
    <row r="47" spans="1:19" x14ac:dyDescent="0.25">
      <c r="A47" s="56" t="s">
        <v>1398</v>
      </c>
      <c r="B47" s="56">
        <v>13104</v>
      </c>
      <c r="C47" s="56" t="s">
        <v>1393</v>
      </c>
      <c r="D47" s="56">
        <v>0</v>
      </c>
      <c r="E47" s="56">
        <v>-22</v>
      </c>
      <c r="F47" s="56">
        <v>-158</v>
      </c>
      <c r="G47" s="56">
        <v>-244</v>
      </c>
      <c r="H47" s="56">
        <v>-257</v>
      </c>
      <c r="I47" s="56">
        <v>-241</v>
      </c>
      <c r="J47" s="56">
        <v>-223</v>
      </c>
      <c r="K47" s="56">
        <v>-202</v>
      </c>
      <c r="L47" s="56">
        <v>-178</v>
      </c>
      <c r="M47" s="56">
        <v>-154</v>
      </c>
      <c r="N47" s="56">
        <v>-681</v>
      </c>
      <c r="O47" s="56">
        <v>-1679</v>
      </c>
      <c r="P47" s="56"/>
      <c r="Q47" s="56"/>
      <c r="R47" s="56"/>
      <c r="S47" s="56"/>
    </row>
    <row r="48" spans="1:19" x14ac:dyDescent="0.25">
      <c r="A48" s="56" t="s">
        <v>1399</v>
      </c>
      <c r="B48" s="56">
        <v>13105</v>
      </c>
      <c r="C48" s="56" t="s">
        <v>1393</v>
      </c>
      <c r="D48" s="56">
        <v>0</v>
      </c>
      <c r="E48" s="56">
        <v>0</v>
      </c>
      <c r="F48" s="56">
        <v>-1138</v>
      </c>
      <c r="G48" s="56">
        <v>-1832</v>
      </c>
      <c r="H48" s="56">
        <v>-1929</v>
      </c>
      <c r="I48" s="56">
        <v>-1996</v>
      </c>
      <c r="J48" s="56">
        <v>-2059</v>
      </c>
      <c r="K48" s="56">
        <v>-2106</v>
      </c>
      <c r="L48" s="56">
        <v>-2225</v>
      </c>
      <c r="M48" s="56">
        <v>-2315</v>
      </c>
      <c r="N48" s="56">
        <v>-4899</v>
      </c>
      <c r="O48" s="56">
        <v>-15600</v>
      </c>
      <c r="P48" s="56"/>
      <c r="Q48" s="56"/>
      <c r="R48" s="56"/>
      <c r="S48" s="56"/>
    </row>
    <row r="49" spans="1:19" x14ac:dyDescent="0.25">
      <c r="A49" s="56" t="s">
        <v>1400</v>
      </c>
      <c r="B49" s="56">
        <v>13303</v>
      </c>
      <c r="C49" s="56" t="s">
        <v>1393</v>
      </c>
      <c r="D49" s="56">
        <v>0</v>
      </c>
      <c r="E49" s="56">
        <v>-62</v>
      </c>
      <c r="F49" s="56">
        <v>-50</v>
      </c>
      <c r="G49" s="56">
        <v>-46</v>
      </c>
      <c r="H49" s="56">
        <v>-42</v>
      </c>
      <c r="I49" s="56">
        <v>-38</v>
      </c>
      <c r="J49" s="56">
        <v>-35</v>
      </c>
      <c r="K49" s="56">
        <v>-32</v>
      </c>
      <c r="L49" s="56">
        <v>-30</v>
      </c>
      <c r="M49" s="56">
        <v>-28</v>
      </c>
      <c r="N49" s="56">
        <v>-200</v>
      </c>
      <c r="O49" s="56">
        <v>-362</v>
      </c>
      <c r="P49" s="56"/>
      <c r="Q49" s="56"/>
      <c r="R49" s="56"/>
      <c r="S49" s="56"/>
    </row>
    <row r="50" spans="1:19" x14ac:dyDescent="0.25">
      <c r="A50" s="56" t="s">
        <v>1401</v>
      </c>
      <c r="B50" s="56" t="s">
        <v>1402</v>
      </c>
      <c r="C50" s="56" t="s">
        <v>1393</v>
      </c>
      <c r="D50" s="56">
        <v>0</v>
      </c>
      <c r="E50" s="56">
        <v>-2376</v>
      </c>
      <c r="F50" s="56">
        <v>-2679</v>
      </c>
      <c r="G50" s="56">
        <v>-2315</v>
      </c>
      <c r="H50" s="56">
        <v>-2572</v>
      </c>
      <c r="I50" s="56">
        <v>-2467</v>
      </c>
      <c r="J50" s="56">
        <v>-2490</v>
      </c>
      <c r="K50" s="56">
        <v>-2638</v>
      </c>
      <c r="L50" s="56">
        <v>-2569</v>
      </c>
      <c r="M50" s="56">
        <v>-2081</v>
      </c>
      <c r="N50" s="56">
        <v>-9943</v>
      </c>
      <c r="O50" s="56">
        <v>-22188</v>
      </c>
      <c r="P50" s="56"/>
      <c r="Q50" s="56"/>
      <c r="R50" s="56"/>
      <c r="S50" s="56"/>
    </row>
    <row r="51" spans="1:19" x14ac:dyDescent="0.25">
      <c r="A51" s="56" t="s">
        <v>1403</v>
      </c>
      <c r="B51" s="56">
        <v>13601</v>
      </c>
      <c r="C51" s="56" t="s">
        <v>1393</v>
      </c>
      <c r="D51" s="56">
        <v>0</v>
      </c>
      <c r="E51" s="56">
        <v>902</v>
      </c>
      <c r="F51" s="56">
        <v>1230</v>
      </c>
      <c r="G51" s="56">
        <v>1271</v>
      </c>
      <c r="H51" s="56">
        <v>1304</v>
      </c>
      <c r="I51" s="56">
        <v>1336</v>
      </c>
      <c r="J51" s="56">
        <v>1368</v>
      </c>
      <c r="K51" s="56">
        <v>1402</v>
      </c>
      <c r="L51" s="56">
        <v>1436</v>
      </c>
      <c r="M51" s="56">
        <v>1470</v>
      </c>
      <c r="N51" s="56">
        <v>4707</v>
      </c>
      <c r="O51" s="56">
        <v>11719</v>
      </c>
      <c r="P51" s="56"/>
      <c r="Q51" s="56"/>
      <c r="R51" s="56"/>
      <c r="S51" s="56"/>
    </row>
    <row r="52" spans="1:19" x14ac:dyDescent="0.25">
      <c r="A52" s="56" t="s">
        <v>1404</v>
      </c>
      <c r="B52" s="56" t="s">
        <v>1405</v>
      </c>
      <c r="C52" s="56" t="s">
        <v>1393</v>
      </c>
      <c r="D52" s="56">
        <v>0</v>
      </c>
      <c r="E52" s="56">
        <v>1</v>
      </c>
      <c r="F52" s="56">
        <v>1</v>
      </c>
      <c r="G52" s="56">
        <v>-678</v>
      </c>
      <c r="H52" s="56">
        <v>-858</v>
      </c>
      <c r="I52" s="56">
        <v>-7820</v>
      </c>
      <c r="J52" s="56">
        <v>-11303</v>
      </c>
      <c r="K52" s="56">
        <v>-12736</v>
      </c>
      <c r="L52" s="56">
        <v>-14927</v>
      </c>
      <c r="M52" s="56">
        <v>-17285</v>
      </c>
      <c r="N52" s="56">
        <v>-1535</v>
      </c>
      <c r="O52" s="56">
        <v>-65606</v>
      </c>
      <c r="P52" s="56"/>
      <c r="Q52" s="56"/>
      <c r="R52" s="56"/>
      <c r="S52" s="56"/>
    </row>
    <row r="53" spans="1:19" x14ac:dyDescent="0.25">
      <c r="A53" s="56" t="s">
        <v>1406</v>
      </c>
      <c r="B53" s="56">
        <v>13901</v>
      </c>
      <c r="C53" s="56" t="s">
        <v>1393</v>
      </c>
      <c r="D53" s="56">
        <v>0</v>
      </c>
      <c r="E53" s="56">
        <v>103</v>
      </c>
      <c r="F53" s="56">
        <v>135</v>
      </c>
      <c r="G53" s="56">
        <v>131</v>
      </c>
      <c r="H53" s="56">
        <v>130</v>
      </c>
      <c r="I53" s="56">
        <v>130</v>
      </c>
      <c r="J53" s="56">
        <v>131</v>
      </c>
      <c r="K53" s="56">
        <v>132</v>
      </c>
      <c r="L53" s="56">
        <v>133</v>
      </c>
      <c r="M53" s="56">
        <v>134</v>
      </c>
      <c r="N53" s="56">
        <v>498</v>
      </c>
      <c r="O53" s="56">
        <v>1159</v>
      </c>
      <c r="P53" s="56"/>
      <c r="Q53" s="56"/>
      <c r="R53" s="56"/>
      <c r="S53" s="56"/>
    </row>
    <row r="54" spans="1:19" x14ac:dyDescent="0.25">
      <c r="A54" s="56" t="s">
        <v>1407</v>
      </c>
      <c r="B54" s="56">
        <v>13902</v>
      </c>
      <c r="C54" s="56" t="s">
        <v>1393</v>
      </c>
      <c r="D54" s="56">
        <v>0</v>
      </c>
      <c r="E54" s="56">
        <v>-16</v>
      </c>
      <c r="F54" s="56">
        <v>-13</v>
      </c>
      <c r="G54" s="56">
        <v>-15</v>
      </c>
      <c r="H54" s="56">
        <v>-16</v>
      </c>
      <c r="I54" s="56">
        <v>-18</v>
      </c>
      <c r="J54" s="56">
        <v>-21</v>
      </c>
      <c r="K54" s="56">
        <v>-22</v>
      </c>
      <c r="L54" s="56">
        <v>-23</v>
      </c>
      <c r="M54" s="56">
        <v>-24</v>
      </c>
      <c r="N54" s="56">
        <v>-60</v>
      </c>
      <c r="O54" s="56">
        <v>-168</v>
      </c>
      <c r="P54" s="56"/>
      <c r="Q54" s="56"/>
      <c r="R54" s="56"/>
      <c r="S54" s="56"/>
    </row>
    <row r="55" spans="1:19" x14ac:dyDescent="0.25">
      <c r="A55" s="56" t="s">
        <v>1408</v>
      </c>
      <c r="B55" s="56" t="s">
        <v>1409</v>
      </c>
      <c r="C55" s="56" t="s">
        <v>1393</v>
      </c>
      <c r="D55" s="56">
        <v>0</v>
      </c>
      <c r="E55" s="56">
        <v>0</v>
      </c>
      <c r="F55" s="56">
        <v>0</v>
      </c>
      <c r="G55" s="56">
        <v>0</v>
      </c>
      <c r="H55" s="56">
        <v>0</v>
      </c>
      <c r="I55" s="56">
        <v>17666</v>
      </c>
      <c r="J55" s="56">
        <v>26198</v>
      </c>
      <c r="K55" s="56">
        <v>9453</v>
      </c>
      <c r="L55" s="56">
        <v>-274</v>
      </c>
      <c r="M55" s="56">
        <v>-284</v>
      </c>
      <c r="N55" s="56">
        <v>0</v>
      </c>
      <c r="O55" s="56">
        <v>52759</v>
      </c>
      <c r="P55" s="56"/>
      <c r="Q55" s="56"/>
      <c r="R55" s="56"/>
      <c r="S55" s="56"/>
    </row>
    <row r="56" spans="1:19" x14ac:dyDescent="0.25">
      <c r="A56" s="56" t="s">
        <v>1410</v>
      </c>
      <c r="B56" s="56">
        <v>60113</v>
      </c>
      <c r="C56" s="56" t="s">
        <v>1393</v>
      </c>
      <c r="D56" s="56">
        <v>0</v>
      </c>
      <c r="E56" s="56">
        <v>0</v>
      </c>
      <c r="F56" s="56">
        <v>0</v>
      </c>
      <c r="G56" s="56">
        <v>0</v>
      </c>
      <c r="H56" s="56">
        <v>850</v>
      </c>
      <c r="I56" s="74">
        <v>1350</v>
      </c>
      <c r="J56" s="74">
        <v>1400</v>
      </c>
      <c r="K56" s="74">
        <v>1200</v>
      </c>
      <c r="L56" s="74">
        <v>1050</v>
      </c>
      <c r="M56" s="56">
        <v>500</v>
      </c>
      <c r="N56" s="56">
        <v>850</v>
      </c>
      <c r="O56" s="74">
        <v>6350</v>
      </c>
      <c r="P56" s="74"/>
      <c r="Q56" s="74"/>
      <c r="R56" s="74"/>
      <c r="S56" s="74"/>
    </row>
    <row r="57" spans="1:19" x14ac:dyDescent="0.25">
      <c r="A57" s="56" t="s">
        <v>1411</v>
      </c>
      <c r="B57" s="56">
        <v>10201</v>
      </c>
      <c r="C57" s="56" t="s">
        <v>1393</v>
      </c>
      <c r="D57" s="56">
        <v>0</v>
      </c>
      <c r="E57" s="56">
        <v>5697</v>
      </c>
      <c r="F57" s="56">
        <v>7875</v>
      </c>
      <c r="G57" s="56">
        <v>8070</v>
      </c>
      <c r="H57" s="56">
        <v>8581</v>
      </c>
      <c r="I57" s="56">
        <v>8882</v>
      </c>
      <c r="J57" s="56">
        <v>8838</v>
      </c>
      <c r="K57" s="56">
        <v>8603</v>
      </c>
      <c r="L57" s="56">
        <v>8500</v>
      </c>
      <c r="M57" s="56">
        <v>8641</v>
      </c>
      <c r="N57" s="56">
        <v>30223</v>
      </c>
      <c r="O57" s="56">
        <v>73686</v>
      </c>
      <c r="P57" s="56"/>
      <c r="Q57" s="56"/>
      <c r="R57" s="56"/>
      <c r="S57" s="56"/>
    </row>
    <row r="58" spans="1:19" x14ac:dyDescent="0.25">
      <c r="A58" s="56" t="s">
        <v>1418</v>
      </c>
      <c r="B58" s="56">
        <v>13304</v>
      </c>
      <c r="C58" s="56" t="s">
        <v>1423</v>
      </c>
      <c r="D58" s="56">
        <v>0</v>
      </c>
      <c r="E58" s="56">
        <v>-273</v>
      </c>
      <c r="F58" s="56">
        <v>-193</v>
      </c>
      <c r="G58" s="56">
        <v>-203</v>
      </c>
      <c r="H58" s="56">
        <v>-216</v>
      </c>
      <c r="I58" s="56">
        <v>-230</v>
      </c>
      <c r="J58" s="56">
        <v>-241</v>
      </c>
      <c r="K58" s="56">
        <v>-240</v>
      </c>
      <c r="L58" s="56">
        <v>-229</v>
      </c>
      <c r="M58" s="56">
        <v>-217</v>
      </c>
      <c r="N58" s="56">
        <v>-887</v>
      </c>
      <c r="O58" s="56">
        <v>-2043</v>
      </c>
      <c r="P58" s="56"/>
      <c r="Q58" s="56"/>
      <c r="R58" s="56"/>
      <c r="S58" s="56"/>
    </row>
    <row r="59" spans="1:19" x14ac:dyDescent="0.25">
      <c r="A59" s="56" t="s">
        <v>1414</v>
      </c>
      <c r="B59" s="56" t="s">
        <v>1415</v>
      </c>
      <c r="C59" s="56" t="s">
        <v>1423</v>
      </c>
      <c r="D59" s="56">
        <v>0</v>
      </c>
      <c r="E59" s="56">
        <v>-2882</v>
      </c>
      <c r="F59" s="56">
        <v>-2038</v>
      </c>
      <c r="G59" s="56">
        <v>-1405</v>
      </c>
      <c r="H59" s="56">
        <v>-554</v>
      </c>
      <c r="I59" s="56">
        <v>-753</v>
      </c>
      <c r="J59" s="56">
        <v>-970</v>
      </c>
      <c r="K59" s="56">
        <v>-1231</v>
      </c>
      <c r="L59" s="56">
        <v>-1581</v>
      </c>
      <c r="M59" s="56">
        <v>-2108</v>
      </c>
      <c r="N59" s="56">
        <v>-6880</v>
      </c>
      <c r="O59" s="56">
        <v>-13523</v>
      </c>
      <c r="P59" s="56"/>
      <c r="Q59" s="56"/>
      <c r="R59" s="56"/>
      <c r="S59" s="56"/>
    </row>
    <row r="60" spans="1:19" x14ac:dyDescent="0.25">
      <c r="A60" s="1115" t="s">
        <v>1412</v>
      </c>
      <c r="B60" s="1116">
        <v>10301</v>
      </c>
      <c r="C60" s="1116" t="s">
        <v>239</v>
      </c>
      <c r="D60" s="1116">
        <v>0</v>
      </c>
      <c r="E60" s="1117">
        <v>2012</v>
      </c>
      <c r="F60" s="1117">
        <v>5106</v>
      </c>
      <c r="G60" s="1117">
        <v>11125</v>
      </c>
      <c r="H60" s="1117">
        <v>16116</v>
      </c>
      <c r="I60" s="1117">
        <v>21716</v>
      </c>
      <c r="J60" s="1117">
        <v>26314</v>
      </c>
      <c r="K60" s="1117">
        <v>31218</v>
      </c>
      <c r="L60" s="1117">
        <v>34877</v>
      </c>
      <c r="M60" s="1117">
        <v>31904</v>
      </c>
      <c r="N60" s="1117">
        <v>34359</v>
      </c>
      <c r="O60" s="1118">
        <v>180388</v>
      </c>
      <c r="P60" s="74"/>
      <c r="Q60" s="74"/>
      <c r="R60" s="74"/>
      <c r="S60" s="74"/>
    </row>
    <row r="61" spans="1:19" x14ac:dyDescent="0.25">
      <c r="A61" s="56" t="s">
        <v>1413</v>
      </c>
      <c r="B61" s="56">
        <v>12001</v>
      </c>
      <c r="C61" s="56" t="s">
        <v>239</v>
      </c>
      <c r="D61" s="56">
        <v>0</v>
      </c>
      <c r="E61" s="56">
        <v>1297</v>
      </c>
      <c r="F61" s="56">
        <v>-10555</v>
      </c>
      <c r="G61" s="56">
        <v>-10586</v>
      </c>
      <c r="H61" s="56">
        <v>-11431</v>
      </c>
      <c r="I61" s="56">
        <v>-154</v>
      </c>
      <c r="J61" s="56">
        <v>132</v>
      </c>
      <c r="K61" s="56">
        <v>53</v>
      </c>
      <c r="L61" s="56">
        <v>6</v>
      </c>
      <c r="M61" s="56">
        <v>0</v>
      </c>
      <c r="N61" s="56">
        <v>-31275</v>
      </c>
      <c r="O61" s="56">
        <v>-31238</v>
      </c>
      <c r="P61" s="56"/>
      <c r="Q61" s="56"/>
      <c r="R61" s="56"/>
      <c r="S61" s="56"/>
    </row>
    <row r="62" spans="1:19" x14ac:dyDescent="0.25">
      <c r="A62" s="56" t="s">
        <v>1416</v>
      </c>
      <c r="B62" s="56">
        <v>13301</v>
      </c>
      <c r="C62" s="56" t="s">
        <v>239</v>
      </c>
      <c r="D62" s="56">
        <v>0</v>
      </c>
      <c r="E62" s="56">
        <v>-1887</v>
      </c>
      <c r="F62" s="56">
        <v>-1348</v>
      </c>
      <c r="G62" s="56">
        <v>-1324</v>
      </c>
      <c r="H62" s="56">
        <v>-1345</v>
      </c>
      <c r="I62" s="56">
        <v>-1327</v>
      </c>
      <c r="J62" s="56">
        <v>-1277</v>
      </c>
      <c r="K62" s="56">
        <v>-1301</v>
      </c>
      <c r="L62" s="56">
        <v>-1314</v>
      </c>
      <c r="M62" s="56">
        <v>-1327</v>
      </c>
      <c r="N62" s="56">
        <v>-5904</v>
      </c>
      <c r="O62" s="56">
        <v>-12451</v>
      </c>
      <c r="P62" s="56"/>
      <c r="Q62" s="56"/>
      <c r="R62" s="56"/>
      <c r="S62" s="56"/>
    </row>
    <row r="63" spans="1:19" x14ac:dyDescent="0.25">
      <c r="A63" s="56" t="s">
        <v>1417</v>
      </c>
      <c r="B63" s="56">
        <v>13302</v>
      </c>
      <c r="C63" s="56" t="s">
        <v>239</v>
      </c>
      <c r="D63" s="56">
        <v>0</v>
      </c>
      <c r="E63" s="56">
        <v>-459</v>
      </c>
      <c r="F63" s="56">
        <v>-1021</v>
      </c>
      <c r="G63" s="56">
        <v>-2692</v>
      </c>
      <c r="H63" s="56">
        <v>-2770</v>
      </c>
      <c r="I63" s="56">
        <v>-2850</v>
      </c>
      <c r="J63" s="56">
        <v>-2935</v>
      </c>
      <c r="K63" s="56">
        <v>-3019</v>
      </c>
      <c r="L63" s="56">
        <v>-3092</v>
      </c>
      <c r="M63" s="56">
        <v>-3185</v>
      </c>
      <c r="N63" s="56">
        <v>-6942</v>
      </c>
      <c r="O63" s="56">
        <v>-22022</v>
      </c>
      <c r="P63" s="56"/>
      <c r="Q63" s="56"/>
      <c r="R63" s="56"/>
      <c r="S63" s="56"/>
    </row>
    <row r="64" spans="1:19" x14ac:dyDescent="0.25">
      <c r="A64" s="56" t="s">
        <v>1419</v>
      </c>
      <c r="B64" s="56" t="s">
        <v>1420</v>
      </c>
      <c r="C64" s="56" t="s">
        <v>239</v>
      </c>
      <c r="D64" s="56">
        <v>0</v>
      </c>
      <c r="E64" s="56">
        <v>-511</v>
      </c>
      <c r="F64" s="56">
        <v>-852</v>
      </c>
      <c r="G64" s="56">
        <v>-1050</v>
      </c>
      <c r="H64" s="56">
        <v>-1275</v>
      </c>
      <c r="I64" s="56">
        <v>-1572</v>
      </c>
      <c r="J64" s="56">
        <v>-1862</v>
      </c>
      <c r="K64" s="56">
        <v>-2104</v>
      </c>
      <c r="L64" s="56">
        <v>-2364</v>
      </c>
      <c r="M64" s="56">
        <v>-2615</v>
      </c>
      <c r="N64" s="56">
        <v>-3689</v>
      </c>
      <c r="O64" s="56">
        <v>-14209</v>
      </c>
      <c r="P64" s="56"/>
      <c r="Q64" s="56"/>
      <c r="R64" s="56"/>
      <c r="S64" s="56"/>
    </row>
    <row r="67" spans="3:19" x14ac:dyDescent="0.25">
      <c r="D67" s="1119">
        <v>2022</v>
      </c>
      <c r="E67" s="1119">
        <v>2023</v>
      </c>
      <c r="F67" s="1119">
        <v>2024</v>
      </c>
      <c r="G67" s="1119">
        <v>2025</v>
      </c>
      <c r="H67" s="1119">
        <v>2026</v>
      </c>
      <c r="I67" s="1119">
        <v>2027</v>
      </c>
      <c r="J67" s="1119">
        <v>2028</v>
      </c>
      <c r="K67" s="1119">
        <v>2029</v>
      </c>
      <c r="L67" s="1119">
        <v>2030</v>
      </c>
      <c r="M67" s="1120">
        <v>2031</v>
      </c>
      <c r="N67" s="1099" t="s">
        <v>1362</v>
      </c>
      <c r="O67" s="1121" t="s">
        <v>1363</v>
      </c>
      <c r="P67" s="1099"/>
      <c r="Q67" s="1099"/>
      <c r="R67" s="1099"/>
      <c r="S67" s="1099"/>
    </row>
    <row r="68" spans="3:19" x14ac:dyDescent="0.25">
      <c r="C68" s="1413" t="s">
        <v>1421</v>
      </c>
      <c r="D68" s="1414"/>
      <c r="E68" s="1414"/>
      <c r="F68" s="1414"/>
      <c r="G68" s="1414"/>
      <c r="H68" s="1414"/>
      <c r="I68" s="1414"/>
      <c r="J68" s="1414"/>
      <c r="K68" s="1414"/>
      <c r="L68" s="1414"/>
      <c r="M68" s="1414"/>
      <c r="N68" s="1414"/>
      <c r="O68" s="1415"/>
      <c r="P68" s="1098"/>
      <c r="Q68" s="1098"/>
      <c r="R68" s="1098"/>
      <c r="S68" s="1098"/>
    </row>
    <row r="69" spans="3:19" x14ac:dyDescent="0.25">
      <c r="C69" s="67" t="s">
        <v>1382</v>
      </c>
      <c r="D69" s="56">
        <f t="shared" ref="D69:O69" si="0">SUM(D3:D8)</f>
        <v>0</v>
      </c>
      <c r="E69" s="56">
        <f t="shared" si="0"/>
        <v>3947</v>
      </c>
      <c r="F69" s="56">
        <f t="shared" si="0"/>
        <v>4202</v>
      </c>
      <c r="G69" s="56">
        <f t="shared" si="0"/>
        <v>6275</v>
      </c>
      <c r="H69" s="56">
        <f t="shared" si="0"/>
        <v>7956</v>
      </c>
      <c r="I69" s="56">
        <f t="shared" si="0"/>
        <v>9969</v>
      </c>
      <c r="J69" s="56">
        <f t="shared" si="0"/>
        <v>12081</v>
      </c>
      <c r="K69" s="56">
        <f t="shared" si="0"/>
        <v>14493</v>
      </c>
      <c r="L69" s="56">
        <f t="shared" si="0"/>
        <v>16921</v>
      </c>
      <c r="M69" s="56">
        <f t="shared" si="0"/>
        <v>17112</v>
      </c>
      <c r="N69" s="56">
        <f t="shared" si="0"/>
        <v>22380</v>
      </c>
      <c r="O69" s="56">
        <f t="shared" si="0"/>
        <v>92956</v>
      </c>
      <c r="P69" s="56"/>
      <c r="Q69" s="56"/>
      <c r="R69" s="56"/>
      <c r="S69" s="56"/>
    </row>
    <row r="70" spans="3:19" x14ac:dyDescent="0.25">
      <c r="C70" s="67" t="s">
        <v>1250</v>
      </c>
      <c r="D70" s="56">
        <f t="shared" ref="D70:O70" si="1">SUM(D9)</f>
        <v>0</v>
      </c>
      <c r="E70" s="56">
        <f t="shared" si="1"/>
        <v>65</v>
      </c>
      <c r="F70" s="56">
        <f t="shared" si="1"/>
        <v>150</v>
      </c>
      <c r="G70" s="56">
        <f t="shared" si="1"/>
        <v>290</v>
      </c>
      <c r="H70" s="56">
        <f t="shared" si="1"/>
        <v>290</v>
      </c>
      <c r="I70" s="56">
        <f t="shared" si="1"/>
        <v>290</v>
      </c>
      <c r="J70" s="56">
        <f t="shared" si="1"/>
        <v>285</v>
      </c>
      <c r="K70" s="56">
        <f t="shared" si="1"/>
        <v>250</v>
      </c>
      <c r="L70" s="56">
        <f t="shared" si="1"/>
        <v>220</v>
      </c>
      <c r="M70" s="56">
        <f t="shared" si="1"/>
        <v>160</v>
      </c>
      <c r="N70" s="67">
        <f t="shared" si="1"/>
        <v>795</v>
      </c>
      <c r="O70" s="228">
        <f t="shared" si="1"/>
        <v>2000</v>
      </c>
      <c r="P70" s="56"/>
      <c r="Q70" s="56"/>
      <c r="R70" s="56"/>
      <c r="S70" s="56"/>
    </row>
    <row r="71" spans="3:19" x14ac:dyDescent="0.25">
      <c r="C71" s="67" t="s">
        <v>210</v>
      </c>
      <c r="D71" s="56">
        <f t="shared" ref="D71:O71" si="2">SUM(D10:D11)</f>
        <v>0</v>
      </c>
      <c r="E71" s="56">
        <f t="shared" si="2"/>
        <v>110</v>
      </c>
      <c r="F71" s="56">
        <f t="shared" si="2"/>
        <v>739</v>
      </c>
      <c r="G71" s="56">
        <f t="shared" si="2"/>
        <v>1195</v>
      </c>
      <c r="H71" s="56">
        <f t="shared" si="2"/>
        <v>1497</v>
      </c>
      <c r="I71" s="56">
        <f t="shared" si="2"/>
        <v>1910</v>
      </c>
      <c r="J71" s="56">
        <f t="shared" si="2"/>
        <v>2405</v>
      </c>
      <c r="K71" s="56">
        <f t="shared" si="2"/>
        <v>2922</v>
      </c>
      <c r="L71" s="56">
        <f t="shared" si="2"/>
        <v>3463</v>
      </c>
      <c r="M71" s="56">
        <f t="shared" si="2"/>
        <v>4007</v>
      </c>
      <c r="N71" s="67">
        <f t="shared" si="2"/>
        <v>3541</v>
      </c>
      <c r="O71" s="228">
        <f t="shared" si="2"/>
        <v>18248</v>
      </c>
      <c r="P71" s="56"/>
      <c r="Q71" s="56"/>
      <c r="R71" s="56"/>
      <c r="S71" s="56"/>
    </row>
    <row r="72" spans="3:19" x14ac:dyDescent="0.25">
      <c r="C72" s="67" t="s">
        <v>211</v>
      </c>
      <c r="D72" s="56">
        <f t="shared" ref="D72:O72" si="3">SUM(D12:D25)</f>
        <v>0</v>
      </c>
      <c r="E72" s="56">
        <f t="shared" si="3"/>
        <v>-415</v>
      </c>
      <c r="F72" s="56">
        <f t="shared" si="3"/>
        <v>2768</v>
      </c>
      <c r="G72" s="56">
        <f t="shared" si="3"/>
        <v>-12473</v>
      </c>
      <c r="H72" s="56">
        <f t="shared" si="3"/>
        <v>-5374</v>
      </c>
      <c r="I72" s="56">
        <f t="shared" si="3"/>
        <v>-25515</v>
      </c>
      <c r="J72" s="56">
        <f t="shared" si="3"/>
        <v>-43975</v>
      </c>
      <c r="K72" s="56">
        <f t="shared" si="3"/>
        <v>-46426</v>
      </c>
      <c r="L72" s="56">
        <f t="shared" si="3"/>
        <v>-56228</v>
      </c>
      <c r="M72" s="56">
        <f t="shared" si="3"/>
        <v>-60581</v>
      </c>
      <c r="N72" s="67">
        <f t="shared" si="3"/>
        <v>-15494</v>
      </c>
      <c r="O72" s="228">
        <f t="shared" si="3"/>
        <v>-248219</v>
      </c>
      <c r="P72" s="56"/>
      <c r="Q72" s="56"/>
      <c r="R72" s="56"/>
      <c r="S72" s="56"/>
    </row>
    <row r="73" spans="3:19" x14ac:dyDescent="0.25">
      <c r="C73" s="67" t="s">
        <v>1384</v>
      </c>
      <c r="D73" s="56">
        <f t="shared" ref="D73:O73" si="4">SUM(D26:D31)</f>
        <v>-622</v>
      </c>
      <c r="E73" s="56">
        <f t="shared" si="4"/>
        <v>21096</v>
      </c>
      <c r="F73" s="56">
        <f t="shared" si="4"/>
        <v>12256</v>
      </c>
      <c r="G73" s="56">
        <f t="shared" si="4"/>
        <v>11149</v>
      </c>
      <c r="H73" s="56">
        <f t="shared" si="4"/>
        <v>-6525</v>
      </c>
      <c r="I73" s="56">
        <f t="shared" si="4"/>
        <v>2029</v>
      </c>
      <c r="J73" s="56">
        <f t="shared" si="4"/>
        <v>2582</v>
      </c>
      <c r="K73" s="56">
        <f t="shared" si="4"/>
        <v>2236</v>
      </c>
      <c r="L73" s="56">
        <f t="shared" si="4"/>
        <v>1411</v>
      </c>
      <c r="M73" s="56">
        <f t="shared" si="4"/>
        <v>772</v>
      </c>
      <c r="N73" s="67">
        <f t="shared" si="4"/>
        <v>37354</v>
      </c>
      <c r="O73" s="228">
        <f t="shared" si="4"/>
        <v>46384</v>
      </c>
      <c r="P73" s="56"/>
      <c r="Q73" s="56"/>
      <c r="R73" s="56"/>
      <c r="S73" s="56"/>
    </row>
    <row r="74" spans="3:19" x14ac:dyDescent="0.25">
      <c r="C74" s="67" t="s">
        <v>1387</v>
      </c>
      <c r="D74" s="56">
        <f t="shared" ref="D74:O74" si="5">SUM(D32:D40)</f>
        <v>0</v>
      </c>
      <c r="E74" s="56">
        <f t="shared" si="5"/>
        <v>1216</v>
      </c>
      <c r="F74" s="56">
        <f t="shared" si="5"/>
        <v>3498</v>
      </c>
      <c r="G74" s="56">
        <f t="shared" si="5"/>
        <v>5088</v>
      </c>
      <c r="H74" s="56">
        <f t="shared" si="5"/>
        <v>6663</v>
      </c>
      <c r="I74" s="56">
        <f t="shared" si="5"/>
        <v>7992</v>
      </c>
      <c r="J74" s="56">
        <f t="shared" si="5"/>
        <v>8297</v>
      </c>
      <c r="K74" s="56">
        <f t="shared" si="5"/>
        <v>8309</v>
      </c>
      <c r="L74" s="56">
        <f t="shared" si="5"/>
        <v>7568</v>
      </c>
      <c r="M74" s="56">
        <f t="shared" si="5"/>
        <v>6524</v>
      </c>
      <c r="N74" s="333">
        <f t="shared" si="5"/>
        <v>16463</v>
      </c>
      <c r="O74" s="229">
        <f t="shared" si="5"/>
        <v>55153</v>
      </c>
      <c r="P74" s="56"/>
      <c r="Q74" s="56"/>
      <c r="R74" s="56"/>
      <c r="S74" s="56"/>
    </row>
    <row r="75" spans="3:19" x14ac:dyDescent="0.25">
      <c r="C75" s="1413" t="s">
        <v>1422</v>
      </c>
      <c r="D75" s="1414"/>
      <c r="E75" s="1414"/>
      <c r="F75" s="1414"/>
      <c r="G75" s="1414"/>
      <c r="H75" s="1414"/>
      <c r="I75" s="1414"/>
      <c r="J75" s="1414"/>
      <c r="K75" s="1414"/>
      <c r="L75" s="1414"/>
      <c r="M75" s="1414"/>
      <c r="N75" s="1414"/>
      <c r="O75" s="1415"/>
      <c r="P75" s="1098"/>
      <c r="Q75" s="1098"/>
      <c r="R75" s="1098"/>
      <c r="S75" s="1098"/>
    </row>
    <row r="76" spans="3:19" x14ac:dyDescent="0.25">
      <c r="C76" s="67" t="s">
        <v>384</v>
      </c>
      <c r="D76" s="56">
        <v>0</v>
      </c>
      <c r="E76" s="56">
        <v>596</v>
      </c>
      <c r="F76" s="56">
        <v>1406</v>
      </c>
      <c r="G76" s="56">
        <v>1885</v>
      </c>
      <c r="H76" s="56">
        <v>2113</v>
      </c>
      <c r="I76" s="56">
        <v>2058</v>
      </c>
      <c r="J76" s="56">
        <v>1745</v>
      </c>
      <c r="K76" s="56">
        <v>1369</v>
      </c>
      <c r="L76" s="56">
        <v>970</v>
      </c>
      <c r="M76" s="56">
        <v>369</v>
      </c>
      <c r="N76" s="739">
        <v>6000</v>
      </c>
      <c r="O76" s="738">
        <v>12511</v>
      </c>
      <c r="P76" s="56"/>
      <c r="Q76" s="56"/>
      <c r="R76" s="56"/>
      <c r="S76" s="56"/>
    </row>
    <row r="77" spans="3:19" x14ac:dyDescent="0.25">
      <c r="C77" s="67" t="s">
        <v>134</v>
      </c>
      <c r="D77" s="56">
        <v>0</v>
      </c>
      <c r="E77" s="56">
        <v>754</v>
      </c>
      <c r="F77" s="56">
        <v>2328</v>
      </c>
      <c r="G77" s="56">
        <v>3782</v>
      </c>
      <c r="H77" s="56">
        <v>5158</v>
      </c>
      <c r="I77" s="56">
        <v>4539</v>
      </c>
      <c r="J77" s="56">
        <v>3010</v>
      </c>
      <c r="K77" s="56">
        <v>1730</v>
      </c>
      <c r="L77" s="56">
        <v>790</v>
      </c>
      <c r="M77" s="56">
        <v>244</v>
      </c>
      <c r="N77" s="67">
        <v>12022</v>
      </c>
      <c r="O77" s="228">
        <v>22335</v>
      </c>
      <c r="P77" s="56"/>
      <c r="Q77" s="56"/>
      <c r="R77" s="56"/>
      <c r="S77" s="56"/>
    </row>
    <row r="78" spans="3:19" x14ac:dyDescent="0.25">
      <c r="C78" s="67" t="s">
        <v>192</v>
      </c>
      <c r="D78" s="56">
        <v>0</v>
      </c>
      <c r="E78" s="56">
        <v>68</v>
      </c>
      <c r="F78" s="56">
        <v>1363</v>
      </c>
      <c r="G78" s="56">
        <v>2433</v>
      </c>
      <c r="H78" s="56">
        <v>2803</v>
      </c>
      <c r="I78" s="56">
        <v>1741</v>
      </c>
      <c r="J78" s="56">
        <v>570</v>
      </c>
      <c r="K78" s="56">
        <v>35</v>
      </c>
      <c r="L78" s="56">
        <v>0</v>
      </c>
      <c r="M78" s="56">
        <v>0</v>
      </c>
      <c r="N78" s="67">
        <v>6667</v>
      </c>
      <c r="O78" s="228">
        <v>9013</v>
      </c>
      <c r="P78" s="56"/>
      <c r="Q78" s="56"/>
      <c r="R78" s="56"/>
      <c r="S78" s="56"/>
    </row>
    <row r="79" spans="3:19" x14ac:dyDescent="0.25">
      <c r="C79" s="67" t="s">
        <v>52</v>
      </c>
      <c r="D79" s="56">
        <v>0</v>
      </c>
      <c r="E79" s="56">
        <v>81</v>
      </c>
      <c r="F79" s="56">
        <v>350</v>
      </c>
      <c r="G79" s="56">
        <v>1354</v>
      </c>
      <c r="H79" s="56">
        <v>2869</v>
      </c>
      <c r="I79" s="56">
        <v>3890</v>
      </c>
      <c r="J79" s="56">
        <v>3430</v>
      </c>
      <c r="K79" s="56">
        <v>2260</v>
      </c>
      <c r="L79" s="56">
        <v>1320</v>
      </c>
      <c r="M79" s="56">
        <v>665</v>
      </c>
      <c r="N79" s="67">
        <v>4654</v>
      </c>
      <c r="O79" s="228">
        <v>16219</v>
      </c>
      <c r="P79" s="56"/>
      <c r="Q79" s="56"/>
      <c r="R79" s="56"/>
      <c r="S79" s="56"/>
    </row>
    <row r="80" spans="3:19" x14ac:dyDescent="0.25">
      <c r="C80" s="67" t="s">
        <v>57</v>
      </c>
      <c r="D80" s="56">
        <v>0</v>
      </c>
      <c r="E80" s="56">
        <v>794</v>
      </c>
      <c r="F80" s="56">
        <v>3183</v>
      </c>
      <c r="G80" s="56">
        <v>5818</v>
      </c>
      <c r="H80" s="56">
        <v>7253</v>
      </c>
      <c r="I80" s="56">
        <v>5628</v>
      </c>
      <c r="J80" s="56">
        <v>1977</v>
      </c>
      <c r="K80" s="56">
        <v>229</v>
      </c>
      <c r="L80" s="56">
        <v>33</v>
      </c>
      <c r="M80" s="56">
        <v>1</v>
      </c>
      <c r="N80" s="67">
        <v>17048</v>
      </c>
      <c r="O80" s="228">
        <v>24916</v>
      </c>
      <c r="P80" s="56"/>
      <c r="Q80" s="56"/>
      <c r="R80" s="56"/>
      <c r="S80" s="56"/>
    </row>
    <row r="81" spans="1:20" x14ac:dyDescent="0.25">
      <c r="C81" s="67"/>
      <c r="N81" s="333"/>
      <c r="O81" s="229"/>
      <c r="P81" s="56"/>
      <c r="Q81" s="56"/>
      <c r="R81" s="56"/>
      <c r="S81" s="56"/>
    </row>
    <row r="82" spans="1:20" x14ac:dyDescent="0.25">
      <c r="C82" s="1413" t="s">
        <v>1391</v>
      </c>
      <c r="D82" s="1414"/>
      <c r="E82" s="1414"/>
      <c r="F82" s="1414"/>
      <c r="G82" s="1414"/>
      <c r="H82" s="1414"/>
      <c r="I82" s="1414"/>
      <c r="J82" s="1414"/>
      <c r="K82" s="1414"/>
      <c r="L82" s="1414"/>
      <c r="M82" s="1414"/>
      <c r="N82" s="1414"/>
      <c r="O82" s="1415"/>
      <c r="P82" s="1098"/>
      <c r="Q82" s="1098"/>
      <c r="R82" s="1098"/>
      <c r="S82" s="1098"/>
    </row>
    <row r="83" spans="1:20" x14ac:dyDescent="0.25">
      <c r="C83" s="67" t="s">
        <v>1393</v>
      </c>
      <c r="D83" s="56">
        <f t="shared" ref="D83:O83" si="6">SUM(D43:D57)</f>
        <v>0</v>
      </c>
      <c r="E83" s="56">
        <f t="shared" si="6"/>
        <v>35317</v>
      </c>
      <c r="F83" s="56">
        <f t="shared" si="6"/>
        <v>36033</v>
      </c>
      <c r="G83" s="56">
        <f t="shared" si="6"/>
        <v>21076</v>
      </c>
      <c r="H83" s="56">
        <f t="shared" si="6"/>
        <v>13346</v>
      </c>
      <c r="I83" s="56">
        <f t="shared" si="6"/>
        <v>27508</v>
      </c>
      <c r="J83" s="56">
        <f t="shared" si="6"/>
        <v>35850</v>
      </c>
      <c r="K83" s="56">
        <f t="shared" si="6"/>
        <v>18640</v>
      </c>
      <c r="L83" s="56">
        <f t="shared" si="6"/>
        <v>8394</v>
      </c>
      <c r="M83" s="56">
        <f t="shared" si="6"/>
        <v>7982</v>
      </c>
      <c r="N83" s="56">
        <f t="shared" si="6"/>
        <v>105769</v>
      </c>
      <c r="O83" s="56">
        <f t="shared" si="6"/>
        <v>204144</v>
      </c>
      <c r="P83" s="56"/>
      <c r="Q83" s="56"/>
      <c r="R83" s="56"/>
      <c r="S83" s="56"/>
    </row>
    <row r="84" spans="1:20" x14ac:dyDescent="0.25">
      <c r="C84" s="67" t="s">
        <v>482</v>
      </c>
      <c r="D84" s="56">
        <f>SUM(D58:D59)</f>
        <v>0</v>
      </c>
      <c r="E84" s="56">
        <f t="shared" ref="E84:O84" si="7">SUM(E58:E59)</f>
        <v>-3155</v>
      </c>
      <c r="F84" s="56">
        <f t="shared" si="7"/>
        <v>-2231</v>
      </c>
      <c r="G84" s="56">
        <f t="shared" si="7"/>
        <v>-1608</v>
      </c>
      <c r="H84" s="56">
        <f t="shared" si="7"/>
        <v>-770</v>
      </c>
      <c r="I84" s="56">
        <f t="shared" si="7"/>
        <v>-983</v>
      </c>
      <c r="J84" s="56">
        <f t="shared" si="7"/>
        <v>-1211</v>
      </c>
      <c r="K84" s="56">
        <f t="shared" si="7"/>
        <v>-1471</v>
      </c>
      <c r="L84" s="56">
        <f t="shared" si="7"/>
        <v>-1810</v>
      </c>
      <c r="M84" s="56">
        <f t="shared" si="7"/>
        <v>-2325</v>
      </c>
      <c r="N84" s="56">
        <f t="shared" si="7"/>
        <v>-7767</v>
      </c>
      <c r="O84" s="56">
        <f t="shared" si="7"/>
        <v>-15566</v>
      </c>
      <c r="P84" s="56"/>
      <c r="Q84" s="56"/>
      <c r="R84" s="56"/>
      <c r="S84" s="56"/>
    </row>
    <row r="85" spans="1:20" x14ac:dyDescent="0.25">
      <c r="C85" s="67" t="s">
        <v>239</v>
      </c>
      <c r="D85" s="56">
        <f>SUM(D60:D64)</f>
        <v>0</v>
      </c>
      <c r="E85" s="56">
        <f t="shared" ref="E85:O85" si="8">SUM(E60:E64)</f>
        <v>452</v>
      </c>
      <c r="F85" s="56">
        <f t="shared" si="8"/>
        <v>-8670</v>
      </c>
      <c r="G85" s="56">
        <f t="shared" si="8"/>
        <v>-4527</v>
      </c>
      <c r="H85" s="56">
        <f t="shared" si="8"/>
        <v>-705</v>
      </c>
      <c r="I85" s="56">
        <f t="shared" si="8"/>
        <v>15813</v>
      </c>
      <c r="J85" s="56">
        <f t="shared" si="8"/>
        <v>20372</v>
      </c>
      <c r="K85" s="56">
        <f t="shared" si="8"/>
        <v>24847</v>
      </c>
      <c r="L85" s="56">
        <f t="shared" si="8"/>
        <v>28113</v>
      </c>
      <c r="M85" s="56">
        <f t="shared" si="8"/>
        <v>24777</v>
      </c>
      <c r="N85" s="56">
        <f t="shared" si="8"/>
        <v>-13451</v>
      </c>
      <c r="O85" s="56">
        <f t="shared" si="8"/>
        <v>100468</v>
      </c>
      <c r="P85" s="56"/>
      <c r="Q85" s="56"/>
      <c r="R85" s="56"/>
      <c r="S85" s="56"/>
    </row>
    <row r="87" spans="1:20" x14ac:dyDescent="0.25">
      <c r="A87" s="47" t="s">
        <v>1373</v>
      </c>
    </row>
    <row r="88" spans="1:20" x14ac:dyDescent="0.25">
      <c r="A88" s="1034" t="s">
        <v>1180</v>
      </c>
      <c r="B88" s="1035" t="s">
        <v>1181</v>
      </c>
      <c r="C88" s="1036">
        <v>2022</v>
      </c>
      <c r="D88" s="1036">
        <v>2023</v>
      </c>
      <c r="E88" s="1036">
        <v>2024</v>
      </c>
      <c r="F88" s="1036">
        <v>2025</v>
      </c>
      <c r="G88" s="1036">
        <v>2026</v>
      </c>
      <c r="H88" s="1036">
        <v>2027</v>
      </c>
      <c r="I88" s="1036">
        <v>2028</v>
      </c>
      <c r="J88" s="1036">
        <v>2029</v>
      </c>
      <c r="K88" s="1036">
        <v>2030</v>
      </c>
      <c r="L88" s="1036">
        <v>2031</v>
      </c>
      <c r="M88" s="1037" t="s">
        <v>1182</v>
      </c>
      <c r="N88" s="1037" t="s">
        <v>1183</v>
      </c>
      <c r="O88" s="1038" t="s">
        <v>1184</v>
      </c>
      <c r="P88" s="1038"/>
      <c r="Q88" s="1038"/>
      <c r="R88" s="1038"/>
      <c r="S88" s="1038"/>
      <c r="T88" s="1039" t="s">
        <v>1185</v>
      </c>
    </row>
    <row r="89" spans="1:20" x14ac:dyDescent="0.25">
      <c r="A89" s="1040" t="s">
        <v>1186</v>
      </c>
      <c r="B89" s="1041" t="s">
        <v>1187</v>
      </c>
      <c r="C89" s="1042">
        <v>0</v>
      </c>
      <c r="D89" s="1042">
        <v>3</v>
      </c>
      <c r="E89" s="1042">
        <v>3</v>
      </c>
      <c r="F89" s="1042">
        <v>3</v>
      </c>
      <c r="G89" s="1042">
        <v>3</v>
      </c>
      <c r="H89" s="1042">
        <v>1</v>
      </c>
      <c r="I89" s="1042">
        <v>0</v>
      </c>
      <c r="J89" s="1042">
        <v>0</v>
      </c>
      <c r="K89" s="1042">
        <v>0</v>
      </c>
      <c r="L89" s="1042">
        <v>0</v>
      </c>
      <c r="M89" s="1042">
        <v>12</v>
      </c>
      <c r="N89" s="1042">
        <v>13</v>
      </c>
      <c r="O89" s="1043" t="s">
        <v>1188</v>
      </c>
      <c r="P89" s="1043"/>
      <c r="Q89" s="1043"/>
      <c r="R89" s="1043"/>
      <c r="S89" s="1043"/>
      <c r="T89" s="1044"/>
    </row>
    <row r="90" spans="1:20" ht="24" customHeight="1" x14ac:dyDescent="0.25">
      <c r="A90" s="1040" t="s">
        <v>1189</v>
      </c>
      <c r="B90" s="1041" t="s">
        <v>1190</v>
      </c>
      <c r="C90" s="1042">
        <v>0</v>
      </c>
      <c r="D90" s="1042">
        <v>65</v>
      </c>
      <c r="E90" s="1042">
        <v>1360</v>
      </c>
      <c r="F90" s="1042">
        <v>2430</v>
      </c>
      <c r="G90" s="1042">
        <v>2800</v>
      </c>
      <c r="H90" s="1042">
        <v>1740</v>
      </c>
      <c r="I90" s="1042">
        <v>570</v>
      </c>
      <c r="J90" s="1042">
        <v>35</v>
      </c>
      <c r="K90" s="1042">
        <v>0</v>
      </c>
      <c r="L90" s="1042">
        <v>0</v>
      </c>
      <c r="M90" s="1042">
        <v>6655</v>
      </c>
      <c r="N90" s="1042">
        <v>9000</v>
      </c>
      <c r="O90" s="1043" t="s">
        <v>1188</v>
      </c>
      <c r="P90" s="1043"/>
      <c r="Q90" s="1043"/>
      <c r="R90" s="1043"/>
      <c r="S90" s="1043"/>
      <c r="T90" s="1045"/>
    </row>
    <row r="91" spans="1:20" x14ac:dyDescent="0.25">
      <c r="A91" s="1046" t="s">
        <v>1191</v>
      </c>
      <c r="B91" s="1047" t="s">
        <v>1192</v>
      </c>
      <c r="C91" s="1048">
        <v>0</v>
      </c>
      <c r="D91" s="1048">
        <v>0</v>
      </c>
      <c r="E91" s="1048">
        <v>601</v>
      </c>
      <c r="F91" s="1049">
        <v>1038</v>
      </c>
      <c r="G91" s="1049">
        <v>1251</v>
      </c>
      <c r="H91" s="1049">
        <v>1431</v>
      </c>
      <c r="I91" s="1049">
        <v>1492</v>
      </c>
      <c r="J91" s="1049">
        <v>1530</v>
      </c>
      <c r="K91" s="1049">
        <v>1567</v>
      </c>
      <c r="L91" s="1049">
        <v>1606</v>
      </c>
      <c r="M91" s="1049">
        <v>2890</v>
      </c>
      <c r="N91" s="1049">
        <v>10516</v>
      </c>
      <c r="O91" s="1050" t="s">
        <v>1193</v>
      </c>
      <c r="P91" s="1050"/>
      <c r="Q91" s="1050"/>
      <c r="R91" s="1050"/>
      <c r="S91" s="1050"/>
      <c r="T91" s="1051"/>
    </row>
    <row r="92" spans="1:20" x14ac:dyDescent="0.25">
      <c r="A92" s="1052" t="s">
        <v>1194</v>
      </c>
      <c r="B92" s="1053" t="s">
        <v>1195</v>
      </c>
      <c r="C92" s="1119">
        <v>0</v>
      </c>
      <c r="D92" s="1119">
        <v>30</v>
      </c>
      <c r="E92" s="1119">
        <v>120</v>
      </c>
      <c r="F92" s="1119">
        <v>165</v>
      </c>
      <c r="G92" s="1119">
        <v>370</v>
      </c>
      <c r="H92" s="1119">
        <v>470</v>
      </c>
      <c r="I92" s="1119">
        <v>420</v>
      </c>
      <c r="J92" s="1119">
        <v>285</v>
      </c>
      <c r="K92" s="1119">
        <v>220</v>
      </c>
      <c r="L92" s="1120">
        <v>65</v>
      </c>
      <c r="M92" s="1119">
        <v>685</v>
      </c>
      <c r="N92" s="1054">
        <v>2145</v>
      </c>
      <c r="O92" s="1055" t="s">
        <v>1196</v>
      </c>
      <c r="P92" s="1100"/>
      <c r="Q92" s="1100"/>
      <c r="R92" s="1100"/>
      <c r="S92" s="1100"/>
      <c r="T92" s="1056" t="s">
        <v>1197</v>
      </c>
    </row>
    <row r="93" spans="1:20" x14ac:dyDescent="0.25">
      <c r="A93" s="1040" t="s">
        <v>1198</v>
      </c>
      <c r="B93" s="1041" t="s">
        <v>1199</v>
      </c>
      <c r="C93" s="1042">
        <v>0</v>
      </c>
      <c r="D93" s="1042">
        <v>2</v>
      </c>
      <c r="E93" s="1042">
        <v>10</v>
      </c>
      <c r="F93" s="1042">
        <v>25</v>
      </c>
      <c r="G93" s="1042">
        <v>28</v>
      </c>
      <c r="H93" s="1042">
        <v>17</v>
      </c>
      <c r="I93" s="1042">
        <v>11</v>
      </c>
      <c r="J93" s="1042">
        <v>4</v>
      </c>
      <c r="K93" s="1042">
        <v>2</v>
      </c>
      <c r="L93" s="1042">
        <v>1</v>
      </c>
      <c r="M93" s="1042">
        <v>65</v>
      </c>
      <c r="N93" s="1042">
        <v>100</v>
      </c>
      <c r="O93" s="1043" t="s">
        <v>1196</v>
      </c>
      <c r="P93" s="1043"/>
      <c r="Q93" s="1043"/>
      <c r="R93" s="1043"/>
      <c r="S93" s="1043"/>
      <c r="T93" s="1044" t="s">
        <v>1200</v>
      </c>
    </row>
    <row r="94" spans="1:20" ht="24" customHeight="1" x14ac:dyDescent="0.25">
      <c r="A94" s="1057" t="s">
        <v>1201</v>
      </c>
      <c r="B94" s="1058" t="s">
        <v>1202</v>
      </c>
      <c r="C94" s="1042">
        <v>0</v>
      </c>
      <c r="D94" s="1042">
        <v>36</v>
      </c>
      <c r="E94" s="1042">
        <v>30</v>
      </c>
      <c r="F94" s="1042">
        <v>14</v>
      </c>
      <c r="G94" s="1042">
        <v>7</v>
      </c>
      <c r="H94" s="1042">
        <v>0</v>
      </c>
      <c r="I94" s="1042">
        <v>0</v>
      </c>
      <c r="J94" s="1042">
        <v>0</v>
      </c>
      <c r="K94" s="1042">
        <v>0</v>
      </c>
      <c r="L94" s="1042">
        <v>0</v>
      </c>
      <c r="M94" s="1042">
        <v>87</v>
      </c>
      <c r="N94" s="1042">
        <v>87</v>
      </c>
      <c r="O94" s="1043" t="s">
        <v>1196</v>
      </c>
      <c r="P94" s="1043"/>
      <c r="Q94" s="1043"/>
      <c r="R94" s="1043"/>
      <c r="S94" s="1043"/>
      <c r="T94" s="1044" t="s">
        <v>1203</v>
      </c>
    </row>
    <row r="95" spans="1:20" x14ac:dyDescent="0.25">
      <c r="A95" s="1040" t="s">
        <v>1204</v>
      </c>
      <c r="B95" s="1041" t="s">
        <v>1205</v>
      </c>
      <c r="C95" s="1042">
        <v>0</v>
      </c>
      <c r="D95" s="1059">
        <v>5240</v>
      </c>
      <c r="E95" s="1059">
        <v>4175</v>
      </c>
      <c r="F95" s="1059">
        <v>5215</v>
      </c>
      <c r="G95" s="1059">
        <v>6493</v>
      </c>
      <c r="H95" s="1059">
        <v>7982</v>
      </c>
      <c r="I95" s="1059">
        <v>9820</v>
      </c>
      <c r="J95" s="1059">
        <v>11813</v>
      </c>
      <c r="K95" s="1059">
        <v>14269</v>
      </c>
      <c r="L95" s="1059">
        <v>14605</v>
      </c>
      <c r="M95" s="1059">
        <v>21123</v>
      </c>
      <c r="N95" s="1059">
        <v>79612</v>
      </c>
      <c r="O95" s="1060" t="s">
        <v>1196</v>
      </c>
      <c r="P95" s="1060"/>
      <c r="Q95" s="1060"/>
      <c r="R95" s="1060"/>
      <c r="S95" s="1060"/>
      <c r="T95" s="1044"/>
    </row>
    <row r="96" spans="1:20" x14ac:dyDescent="0.25">
      <c r="A96" s="1040" t="s">
        <v>1206</v>
      </c>
      <c r="B96" s="1041" t="s">
        <v>1207</v>
      </c>
      <c r="C96" s="1061">
        <v>0</v>
      </c>
      <c r="D96" s="1061">
        <v>55</v>
      </c>
      <c r="E96" s="1061">
        <v>55</v>
      </c>
      <c r="F96" s="1061">
        <v>55</v>
      </c>
      <c r="G96" s="1061">
        <v>55</v>
      </c>
      <c r="H96" s="1061">
        <v>55</v>
      </c>
      <c r="I96" s="1061">
        <v>55</v>
      </c>
      <c r="J96" s="1061">
        <v>55</v>
      </c>
      <c r="K96" s="1061">
        <v>55</v>
      </c>
      <c r="L96" s="1061">
        <v>55</v>
      </c>
      <c r="M96" s="1061">
        <v>220</v>
      </c>
      <c r="N96" s="1061">
        <v>495</v>
      </c>
      <c r="O96" s="1062" t="s">
        <v>1196</v>
      </c>
      <c r="P96" s="1062"/>
      <c r="Q96" s="1062"/>
      <c r="R96" s="1062"/>
      <c r="S96" s="1062"/>
      <c r="T96" s="1045"/>
    </row>
    <row r="97" spans="1:20" x14ac:dyDescent="0.25">
      <c r="A97" s="1040" t="s">
        <v>1208</v>
      </c>
      <c r="B97" s="1041" t="s">
        <v>1209</v>
      </c>
      <c r="C97" s="1042">
        <v>0</v>
      </c>
      <c r="D97" s="1042">
        <v>19</v>
      </c>
      <c r="E97" s="1042">
        <v>26</v>
      </c>
      <c r="F97" s="1042">
        <v>27</v>
      </c>
      <c r="G97" s="1042">
        <v>17</v>
      </c>
      <c r="H97" s="1042">
        <v>7</v>
      </c>
      <c r="I97" s="1042">
        <v>3</v>
      </c>
      <c r="J97" s="1042">
        <v>1</v>
      </c>
      <c r="K97" s="1042">
        <v>0</v>
      </c>
      <c r="L97" s="1042">
        <v>0</v>
      </c>
      <c r="M97" s="1042">
        <v>89</v>
      </c>
      <c r="N97" s="1042">
        <v>100</v>
      </c>
      <c r="O97" s="1060" t="s">
        <v>1196</v>
      </c>
      <c r="P97" s="1060"/>
      <c r="Q97" s="1060"/>
      <c r="R97" s="1060"/>
      <c r="S97" s="1060"/>
      <c r="T97" s="1045"/>
    </row>
    <row r="98" spans="1:20" x14ac:dyDescent="0.25">
      <c r="A98" s="1040" t="s">
        <v>1210</v>
      </c>
      <c r="B98" s="1041" t="s">
        <v>1211</v>
      </c>
      <c r="C98" s="1042">
        <v>0</v>
      </c>
      <c r="D98" s="1042">
        <v>15</v>
      </c>
      <c r="E98" s="1042">
        <v>15</v>
      </c>
      <c r="F98" s="1042">
        <v>15</v>
      </c>
      <c r="G98" s="1042">
        <v>10</v>
      </c>
      <c r="H98" s="1042">
        <v>10</v>
      </c>
      <c r="I98" s="1042">
        <v>10</v>
      </c>
      <c r="J98" s="1042">
        <v>10</v>
      </c>
      <c r="K98" s="1042">
        <v>10</v>
      </c>
      <c r="L98" s="1042">
        <v>5</v>
      </c>
      <c r="M98" s="1042">
        <v>55</v>
      </c>
      <c r="N98" s="1042">
        <v>100</v>
      </c>
      <c r="O98" s="1043" t="s">
        <v>1196</v>
      </c>
      <c r="P98" s="1043"/>
      <c r="Q98" s="1043"/>
      <c r="R98" s="1043"/>
      <c r="S98" s="1043"/>
      <c r="T98" s="1045"/>
    </row>
    <row r="99" spans="1:20" ht="36" customHeight="1" x14ac:dyDescent="0.25">
      <c r="A99" s="1040" t="s">
        <v>1212</v>
      </c>
      <c r="B99" s="1041" t="s">
        <v>1213</v>
      </c>
      <c r="C99" s="1063">
        <v>0</v>
      </c>
      <c r="D99" s="1063">
        <v>22</v>
      </c>
      <c r="E99" s="1063">
        <v>96</v>
      </c>
      <c r="F99" s="1063">
        <v>170</v>
      </c>
      <c r="G99" s="1063">
        <v>213</v>
      </c>
      <c r="H99" s="1063">
        <v>160</v>
      </c>
      <c r="I99" s="1063">
        <v>47</v>
      </c>
      <c r="J99" s="1063">
        <v>2</v>
      </c>
      <c r="K99" s="1063">
        <v>0</v>
      </c>
      <c r="L99" s="1063">
        <v>0</v>
      </c>
      <c r="M99" s="1063">
        <v>501</v>
      </c>
      <c r="N99" s="1063">
        <v>710</v>
      </c>
      <c r="O99" s="1042" t="s">
        <v>1196</v>
      </c>
      <c r="P99" s="1042"/>
      <c r="Q99" s="1042"/>
      <c r="R99" s="1042"/>
      <c r="S99" s="1042"/>
      <c r="T99" s="1045"/>
    </row>
    <row r="100" spans="1:20" ht="36" customHeight="1" x14ac:dyDescent="0.25">
      <c r="A100" s="1040" t="s">
        <v>1214</v>
      </c>
      <c r="B100" s="1041" t="s">
        <v>1215</v>
      </c>
      <c r="C100" s="1064"/>
      <c r="D100" s="1064">
        <v>90</v>
      </c>
      <c r="E100" s="1064">
        <v>260</v>
      </c>
      <c r="F100" s="1064">
        <v>427</v>
      </c>
      <c r="G100" s="1064">
        <v>560</v>
      </c>
      <c r="H100" s="1064">
        <v>572</v>
      </c>
      <c r="I100" s="1064">
        <v>534</v>
      </c>
      <c r="J100" s="1064">
        <v>275</v>
      </c>
      <c r="K100" s="1064">
        <v>162</v>
      </c>
      <c r="L100" s="1064">
        <v>70</v>
      </c>
      <c r="M100" s="1064">
        <v>1347</v>
      </c>
      <c r="N100" s="1064">
        <v>2960</v>
      </c>
      <c r="O100" s="1065" t="s">
        <v>1196</v>
      </c>
      <c r="P100" s="1065"/>
      <c r="Q100" s="1065"/>
      <c r="R100" s="1065"/>
      <c r="S100" s="1065"/>
      <c r="T100" s="1045"/>
    </row>
    <row r="101" spans="1:20" x14ac:dyDescent="0.25">
      <c r="A101" s="1040" t="s">
        <v>1216</v>
      </c>
      <c r="B101" s="1041" t="s">
        <v>1217</v>
      </c>
      <c r="C101" s="1042">
        <v>0</v>
      </c>
      <c r="D101" s="1042">
        <v>40</v>
      </c>
      <c r="E101" s="1042">
        <v>60</v>
      </c>
      <c r="F101" s="1042">
        <v>52</v>
      </c>
      <c r="G101" s="1042">
        <v>40</v>
      </c>
      <c r="H101" s="1042">
        <v>27</v>
      </c>
      <c r="I101" s="1042">
        <v>19</v>
      </c>
      <c r="J101" s="1042">
        <v>10</v>
      </c>
      <c r="K101" s="1042">
        <v>2</v>
      </c>
      <c r="L101" s="1042">
        <v>0</v>
      </c>
      <c r="M101" s="1042">
        <v>192</v>
      </c>
      <c r="N101" s="1042">
        <v>250</v>
      </c>
      <c r="O101" s="1043" t="s">
        <v>1196</v>
      </c>
      <c r="P101" s="1043"/>
      <c r="Q101" s="1043"/>
      <c r="R101" s="1043"/>
      <c r="S101" s="1043"/>
      <c r="T101" s="1045"/>
    </row>
    <row r="102" spans="1:20" x14ac:dyDescent="0.25">
      <c r="A102" s="1057" t="s">
        <v>1218</v>
      </c>
      <c r="B102" s="1058" t="s">
        <v>1219</v>
      </c>
      <c r="C102" s="1042">
        <v>0</v>
      </c>
      <c r="D102" s="1042">
        <v>49</v>
      </c>
      <c r="E102" s="1042">
        <v>62</v>
      </c>
      <c r="F102" s="1042">
        <v>62</v>
      </c>
      <c r="G102" s="1042">
        <v>62</v>
      </c>
      <c r="H102" s="1042">
        <v>63</v>
      </c>
      <c r="I102" s="1042">
        <v>63</v>
      </c>
      <c r="J102" s="1042">
        <v>63</v>
      </c>
      <c r="K102" s="1042">
        <v>64</v>
      </c>
      <c r="L102" s="1042">
        <v>12</v>
      </c>
      <c r="M102" s="1042">
        <v>235</v>
      </c>
      <c r="N102" s="1042">
        <v>500</v>
      </c>
      <c r="O102" s="1043" t="s">
        <v>1196</v>
      </c>
      <c r="P102" s="1043"/>
      <c r="Q102" s="1043"/>
      <c r="R102" s="1043"/>
      <c r="S102" s="1043"/>
      <c r="T102" s="1045"/>
    </row>
    <row r="103" spans="1:20" x14ac:dyDescent="0.25">
      <c r="A103" s="1040" t="s">
        <v>1220</v>
      </c>
      <c r="B103" s="1041" t="s">
        <v>1221</v>
      </c>
      <c r="C103" s="1042">
        <v>0</v>
      </c>
      <c r="D103" s="1042">
        <v>0</v>
      </c>
      <c r="E103" s="1042">
        <v>0</v>
      </c>
      <c r="F103" s="1042">
        <v>0</v>
      </c>
      <c r="G103" s="1042">
        <v>-20</v>
      </c>
      <c r="H103" s="1042">
        <v>-28</v>
      </c>
      <c r="I103" s="1042">
        <v>-28</v>
      </c>
      <c r="J103" s="1042">
        <v>-28</v>
      </c>
      <c r="K103" s="1042">
        <v>-28</v>
      </c>
      <c r="L103" s="1042">
        <v>-28</v>
      </c>
      <c r="M103" s="1042">
        <v>-20</v>
      </c>
      <c r="N103" s="1042">
        <v>-160</v>
      </c>
      <c r="O103" s="1043" t="s">
        <v>1196</v>
      </c>
      <c r="P103" s="1043"/>
      <c r="Q103" s="1043"/>
      <c r="R103" s="1043"/>
      <c r="S103" s="1043"/>
      <c r="T103" s="1045"/>
    </row>
    <row r="104" spans="1:20" ht="24" customHeight="1" x14ac:dyDescent="0.25">
      <c r="A104" s="1040" t="s">
        <v>1222</v>
      </c>
      <c r="B104" s="1041" t="s">
        <v>1223</v>
      </c>
      <c r="C104" s="1042">
        <v>0</v>
      </c>
      <c r="D104" s="1042">
        <v>-235</v>
      </c>
      <c r="E104" s="1042">
        <v>-44</v>
      </c>
      <c r="F104" s="1042">
        <v>-22</v>
      </c>
      <c r="G104" s="1042">
        <v>-26</v>
      </c>
      <c r="H104" s="1042">
        <v>-23</v>
      </c>
      <c r="I104" s="1042">
        <v>-19</v>
      </c>
      <c r="J104" s="1042">
        <v>-41</v>
      </c>
      <c r="K104" s="1042">
        <v>-35</v>
      </c>
      <c r="L104" s="1042">
        <v>-39</v>
      </c>
      <c r="M104" s="1042">
        <v>-327</v>
      </c>
      <c r="N104" s="1042">
        <v>-484</v>
      </c>
      <c r="O104" s="1043" t="s">
        <v>1196</v>
      </c>
      <c r="P104" s="1043"/>
      <c r="Q104" s="1043"/>
      <c r="R104" s="1043"/>
      <c r="S104" s="1043"/>
      <c r="T104" s="1045"/>
    </row>
    <row r="105" spans="1:20" x14ac:dyDescent="0.25">
      <c r="A105" s="1040" t="s">
        <v>1224</v>
      </c>
      <c r="B105" s="1041" t="s">
        <v>1225</v>
      </c>
      <c r="C105" s="1042">
        <v>0</v>
      </c>
      <c r="D105" s="1042">
        <v>7</v>
      </c>
      <c r="E105" s="1042">
        <v>8</v>
      </c>
      <c r="F105" s="1042">
        <v>6</v>
      </c>
      <c r="G105" s="1042">
        <v>2</v>
      </c>
      <c r="H105" s="1042">
        <v>1</v>
      </c>
      <c r="I105" s="1042">
        <v>0</v>
      </c>
      <c r="J105" s="1042">
        <v>0</v>
      </c>
      <c r="K105" s="1042">
        <v>0</v>
      </c>
      <c r="L105" s="1042">
        <v>0</v>
      </c>
      <c r="M105" s="1042">
        <v>23</v>
      </c>
      <c r="N105" s="1042">
        <v>24</v>
      </c>
      <c r="O105" s="1043" t="s">
        <v>1196</v>
      </c>
      <c r="P105" s="1043"/>
      <c r="Q105" s="1043"/>
      <c r="R105" s="1043"/>
      <c r="S105" s="1043"/>
      <c r="T105" s="1045"/>
    </row>
    <row r="106" spans="1:20" ht="36" customHeight="1" x14ac:dyDescent="0.25">
      <c r="A106" s="1040" t="s">
        <v>1226</v>
      </c>
      <c r="B106" s="1041" t="s">
        <v>1227</v>
      </c>
      <c r="C106" s="1042">
        <v>0</v>
      </c>
      <c r="D106" s="1042">
        <v>50</v>
      </c>
      <c r="E106" s="1042">
        <v>77</v>
      </c>
      <c r="F106" s="1042">
        <v>87</v>
      </c>
      <c r="G106" s="1042">
        <v>81</v>
      </c>
      <c r="H106" s="1042">
        <v>50</v>
      </c>
      <c r="I106" s="1042">
        <v>30</v>
      </c>
      <c r="J106" s="1042">
        <v>10</v>
      </c>
      <c r="K106" s="1042">
        <v>0</v>
      </c>
      <c r="L106" s="1042">
        <v>0</v>
      </c>
      <c r="M106" s="1042">
        <v>295</v>
      </c>
      <c r="N106" s="1042">
        <v>385</v>
      </c>
      <c r="O106" s="1043" t="s">
        <v>1196</v>
      </c>
      <c r="P106" s="1043"/>
      <c r="Q106" s="1043"/>
      <c r="R106" s="1043"/>
      <c r="S106" s="1043"/>
      <c r="T106" s="1045"/>
    </row>
    <row r="107" spans="1:20" x14ac:dyDescent="0.25">
      <c r="A107" s="1057" t="s">
        <v>1228</v>
      </c>
      <c r="B107" s="1058" t="s">
        <v>1229</v>
      </c>
      <c r="C107" s="1042">
        <v>0</v>
      </c>
      <c r="D107" s="1042">
        <v>3</v>
      </c>
      <c r="E107" s="1042">
        <v>2</v>
      </c>
      <c r="F107" s="1042">
        <v>0</v>
      </c>
      <c r="G107" s="1042">
        <v>0</v>
      </c>
      <c r="H107" s="1042">
        <v>0</v>
      </c>
      <c r="I107" s="1042">
        <v>0</v>
      </c>
      <c r="J107" s="1042">
        <v>0</v>
      </c>
      <c r="K107" s="1042">
        <v>0</v>
      </c>
      <c r="L107" s="1042">
        <v>0</v>
      </c>
      <c r="M107" s="1042">
        <v>5</v>
      </c>
      <c r="N107" s="1042">
        <v>5</v>
      </c>
      <c r="O107" s="1043" t="s">
        <v>1230</v>
      </c>
      <c r="P107" s="1043"/>
      <c r="Q107" s="1043"/>
      <c r="R107" s="1043"/>
      <c r="S107" s="1043"/>
      <c r="T107" s="1045"/>
    </row>
    <row r="108" spans="1:20" x14ac:dyDescent="0.25">
      <c r="A108" s="1057" t="s">
        <v>1231</v>
      </c>
      <c r="B108" s="1058" t="s">
        <v>1232</v>
      </c>
      <c r="C108" s="1042">
        <v>0</v>
      </c>
      <c r="D108" s="1042">
        <v>70</v>
      </c>
      <c r="E108" s="1042">
        <v>80</v>
      </c>
      <c r="F108" s="1042">
        <v>62</v>
      </c>
      <c r="G108" s="1042">
        <v>25</v>
      </c>
      <c r="H108" s="1042">
        <v>13</v>
      </c>
      <c r="I108" s="1042">
        <v>0</v>
      </c>
      <c r="J108" s="1042">
        <v>0</v>
      </c>
      <c r="K108" s="1042">
        <v>0</v>
      </c>
      <c r="L108" s="1042">
        <v>0</v>
      </c>
      <c r="M108" s="1042">
        <v>237</v>
      </c>
      <c r="N108" s="1042">
        <v>250</v>
      </c>
      <c r="O108" s="1043" t="s">
        <v>1230</v>
      </c>
      <c r="P108" s="1043"/>
      <c r="Q108" s="1043"/>
      <c r="R108" s="1043"/>
      <c r="S108" s="1043"/>
      <c r="T108" s="1045"/>
    </row>
    <row r="109" spans="1:20" ht="24" customHeight="1" x14ac:dyDescent="0.25">
      <c r="A109" s="1057" t="s">
        <v>1233</v>
      </c>
      <c r="B109" s="1058" t="s">
        <v>1234</v>
      </c>
      <c r="C109" s="1061">
        <v>0</v>
      </c>
      <c r="D109" s="1061">
        <v>33</v>
      </c>
      <c r="E109" s="1061">
        <v>54</v>
      </c>
      <c r="F109" s="1061">
        <v>37</v>
      </c>
      <c r="G109" s="1061">
        <v>16</v>
      </c>
      <c r="H109" s="1061">
        <v>0</v>
      </c>
      <c r="I109" s="1061">
        <v>0</v>
      </c>
      <c r="J109" s="1061">
        <v>0</v>
      </c>
      <c r="K109" s="1061">
        <v>0</v>
      </c>
      <c r="L109" s="1061">
        <v>0</v>
      </c>
      <c r="M109" s="1061">
        <v>140</v>
      </c>
      <c r="N109" s="1061">
        <v>140</v>
      </c>
      <c r="O109" s="1043" t="s">
        <v>1196</v>
      </c>
      <c r="P109" s="1043"/>
      <c r="Q109" s="1043"/>
      <c r="R109" s="1043"/>
      <c r="S109" s="1043"/>
      <c r="T109" s="1045"/>
    </row>
    <row r="110" spans="1:20" x14ac:dyDescent="0.25">
      <c r="A110" s="1040" t="s">
        <v>1235</v>
      </c>
      <c r="B110" s="1041" t="s">
        <v>1236</v>
      </c>
      <c r="C110" s="1042">
        <v>0</v>
      </c>
      <c r="D110" s="1042">
        <v>40</v>
      </c>
      <c r="E110" s="1042">
        <v>40</v>
      </c>
      <c r="F110" s="1042">
        <v>30</v>
      </c>
      <c r="G110" s="1042">
        <v>10</v>
      </c>
      <c r="H110" s="1042">
        <v>5</v>
      </c>
      <c r="I110" s="1042">
        <v>0</v>
      </c>
      <c r="J110" s="1042">
        <v>0</v>
      </c>
      <c r="K110" s="1042">
        <v>0</v>
      </c>
      <c r="L110" s="1042">
        <v>0</v>
      </c>
      <c r="M110" s="1042">
        <v>120</v>
      </c>
      <c r="N110" s="1042">
        <v>125</v>
      </c>
      <c r="O110" s="1043" t="s">
        <v>1196</v>
      </c>
      <c r="P110" s="1043"/>
      <c r="Q110" s="1043"/>
      <c r="R110" s="1043"/>
      <c r="S110" s="1043"/>
      <c r="T110" s="1045"/>
    </row>
    <row r="111" spans="1:20" x14ac:dyDescent="0.25">
      <c r="A111" s="1057" t="s">
        <v>1237</v>
      </c>
      <c r="B111" s="1041" t="s">
        <v>1238</v>
      </c>
      <c r="C111" s="1042">
        <v>0</v>
      </c>
      <c r="D111" s="1042">
        <v>5</v>
      </c>
      <c r="E111" s="1042">
        <v>8</v>
      </c>
      <c r="F111" s="1042">
        <v>8</v>
      </c>
      <c r="G111" s="1042">
        <v>8</v>
      </c>
      <c r="H111" s="1042">
        <v>4</v>
      </c>
      <c r="I111" s="1042">
        <v>0</v>
      </c>
      <c r="J111" s="1042">
        <v>0</v>
      </c>
      <c r="K111" s="1042">
        <v>0</v>
      </c>
      <c r="L111" s="1042">
        <v>0</v>
      </c>
      <c r="M111" s="1042">
        <v>29</v>
      </c>
      <c r="N111" s="1042">
        <v>33</v>
      </c>
      <c r="O111" s="1043" t="s">
        <v>1196</v>
      </c>
      <c r="P111" s="1043"/>
      <c r="Q111" s="1043"/>
      <c r="R111" s="1043"/>
      <c r="S111" s="1043"/>
      <c r="T111" s="1045"/>
    </row>
    <row r="112" spans="1:20" x14ac:dyDescent="0.25">
      <c r="A112" s="1040" t="s">
        <v>1239</v>
      </c>
      <c r="B112" s="1058" t="s">
        <v>1240</v>
      </c>
      <c r="C112" s="1042">
        <v>0</v>
      </c>
      <c r="D112" s="1042">
        <v>3</v>
      </c>
      <c r="E112" s="1042">
        <v>8</v>
      </c>
      <c r="F112" s="1042">
        <v>8</v>
      </c>
      <c r="G112" s="1042">
        <v>8</v>
      </c>
      <c r="H112" s="1042">
        <v>3</v>
      </c>
      <c r="I112" s="1042">
        <v>0</v>
      </c>
      <c r="J112" s="1042">
        <v>0</v>
      </c>
      <c r="K112" s="1042">
        <v>0</v>
      </c>
      <c r="L112" s="1042">
        <v>0</v>
      </c>
      <c r="M112" s="1042">
        <v>27</v>
      </c>
      <c r="N112" s="1042">
        <v>30</v>
      </c>
      <c r="O112" s="1043" t="s">
        <v>1196</v>
      </c>
      <c r="P112" s="1043"/>
      <c r="Q112" s="1043"/>
      <c r="R112" s="1043"/>
      <c r="S112" s="1043"/>
      <c r="T112" s="1045"/>
    </row>
    <row r="113" spans="1:20" ht="24" customHeight="1" x14ac:dyDescent="0.25">
      <c r="A113" s="1040" t="s">
        <v>1241</v>
      </c>
      <c r="B113" s="1041" t="s">
        <v>1242</v>
      </c>
      <c r="C113" s="1061">
        <v>0</v>
      </c>
      <c r="D113" s="1061">
        <v>165</v>
      </c>
      <c r="E113" s="1061">
        <v>165</v>
      </c>
      <c r="F113" s="1061">
        <v>230</v>
      </c>
      <c r="G113" s="1061">
        <v>340</v>
      </c>
      <c r="H113" s="1061">
        <v>490</v>
      </c>
      <c r="I113" s="1061">
        <v>540</v>
      </c>
      <c r="J113" s="1061">
        <v>640</v>
      </c>
      <c r="K113" s="1061">
        <v>475</v>
      </c>
      <c r="L113" s="1061">
        <v>330</v>
      </c>
      <c r="M113" s="1061">
        <v>900</v>
      </c>
      <c r="N113" s="1061">
        <v>3375</v>
      </c>
      <c r="O113" s="1060" t="s">
        <v>1196</v>
      </c>
      <c r="P113" s="1060"/>
      <c r="Q113" s="1060"/>
      <c r="R113" s="1060"/>
      <c r="S113" s="1060"/>
      <c r="T113" s="1045"/>
    </row>
    <row r="114" spans="1:20" ht="24" customHeight="1" x14ac:dyDescent="0.25">
      <c r="A114" s="1066" t="s">
        <v>1212</v>
      </c>
      <c r="B114" s="1067" t="s">
        <v>1243</v>
      </c>
      <c r="C114" s="1042">
        <v>0</v>
      </c>
      <c r="D114" s="1042">
        <v>195</v>
      </c>
      <c r="E114" s="1042">
        <v>448</v>
      </c>
      <c r="F114" s="1042">
        <v>641</v>
      </c>
      <c r="G114" s="1042">
        <v>716</v>
      </c>
      <c r="H114" s="1042">
        <v>681</v>
      </c>
      <c r="I114" s="1042">
        <v>528</v>
      </c>
      <c r="J114" s="1042">
        <v>421</v>
      </c>
      <c r="K114" s="1042">
        <v>323</v>
      </c>
      <c r="L114" s="1042">
        <v>23</v>
      </c>
      <c r="M114" s="1059">
        <v>2000</v>
      </c>
      <c r="N114" s="1059">
        <v>3976</v>
      </c>
      <c r="O114" s="1060" t="s">
        <v>1196</v>
      </c>
      <c r="P114" s="1060"/>
      <c r="Q114" s="1060"/>
      <c r="R114" s="1060"/>
      <c r="S114" s="1060"/>
      <c r="T114" s="1068"/>
    </row>
    <row r="115" spans="1:20" ht="30" customHeight="1" x14ac:dyDescent="0.25">
      <c r="A115" s="1052" t="s">
        <v>1244</v>
      </c>
      <c r="B115" s="1053" t="s">
        <v>1245</v>
      </c>
      <c r="C115" s="1069">
        <v>0</v>
      </c>
      <c r="D115" s="1069">
        <v>20</v>
      </c>
      <c r="E115" s="1069">
        <v>57</v>
      </c>
      <c r="F115" s="1069">
        <v>96</v>
      </c>
      <c r="G115" s="1069">
        <v>150</v>
      </c>
      <c r="H115" s="1069">
        <v>200</v>
      </c>
      <c r="I115" s="1069">
        <v>185</v>
      </c>
      <c r="J115" s="1069">
        <v>147</v>
      </c>
      <c r="K115" s="1069">
        <v>106</v>
      </c>
      <c r="L115" s="1069">
        <v>39</v>
      </c>
      <c r="M115" s="1069">
        <v>323</v>
      </c>
      <c r="N115" s="1070">
        <v>1000</v>
      </c>
      <c r="O115" s="1071" t="s">
        <v>1246</v>
      </c>
      <c r="P115" s="1101"/>
      <c r="Q115" s="1101"/>
      <c r="R115" s="1101"/>
      <c r="S115" s="1101"/>
      <c r="T115" s="1072" t="s">
        <v>1247</v>
      </c>
    </row>
    <row r="116" spans="1:20" x14ac:dyDescent="0.25">
      <c r="A116" s="1057" t="s">
        <v>1248</v>
      </c>
      <c r="B116" s="1041" t="s">
        <v>1249</v>
      </c>
      <c r="C116" s="1042">
        <v>0</v>
      </c>
      <c r="D116" s="1042">
        <v>15</v>
      </c>
      <c r="E116" s="1042">
        <v>53</v>
      </c>
      <c r="F116" s="1042">
        <v>57</v>
      </c>
      <c r="G116" s="1042">
        <v>48</v>
      </c>
      <c r="H116" s="1042">
        <v>43</v>
      </c>
      <c r="I116" s="1042">
        <v>17</v>
      </c>
      <c r="J116" s="1042">
        <v>2</v>
      </c>
      <c r="K116" s="1042">
        <v>0</v>
      </c>
      <c r="L116" s="1042">
        <v>0</v>
      </c>
      <c r="M116" s="1042">
        <v>173</v>
      </c>
      <c r="N116" s="1042">
        <v>235</v>
      </c>
      <c r="O116" s="1043" t="s">
        <v>1250</v>
      </c>
      <c r="P116" s="1043"/>
      <c r="Q116" s="1043"/>
      <c r="R116" s="1043"/>
      <c r="S116" s="1043"/>
      <c r="T116" s="1044" t="s">
        <v>1251</v>
      </c>
    </row>
    <row r="117" spans="1:20" x14ac:dyDescent="0.25">
      <c r="A117" s="1040" t="s">
        <v>1252</v>
      </c>
      <c r="B117" s="1041" t="s">
        <v>1253</v>
      </c>
      <c r="C117" s="1042">
        <v>0</v>
      </c>
      <c r="D117" s="1042">
        <v>15</v>
      </c>
      <c r="E117" s="1042">
        <v>53</v>
      </c>
      <c r="F117" s="1042">
        <v>57</v>
      </c>
      <c r="G117" s="1042">
        <v>48</v>
      </c>
      <c r="H117" s="1042">
        <v>43</v>
      </c>
      <c r="I117" s="1042">
        <v>17</v>
      </c>
      <c r="J117" s="1042">
        <v>2</v>
      </c>
      <c r="K117" s="1042">
        <v>0</v>
      </c>
      <c r="L117" s="1042">
        <v>0</v>
      </c>
      <c r="M117" s="1042">
        <v>173</v>
      </c>
      <c r="N117" s="1042">
        <v>235</v>
      </c>
      <c r="O117" s="1043" t="s">
        <v>1250</v>
      </c>
      <c r="P117" s="1043"/>
      <c r="Q117" s="1043"/>
      <c r="R117" s="1043"/>
      <c r="S117" s="1043"/>
      <c r="T117" s="1044" t="s">
        <v>1251</v>
      </c>
    </row>
    <row r="118" spans="1:20" x14ac:dyDescent="0.25">
      <c r="A118" s="1057" t="s">
        <v>1254</v>
      </c>
      <c r="B118" s="1058" t="s">
        <v>1255</v>
      </c>
      <c r="C118" s="1042">
        <v>0</v>
      </c>
      <c r="D118" s="1042">
        <v>42</v>
      </c>
      <c r="E118" s="1042">
        <v>18</v>
      </c>
      <c r="F118" s="1042">
        <v>0</v>
      </c>
      <c r="G118" s="1042">
        <v>0</v>
      </c>
      <c r="H118" s="1042">
        <v>0</v>
      </c>
      <c r="I118" s="1042">
        <v>0</v>
      </c>
      <c r="J118" s="1042">
        <v>0</v>
      </c>
      <c r="K118" s="1042">
        <v>0</v>
      </c>
      <c r="L118" s="1042">
        <v>0</v>
      </c>
      <c r="M118" s="1042">
        <v>60</v>
      </c>
      <c r="N118" s="1042">
        <v>60</v>
      </c>
      <c r="O118" s="1043" t="s">
        <v>1246</v>
      </c>
      <c r="P118" s="1043"/>
      <c r="Q118" s="1043"/>
      <c r="R118" s="1043"/>
      <c r="S118" s="1043"/>
      <c r="T118" s="1045" t="s">
        <v>1256</v>
      </c>
    </row>
    <row r="119" spans="1:20" x14ac:dyDescent="0.25">
      <c r="A119" s="1040" t="s">
        <v>1257</v>
      </c>
      <c r="B119" s="1041" t="s">
        <v>1258</v>
      </c>
      <c r="C119" s="1042">
        <v>0</v>
      </c>
      <c r="D119" s="1042">
        <v>2</v>
      </c>
      <c r="E119" s="1042">
        <v>13</v>
      </c>
      <c r="F119" s="1042">
        <v>26</v>
      </c>
      <c r="G119" s="1042">
        <v>30</v>
      </c>
      <c r="H119" s="1042">
        <v>24</v>
      </c>
      <c r="I119" s="1042">
        <v>0</v>
      </c>
      <c r="J119" s="1042">
        <v>0</v>
      </c>
      <c r="K119" s="1042">
        <v>0</v>
      </c>
      <c r="L119" s="1042">
        <v>0</v>
      </c>
      <c r="M119" s="1042">
        <v>71</v>
      </c>
      <c r="N119" s="1042">
        <v>95</v>
      </c>
      <c r="O119" s="1043" t="s">
        <v>1246</v>
      </c>
      <c r="P119" s="1043"/>
      <c r="Q119" s="1043"/>
      <c r="R119" s="1043"/>
      <c r="S119" s="1043"/>
      <c r="T119" s="1044" t="s">
        <v>1259</v>
      </c>
    </row>
    <row r="120" spans="1:20" ht="36" customHeight="1" x14ac:dyDescent="0.25">
      <c r="A120" s="1040" t="s">
        <v>1260</v>
      </c>
      <c r="B120" s="1041" t="s">
        <v>1261</v>
      </c>
      <c r="C120" s="1042">
        <v>0</v>
      </c>
      <c r="D120" s="1042">
        <v>3</v>
      </c>
      <c r="E120" s="1042">
        <v>19</v>
      </c>
      <c r="F120" s="1042">
        <v>67</v>
      </c>
      <c r="G120" s="1042">
        <v>86</v>
      </c>
      <c r="H120" s="1042">
        <v>59</v>
      </c>
      <c r="I120" s="1042">
        <v>35</v>
      </c>
      <c r="J120" s="1042">
        <v>19</v>
      </c>
      <c r="K120" s="1042">
        <v>6</v>
      </c>
      <c r="L120" s="1042">
        <v>0</v>
      </c>
      <c r="M120" s="1042">
        <v>175</v>
      </c>
      <c r="N120" s="1042">
        <v>294</v>
      </c>
      <c r="O120" s="1043" t="s">
        <v>1246</v>
      </c>
      <c r="P120" s="1043"/>
      <c r="Q120" s="1043"/>
      <c r="R120" s="1043"/>
      <c r="S120" s="1043"/>
      <c r="T120" s="1068" t="s">
        <v>1262</v>
      </c>
    </row>
    <row r="121" spans="1:20" x14ac:dyDescent="0.25">
      <c r="A121" s="1040" t="s">
        <v>1263</v>
      </c>
      <c r="B121" s="1041" t="s">
        <v>1264</v>
      </c>
      <c r="C121" s="1042">
        <v>0</v>
      </c>
      <c r="D121" s="1042">
        <v>65</v>
      </c>
      <c r="E121" s="1042">
        <v>150</v>
      </c>
      <c r="F121" s="1042">
        <v>290</v>
      </c>
      <c r="G121" s="1042">
        <v>290</v>
      </c>
      <c r="H121" s="1042">
        <v>290</v>
      </c>
      <c r="I121" s="1042">
        <v>285</v>
      </c>
      <c r="J121" s="1042">
        <v>250</v>
      </c>
      <c r="K121" s="1042">
        <v>220</v>
      </c>
      <c r="L121" s="1042">
        <v>160</v>
      </c>
      <c r="M121" s="1042">
        <v>795</v>
      </c>
      <c r="N121" s="1059">
        <v>2000</v>
      </c>
      <c r="O121" s="1043" t="s">
        <v>1246</v>
      </c>
      <c r="P121" s="1043"/>
      <c r="Q121" s="1043"/>
      <c r="R121" s="1043"/>
      <c r="S121" s="1043"/>
      <c r="T121" s="1045"/>
    </row>
    <row r="122" spans="1:20" x14ac:dyDescent="0.25">
      <c r="A122" s="1040" t="s">
        <v>1265</v>
      </c>
      <c r="B122" s="1041" t="s">
        <v>1266</v>
      </c>
      <c r="C122" s="1042">
        <v>0</v>
      </c>
      <c r="D122" s="1042">
        <v>5</v>
      </c>
      <c r="E122" s="1042">
        <v>20</v>
      </c>
      <c r="F122" s="1042">
        <v>65</v>
      </c>
      <c r="G122" s="1042">
        <v>105</v>
      </c>
      <c r="H122" s="1042">
        <v>140</v>
      </c>
      <c r="I122" s="1042">
        <v>175</v>
      </c>
      <c r="J122" s="1042">
        <v>210</v>
      </c>
      <c r="K122" s="1042">
        <v>150</v>
      </c>
      <c r="L122" s="1042">
        <v>35</v>
      </c>
      <c r="M122" s="1042">
        <v>195</v>
      </c>
      <c r="N122" s="1042">
        <v>905</v>
      </c>
      <c r="O122" s="1073" t="s">
        <v>1246</v>
      </c>
      <c r="P122" s="1073"/>
      <c r="Q122" s="1073"/>
      <c r="R122" s="1073"/>
      <c r="S122" s="1073"/>
      <c r="T122" s="1074"/>
    </row>
    <row r="123" spans="1:20" x14ac:dyDescent="0.25">
      <c r="A123" s="1040" t="s">
        <v>1267</v>
      </c>
      <c r="B123" s="1041" t="s">
        <v>1268</v>
      </c>
      <c r="C123" s="1042">
        <v>0</v>
      </c>
      <c r="D123" s="1042">
        <v>10</v>
      </c>
      <c r="E123" s="1042">
        <v>150</v>
      </c>
      <c r="F123" s="1042">
        <v>300</v>
      </c>
      <c r="G123" s="1042">
        <v>590</v>
      </c>
      <c r="H123" s="1042">
        <v>460</v>
      </c>
      <c r="I123" s="1042">
        <v>295</v>
      </c>
      <c r="J123" s="1042">
        <v>195</v>
      </c>
      <c r="K123" s="1042">
        <v>0</v>
      </c>
      <c r="L123" s="1042">
        <v>0</v>
      </c>
      <c r="M123" s="1059">
        <v>1050</v>
      </c>
      <c r="N123" s="1059">
        <v>2000</v>
      </c>
      <c r="O123" s="1043" t="s">
        <v>1246</v>
      </c>
      <c r="P123" s="1043"/>
      <c r="Q123" s="1043"/>
      <c r="R123" s="1043"/>
      <c r="S123" s="1043"/>
      <c r="T123" s="1045"/>
    </row>
    <row r="124" spans="1:20" x14ac:dyDescent="0.25">
      <c r="A124" s="1040" t="s">
        <v>1269</v>
      </c>
      <c r="B124" s="1041" t="s">
        <v>1270</v>
      </c>
      <c r="C124" s="1042"/>
      <c r="D124" s="1042"/>
      <c r="E124" s="1042"/>
      <c r="F124" s="1042"/>
      <c r="G124" s="1042"/>
      <c r="H124" s="1042"/>
      <c r="I124" s="1042"/>
      <c r="J124" s="1042"/>
      <c r="K124" s="1042"/>
      <c r="L124" s="1042"/>
      <c r="M124" s="1042"/>
      <c r="N124" s="1042"/>
      <c r="O124" s="1043"/>
      <c r="P124" s="1043"/>
      <c r="Q124" s="1043"/>
      <c r="R124" s="1043"/>
      <c r="S124" s="1043"/>
      <c r="T124" s="1045"/>
    </row>
    <row r="125" spans="1:20" ht="24" customHeight="1" x14ac:dyDescent="0.25">
      <c r="A125" s="1057" t="s">
        <v>1271</v>
      </c>
      <c r="B125" s="1058" t="s">
        <v>1272</v>
      </c>
      <c r="C125" s="1061">
        <v>0</v>
      </c>
      <c r="D125" s="1061">
        <v>72</v>
      </c>
      <c r="E125" s="1061">
        <v>123</v>
      </c>
      <c r="F125" s="1061">
        <v>122</v>
      </c>
      <c r="G125" s="1061">
        <v>115</v>
      </c>
      <c r="H125" s="1061">
        <v>55</v>
      </c>
      <c r="I125" s="1061">
        <v>55</v>
      </c>
      <c r="J125" s="1061">
        <v>33</v>
      </c>
      <c r="K125" s="1061">
        <v>0</v>
      </c>
      <c r="L125" s="1061">
        <v>0</v>
      </c>
      <c r="M125" s="1061">
        <v>432</v>
      </c>
      <c r="N125" s="1061">
        <v>575</v>
      </c>
      <c r="O125" s="1042" t="s">
        <v>1246</v>
      </c>
      <c r="P125" s="1042"/>
      <c r="Q125" s="1042"/>
      <c r="R125" s="1042"/>
      <c r="S125" s="1042"/>
      <c r="T125" s="1045"/>
    </row>
    <row r="126" spans="1:20" x14ac:dyDescent="0.25">
      <c r="A126" s="1040" t="s">
        <v>1273</v>
      </c>
      <c r="B126" s="1041" t="s">
        <v>1274</v>
      </c>
      <c r="C126" s="1042">
        <v>0</v>
      </c>
      <c r="D126" s="1042">
        <v>1</v>
      </c>
      <c r="E126" s="1042">
        <v>2</v>
      </c>
      <c r="F126" s="1042">
        <v>2</v>
      </c>
      <c r="G126" s="1042">
        <v>2</v>
      </c>
      <c r="H126" s="1042">
        <v>2</v>
      </c>
      <c r="I126" s="1042">
        <v>2</v>
      </c>
      <c r="J126" s="1042">
        <v>2</v>
      </c>
      <c r="K126" s="1042">
        <v>2</v>
      </c>
      <c r="L126" s="1042">
        <v>1</v>
      </c>
      <c r="M126" s="1042">
        <v>7</v>
      </c>
      <c r="N126" s="1042">
        <v>16</v>
      </c>
      <c r="O126" s="1043" t="s">
        <v>1246</v>
      </c>
      <c r="P126" s="1043"/>
      <c r="Q126" s="1043"/>
      <c r="R126" s="1043"/>
      <c r="S126" s="1043"/>
      <c r="T126" s="1045"/>
    </row>
    <row r="127" spans="1:20" x14ac:dyDescent="0.25">
      <c r="A127" s="1040" t="s">
        <v>1275</v>
      </c>
      <c r="B127" s="1041" t="s">
        <v>1276</v>
      </c>
      <c r="C127" s="1042">
        <v>0</v>
      </c>
      <c r="D127" s="1042">
        <v>49</v>
      </c>
      <c r="E127" s="1042">
        <v>190</v>
      </c>
      <c r="F127" s="1042">
        <v>379</v>
      </c>
      <c r="G127" s="1042">
        <v>531</v>
      </c>
      <c r="H127" s="1042">
        <v>619</v>
      </c>
      <c r="I127" s="1042">
        <v>580</v>
      </c>
      <c r="J127" s="1042">
        <v>387</v>
      </c>
      <c r="K127" s="1042">
        <v>196</v>
      </c>
      <c r="L127" s="1042">
        <v>69</v>
      </c>
      <c r="M127" s="1059">
        <v>1149</v>
      </c>
      <c r="N127" s="1059">
        <v>3000</v>
      </c>
      <c r="O127" s="1043" t="s">
        <v>1246</v>
      </c>
      <c r="P127" s="1043"/>
      <c r="Q127" s="1043"/>
      <c r="R127" s="1043"/>
      <c r="S127" s="1043"/>
      <c r="T127" s="1045"/>
    </row>
    <row r="128" spans="1:20" x14ac:dyDescent="0.25">
      <c r="A128" s="1057" t="s">
        <v>1277</v>
      </c>
      <c r="B128" s="1058" t="s">
        <v>1278</v>
      </c>
      <c r="C128" s="1042">
        <v>0</v>
      </c>
      <c r="D128" s="1042">
        <v>22</v>
      </c>
      <c r="E128" s="1042">
        <v>22</v>
      </c>
      <c r="F128" s="1042">
        <v>6</v>
      </c>
      <c r="G128" s="1042">
        <v>0</v>
      </c>
      <c r="H128" s="1042">
        <v>0</v>
      </c>
      <c r="I128" s="1042">
        <v>0</v>
      </c>
      <c r="J128" s="1042">
        <v>0</v>
      </c>
      <c r="K128" s="1042">
        <v>0</v>
      </c>
      <c r="L128" s="1042">
        <v>0</v>
      </c>
      <c r="M128" s="1042">
        <v>50</v>
      </c>
      <c r="N128" s="1042">
        <v>50</v>
      </c>
      <c r="O128" s="1043" t="s">
        <v>1246</v>
      </c>
      <c r="P128" s="1043"/>
      <c r="Q128" s="1043"/>
      <c r="R128" s="1043"/>
      <c r="S128" s="1043"/>
      <c r="T128" s="1044"/>
    </row>
    <row r="129" spans="1:20" x14ac:dyDescent="0.25">
      <c r="A129" s="1040" t="s">
        <v>1279</v>
      </c>
      <c r="B129" s="1041" t="s">
        <v>1280</v>
      </c>
      <c r="C129" s="1042">
        <v>0</v>
      </c>
      <c r="D129" s="1042">
        <v>30</v>
      </c>
      <c r="E129" s="1042">
        <v>30</v>
      </c>
      <c r="F129" s="1042">
        <v>40</v>
      </c>
      <c r="G129" s="1042">
        <v>15</v>
      </c>
      <c r="H129" s="1042">
        <v>5</v>
      </c>
      <c r="I129" s="1042">
        <v>5</v>
      </c>
      <c r="J129" s="1042">
        <v>0</v>
      </c>
      <c r="K129" s="1042">
        <v>0</v>
      </c>
      <c r="L129" s="1042">
        <v>0</v>
      </c>
      <c r="M129" s="1042">
        <v>115</v>
      </c>
      <c r="N129" s="1042">
        <v>125</v>
      </c>
      <c r="O129" s="1043" t="s">
        <v>1246</v>
      </c>
      <c r="P129" s="1043"/>
      <c r="Q129" s="1043"/>
      <c r="R129" s="1043"/>
      <c r="S129" s="1043"/>
      <c r="T129" s="1045"/>
    </row>
    <row r="130" spans="1:20" x14ac:dyDescent="0.25">
      <c r="A130" s="1040" t="s">
        <v>1281</v>
      </c>
      <c r="B130" s="1041" t="s">
        <v>1282</v>
      </c>
      <c r="C130" s="1042">
        <v>0</v>
      </c>
      <c r="D130" s="1042">
        <v>10</v>
      </c>
      <c r="E130" s="1042">
        <v>230</v>
      </c>
      <c r="F130" s="1042">
        <v>660</v>
      </c>
      <c r="G130" s="1042">
        <v>945</v>
      </c>
      <c r="H130" s="1042">
        <v>605</v>
      </c>
      <c r="I130" s="1042">
        <v>100</v>
      </c>
      <c r="J130" s="1042">
        <v>0</v>
      </c>
      <c r="K130" s="1042">
        <v>0</v>
      </c>
      <c r="L130" s="1042">
        <v>0</v>
      </c>
      <c r="M130" s="1059">
        <v>1845</v>
      </c>
      <c r="N130" s="1059">
        <v>2550</v>
      </c>
      <c r="O130" s="1043" t="s">
        <v>1246</v>
      </c>
      <c r="P130" s="1043"/>
      <c r="Q130" s="1043"/>
      <c r="R130" s="1043"/>
      <c r="S130" s="1043"/>
      <c r="T130" s="1045"/>
    </row>
    <row r="131" spans="1:20" x14ac:dyDescent="0.25">
      <c r="A131" s="1040" t="s">
        <v>1283</v>
      </c>
      <c r="B131" s="1041" t="s">
        <v>1284</v>
      </c>
      <c r="C131" s="1042">
        <v>0</v>
      </c>
      <c r="D131" s="1042">
        <v>10</v>
      </c>
      <c r="E131" s="1042">
        <v>45</v>
      </c>
      <c r="F131" s="1042">
        <v>70</v>
      </c>
      <c r="G131" s="1042">
        <v>100</v>
      </c>
      <c r="H131" s="1042">
        <v>100</v>
      </c>
      <c r="I131" s="1042">
        <v>100</v>
      </c>
      <c r="J131" s="1042">
        <v>100</v>
      </c>
      <c r="K131" s="1042">
        <v>100</v>
      </c>
      <c r="L131" s="1042">
        <v>100</v>
      </c>
      <c r="M131" s="1042">
        <v>225</v>
      </c>
      <c r="N131" s="1042">
        <v>725</v>
      </c>
      <c r="O131" s="1043" t="s">
        <v>1246</v>
      </c>
      <c r="P131" s="1043"/>
      <c r="Q131" s="1043"/>
      <c r="R131" s="1043"/>
      <c r="S131" s="1043"/>
      <c r="T131" s="1045"/>
    </row>
    <row r="132" spans="1:20" x14ac:dyDescent="0.25">
      <c r="A132" s="1057" t="s">
        <v>1285</v>
      </c>
      <c r="B132" s="1058" t="s">
        <v>1286</v>
      </c>
      <c r="C132" s="1042">
        <v>0</v>
      </c>
      <c r="D132" s="1042">
        <v>14</v>
      </c>
      <c r="E132" s="1042">
        <v>11</v>
      </c>
      <c r="F132" s="1042">
        <v>0</v>
      </c>
      <c r="G132" s="1042">
        <v>0</v>
      </c>
      <c r="H132" s="1042">
        <v>0</v>
      </c>
      <c r="I132" s="1042">
        <v>0</v>
      </c>
      <c r="J132" s="1042">
        <v>0</v>
      </c>
      <c r="K132" s="1042">
        <v>0</v>
      </c>
      <c r="L132" s="1042">
        <v>0</v>
      </c>
      <c r="M132" s="1042">
        <v>25</v>
      </c>
      <c r="N132" s="1042">
        <v>25</v>
      </c>
      <c r="O132" s="1043" t="s">
        <v>1250</v>
      </c>
      <c r="P132" s="1043"/>
      <c r="Q132" s="1043"/>
      <c r="R132" s="1043"/>
      <c r="S132" s="1043"/>
      <c r="T132" s="1044"/>
    </row>
    <row r="133" spans="1:20" x14ac:dyDescent="0.25">
      <c r="A133" s="1057" t="s">
        <v>1287</v>
      </c>
      <c r="B133" s="1058" t="s">
        <v>1288</v>
      </c>
      <c r="C133" s="1042">
        <v>0</v>
      </c>
      <c r="D133" s="1042">
        <v>84</v>
      </c>
      <c r="E133" s="1042">
        <v>320</v>
      </c>
      <c r="F133" s="1042">
        <v>638</v>
      </c>
      <c r="G133" s="1042">
        <v>928</v>
      </c>
      <c r="H133" s="1042">
        <v>940</v>
      </c>
      <c r="I133" s="1042">
        <v>720</v>
      </c>
      <c r="J133" s="1042">
        <v>300</v>
      </c>
      <c r="K133" s="1042">
        <v>120</v>
      </c>
      <c r="L133" s="1042">
        <v>0</v>
      </c>
      <c r="M133" s="1059">
        <v>1970</v>
      </c>
      <c r="N133" s="1059">
        <v>4050</v>
      </c>
      <c r="O133" s="1043" t="s">
        <v>1250</v>
      </c>
      <c r="P133" s="1043"/>
      <c r="Q133" s="1043"/>
      <c r="R133" s="1043"/>
      <c r="S133" s="1043"/>
      <c r="T133" s="1045"/>
    </row>
    <row r="134" spans="1:20" x14ac:dyDescent="0.25">
      <c r="A134" s="1040" t="s">
        <v>1289</v>
      </c>
      <c r="B134" s="1041" t="s">
        <v>1290</v>
      </c>
      <c r="C134" s="1042">
        <v>0</v>
      </c>
      <c r="D134" s="1042">
        <v>40</v>
      </c>
      <c r="E134" s="1042">
        <v>200</v>
      </c>
      <c r="F134" s="1042">
        <v>400</v>
      </c>
      <c r="G134" s="1042">
        <v>660</v>
      </c>
      <c r="H134" s="1042">
        <v>640</v>
      </c>
      <c r="I134" s="1042">
        <v>515</v>
      </c>
      <c r="J134" s="1042">
        <v>240</v>
      </c>
      <c r="K134" s="1042">
        <v>105</v>
      </c>
      <c r="L134" s="1042">
        <v>0</v>
      </c>
      <c r="M134" s="1059">
        <v>1300</v>
      </c>
      <c r="N134" s="1059">
        <v>2800</v>
      </c>
      <c r="O134" s="1043" t="s">
        <v>1250</v>
      </c>
      <c r="P134" s="1043"/>
      <c r="Q134" s="1043"/>
      <c r="R134" s="1043"/>
      <c r="S134" s="1043"/>
      <c r="T134" s="1045"/>
    </row>
    <row r="135" spans="1:20" x14ac:dyDescent="0.25">
      <c r="A135" s="1040" t="s">
        <v>1291</v>
      </c>
      <c r="B135" s="1041" t="s">
        <v>1292</v>
      </c>
      <c r="C135" s="1075">
        <v>0</v>
      </c>
      <c r="D135" s="1075">
        <v>138</v>
      </c>
      <c r="E135" s="1075">
        <v>566</v>
      </c>
      <c r="F135" s="1075">
        <v>994</v>
      </c>
      <c r="G135" s="1076">
        <v>1328</v>
      </c>
      <c r="H135" s="1076">
        <v>1791</v>
      </c>
      <c r="I135" s="1076">
        <v>2350</v>
      </c>
      <c r="J135" s="1076">
        <v>2928</v>
      </c>
      <c r="K135" s="1076">
        <v>3548</v>
      </c>
      <c r="L135" s="1076">
        <v>4162</v>
      </c>
      <c r="M135" s="1076">
        <v>3026</v>
      </c>
      <c r="N135" s="1076">
        <v>17805</v>
      </c>
      <c r="O135" s="1077" t="s">
        <v>54</v>
      </c>
      <c r="P135" s="1077"/>
      <c r="Q135" s="1077"/>
      <c r="R135" s="1077"/>
      <c r="S135" s="1077"/>
      <c r="T135" s="1078"/>
    </row>
    <row r="136" spans="1:20" x14ac:dyDescent="0.25">
      <c r="A136" s="1040" t="s">
        <v>1293</v>
      </c>
      <c r="B136" s="1041" t="s">
        <v>1294</v>
      </c>
      <c r="C136" s="1075">
        <v>0</v>
      </c>
      <c r="D136" s="1075">
        <v>0</v>
      </c>
      <c r="E136" s="1075">
        <v>235</v>
      </c>
      <c r="F136" s="1075">
        <v>317</v>
      </c>
      <c r="G136" s="1075">
        <v>304</v>
      </c>
      <c r="H136" s="1075">
        <v>314</v>
      </c>
      <c r="I136" s="1075">
        <v>324</v>
      </c>
      <c r="J136" s="1075">
        <v>335</v>
      </c>
      <c r="K136" s="1075">
        <v>346</v>
      </c>
      <c r="L136" s="1075">
        <v>359</v>
      </c>
      <c r="M136" s="1075">
        <v>856</v>
      </c>
      <c r="N136" s="1076">
        <v>2534</v>
      </c>
      <c r="O136" s="1077" t="s">
        <v>54</v>
      </c>
      <c r="P136" s="1077"/>
      <c r="Q136" s="1077"/>
      <c r="R136" s="1077"/>
      <c r="S136" s="1077"/>
      <c r="T136" s="1045"/>
    </row>
    <row r="137" spans="1:20" ht="24" customHeight="1" x14ac:dyDescent="0.25">
      <c r="A137" s="1040" t="s">
        <v>1295</v>
      </c>
      <c r="B137" s="1041" t="s">
        <v>1296</v>
      </c>
      <c r="C137" s="1079"/>
      <c r="D137" s="1079">
        <v>333</v>
      </c>
      <c r="E137" s="1079">
        <v>314</v>
      </c>
      <c r="F137" s="1079">
        <v>314</v>
      </c>
      <c r="G137" s="1079">
        <v>-4530</v>
      </c>
      <c r="H137" s="1079">
        <v>-9118</v>
      </c>
      <c r="I137" s="1079">
        <v>-18184</v>
      </c>
      <c r="J137" s="1079">
        <v>-20493</v>
      </c>
      <c r="K137" s="1079">
        <v>-23289</v>
      </c>
      <c r="L137" s="1079">
        <v>-24298</v>
      </c>
      <c r="M137" s="1079">
        <v>-569</v>
      </c>
      <c r="N137" s="1079">
        <v>-95951</v>
      </c>
      <c r="O137" s="1080" t="s">
        <v>55</v>
      </c>
      <c r="P137" s="1080"/>
      <c r="Q137" s="1080"/>
      <c r="R137" s="1080"/>
      <c r="S137" s="1080"/>
      <c r="T137" s="1081"/>
    </row>
    <row r="138" spans="1:20" ht="36" customHeight="1" x14ac:dyDescent="0.25">
      <c r="A138" s="1040" t="s">
        <v>1291</v>
      </c>
      <c r="B138" s="1041" t="s">
        <v>1297</v>
      </c>
      <c r="C138" s="1082">
        <v>0</v>
      </c>
      <c r="D138" s="1082">
        <v>-2447</v>
      </c>
      <c r="E138" s="1082">
        <v>-3716</v>
      </c>
      <c r="F138" s="1082">
        <v>-19171</v>
      </c>
      <c r="G138" s="1082">
        <v>-7014</v>
      </c>
      <c r="H138" s="1082">
        <v>-7706</v>
      </c>
      <c r="I138" s="1082">
        <v>-8497</v>
      </c>
      <c r="J138" s="1082">
        <v>-9360</v>
      </c>
      <c r="K138" s="1082">
        <v>-10602</v>
      </c>
      <c r="L138" s="1082">
        <v>-11603</v>
      </c>
      <c r="M138" s="1082">
        <v>-32348</v>
      </c>
      <c r="N138" s="1082">
        <v>-80116</v>
      </c>
      <c r="O138" s="1080" t="s">
        <v>55</v>
      </c>
      <c r="P138" s="1080"/>
      <c r="Q138" s="1080"/>
      <c r="R138" s="1080"/>
      <c r="S138" s="1080"/>
      <c r="T138" s="1045"/>
    </row>
    <row r="139" spans="1:20" x14ac:dyDescent="0.25">
      <c r="A139" s="1040" t="s">
        <v>1298</v>
      </c>
      <c r="B139" s="1041" t="s">
        <v>1299</v>
      </c>
      <c r="C139" s="1079">
        <v>0</v>
      </c>
      <c r="D139" s="1079">
        <v>53</v>
      </c>
      <c r="E139" s="1079">
        <v>1991</v>
      </c>
      <c r="F139" s="1079">
        <v>3308</v>
      </c>
      <c r="G139" s="1079">
        <v>3545</v>
      </c>
      <c r="H139" s="1079">
        <v>4537</v>
      </c>
      <c r="I139" s="1079">
        <v>4476</v>
      </c>
      <c r="J139" s="1079">
        <v>3947</v>
      </c>
      <c r="K139" s="1079">
        <v>1781</v>
      </c>
      <c r="L139" s="1079">
        <v>1462</v>
      </c>
      <c r="M139" s="1079">
        <v>8897</v>
      </c>
      <c r="N139" s="1079">
        <v>25100</v>
      </c>
      <c r="O139" s="1080" t="s">
        <v>55</v>
      </c>
      <c r="P139" s="1080"/>
      <c r="Q139" s="1080"/>
      <c r="R139" s="1080"/>
      <c r="S139" s="1080"/>
      <c r="T139" s="1045"/>
    </row>
    <row r="140" spans="1:20" x14ac:dyDescent="0.25">
      <c r="A140" s="1040" t="s">
        <v>1300</v>
      </c>
      <c r="B140" s="1041" t="s">
        <v>1301</v>
      </c>
      <c r="C140" s="1083">
        <v>0</v>
      </c>
      <c r="D140" s="1083">
        <v>0</v>
      </c>
      <c r="E140" s="1083">
        <v>0</v>
      </c>
      <c r="F140" s="1083">
        <v>0</v>
      </c>
      <c r="G140" s="1083">
        <v>0</v>
      </c>
      <c r="H140" s="1084">
        <v>-16290</v>
      </c>
      <c r="I140" s="1084">
        <v>-25656</v>
      </c>
      <c r="J140" s="1084">
        <v>-23394</v>
      </c>
      <c r="K140" s="1084">
        <v>-27561</v>
      </c>
      <c r="L140" s="1084">
        <v>-29250</v>
      </c>
      <c r="M140" s="1083">
        <v>0</v>
      </c>
      <c r="N140" s="1084">
        <v>-122151</v>
      </c>
      <c r="O140" s="1080" t="s">
        <v>55</v>
      </c>
      <c r="P140" s="1080"/>
      <c r="Q140" s="1080"/>
      <c r="R140" s="1080"/>
      <c r="S140" s="1080"/>
      <c r="T140" s="1045"/>
    </row>
    <row r="141" spans="1:20" ht="36" customHeight="1" x14ac:dyDescent="0.25">
      <c r="A141" s="1040" t="s">
        <v>1302</v>
      </c>
      <c r="B141" s="1041" t="s">
        <v>1303</v>
      </c>
      <c r="C141" s="1079">
        <v>0</v>
      </c>
      <c r="D141" s="1079">
        <v>-70</v>
      </c>
      <c r="E141" s="1079">
        <v>300</v>
      </c>
      <c r="F141" s="1079">
        <v>862</v>
      </c>
      <c r="G141" s="1079">
        <v>577</v>
      </c>
      <c r="H141" s="1079">
        <v>464</v>
      </c>
      <c r="I141" s="1079">
        <v>549</v>
      </c>
      <c r="J141" s="1079">
        <v>501</v>
      </c>
      <c r="K141" s="1079">
        <v>591</v>
      </c>
      <c r="L141" s="1079">
        <v>630</v>
      </c>
      <c r="M141" s="1079">
        <v>1669</v>
      </c>
      <c r="N141" s="1079">
        <v>4404</v>
      </c>
      <c r="O141" s="1080" t="s">
        <v>55</v>
      </c>
      <c r="P141" s="1080"/>
      <c r="Q141" s="1080"/>
      <c r="R141" s="1080"/>
      <c r="S141" s="1080"/>
      <c r="T141" s="1045"/>
    </row>
    <row r="142" spans="1:20" x14ac:dyDescent="0.25">
      <c r="A142" s="1040" t="s">
        <v>1304</v>
      </c>
      <c r="B142" s="1041" t="s">
        <v>1305</v>
      </c>
      <c r="C142" s="1083">
        <v>0</v>
      </c>
      <c r="D142" s="1083">
        <v>0</v>
      </c>
      <c r="E142" s="1083">
        <v>195</v>
      </c>
      <c r="F142" s="1083">
        <v>230</v>
      </c>
      <c r="G142" s="1083">
        <v>248</v>
      </c>
      <c r="H142" s="1083">
        <v>266</v>
      </c>
      <c r="I142" s="1083">
        <v>311</v>
      </c>
      <c r="J142" s="1083">
        <v>281</v>
      </c>
      <c r="K142" s="1083">
        <v>327</v>
      </c>
      <c r="L142" s="1083">
        <v>347</v>
      </c>
      <c r="M142" s="1083">
        <v>673</v>
      </c>
      <c r="N142" s="1084">
        <v>2205</v>
      </c>
      <c r="O142" s="1080" t="s">
        <v>55</v>
      </c>
      <c r="P142" s="1080"/>
      <c r="Q142" s="1080"/>
      <c r="R142" s="1080"/>
      <c r="S142" s="1080"/>
      <c r="T142" s="1045"/>
    </row>
    <row r="143" spans="1:20" x14ac:dyDescent="0.25">
      <c r="A143" s="1057" t="s">
        <v>1306</v>
      </c>
      <c r="B143" s="1058" t="s">
        <v>1307</v>
      </c>
      <c r="C143" s="1085">
        <v>0</v>
      </c>
      <c r="D143" s="1085">
        <v>70</v>
      </c>
      <c r="E143" s="1085">
        <v>132</v>
      </c>
      <c r="F143" s="1085">
        <v>51</v>
      </c>
      <c r="G143" s="1085">
        <v>20</v>
      </c>
      <c r="H143" s="1085">
        <v>8</v>
      </c>
      <c r="I143" s="1085">
        <v>0</v>
      </c>
      <c r="J143" s="1085">
        <v>0</v>
      </c>
      <c r="K143" s="1085">
        <v>0</v>
      </c>
      <c r="L143" s="1085">
        <v>0</v>
      </c>
      <c r="M143" s="1085">
        <v>273</v>
      </c>
      <c r="N143" s="1085">
        <v>281</v>
      </c>
      <c r="O143" s="1086" t="s">
        <v>1308</v>
      </c>
      <c r="P143" s="1086"/>
      <c r="Q143" s="1086"/>
      <c r="R143" s="1086"/>
      <c r="S143" s="1086"/>
      <c r="T143" s="1045" t="s">
        <v>1309</v>
      </c>
    </row>
    <row r="144" spans="1:20" x14ac:dyDescent="0.25">
      <c r="A144" s="1057" t="s">
        <v>1310</v>
      </c>
      <c r="B144" s="1058" t="s">
        <v>1311</v>
      </c>
      <c r="C144" s="1085">
        <v>0</v>
      </c>
      <c r="D144" s="1085">
        <v>465</v>
      </c>
      <c r="E144" s="1087">
        <v>2420</v>
      </c>
      <c r="F144" s="1087">
        <v>4755</v>
      </c>
      <c r="G144" s="1087">
        <v>5980</v>
      </c>
      <c r="H144" s="1087">
        <v>4694</v>
      </c>
      <c r="I144" s="1087">
        <v>1573</v>
      </c>
      <c r="J144" s="1085">
        <v>93</v>
      </c>
      <c r="K144" s="1085">
        <v>0</v>
      </c>
      <c r="L144" s="1085">
        <v>0</v>
      </c>
      <c r="M144" s="1087">
        <v>13620</v>
      </c>
      <c r="N144" s="1087">
        <v>19980</v>
      </c>
      <c r="O144" s="1086" t="s">
        <v>1308</v>
      </c>
      <c r="P144" s="1086"/>
      <c r="Q144" s="1086"/>
      <c r="R144" s="1086"/>
      <c r="S144" s="1086"/>
      <c r="T144" s="1045" t="s">
        <v>1312</v>
      </c>
    </row>
    <row r="145" spans="1:20" x14ac:dyDescent="0.25">
      <c r="A145" s="1040" t="s">
        <v>1313</v>
      </c>
      <c r="B145" s="1041" t="s">
        <v>1314</v>
      </c>
      <c r="C145" s="1085">
        <v>0</v>
      </c>
      <c r="D145" s="1085">
        <v>20</v>
      </c>
      <c r="E145" s="1085">
        <v>65</v>
      </c>
      <c r="F145" s="1085">
        <v>110</v>
      </c>
      <c r="G145" s="1085">
        <v>135</v>
      </c>
      <c r="H145" s="1085">
        <v>180</v>
      </c>
      <c r="I145" s="1085">
        <v>230</v>
      </c>
      <c r="J145" s="1085">
        <v>180</v>
      </c>
      <c r="K145" s="1085">
        <v>60</v>
      </c>
      <c r="L145" s="1085">
        <v>10</v>
      </c>
      <c r="M145" s="1085">
        <v>330</v>
      </c>
      <c r="N145" s="1085">
        <v>990</v>
      </c>
      <c r="O145" s="1086" t="s">
        <v>1308</v>
      </c>
      <c r="P145" s="1086"/>
      <c r="Q145" s="1086"/>
      <c r="R145" s="1086"/>
      <c r="S145" s="1086"/>
      <c r="T145" s="1068" t="s">
        <v>1315</v>
      </c>
    </row>
    <row r="146" spans="1:20" x14ac:dyDescent="0.25">
      <c r="A146" s="1040" t="s">
        <v>1316</v>
      </c>
      <c r="B146" s="1041" t="s">
        <v>1317</v>
      </c>
      <c r="C146" s="1085">
        <v>0</v>
      </c>
      <c r="D146" s="1087">
        <v>20892</v>
      </c>
      <c r="E146" s="1087">
        <v>11288</v>
      </c>
      <c r="F146" s="1087">
        <v>9651</v>
      </c>
      <c r="G146" s="1087">
        <v>-8548</v>
      </c>
      <c r="H146" s="1085">
        <v>-463</v>
      </c>
      <c r="I146" s="1085">
        <v>0</v>
      </c>
      <c r="J146" s="1085">
        <v>0</v>
      </c>
      <c r="K146" s="1085">
        <v>0</v>
      </c>
      <c r="L146" s="1085">
        <v>0</v>
      </c>
      <c r="M146" s="1087">
        <v>33283</v>
      </c>
      <c r="N146" s="1087">
        <v>32820</v>
      </c>
      <c r="O146" s="1088" t="s">
        <v>1308</v>
      </c>
      <c r="P146" s="1088"/>
      <c r="Q146" s="1088"/>
      <c r="R146" s="1088"/>
      <c r="S146" s="1088"/>
      <c r="T146" s="1045"/>
    </row>
    <row r="147" spans="1:20" x14ac:dyDescent="0.25">
      <c r="A147" s="1040" t="s">
        <v>1318</v>
      </c>
      <c r="B147" s="1041" t="s">
        <v>1319</v>
      </c>
      <c r="C147" s="1085">
        <v>0</v>
      </c>
      <c r="D147" s="1085">
        <v>24</v>
      </c>
      <c r="E147" s="1085">
        <v>65</v>
      </c>
      <c r="F147" s="1085">
        <v>112</v>
      </c>
      <c r="G147" s="1085">
        <v>130</v>
      </c>
      <c r="H147" s="1085">
        <v>98</v>
      </c>
      <c r="I147" s="1085">
        <v>56</v>
      </c>
      <c r="J147" s="1085">
        <v>15</v>
      </c>
      <c r="K147" s="1085">
        <v>0</v>
      </c>
      <c r="L147" s="1085">
        <v>0</v>
      </c>
      <c r="M147" s="1085">
        <v>331</v>
      </c>
      <c r="N147" s="1085">
        <v>500</v>
      </c>
      <c r="O147" s="1088" t="s">
        <v>1308</v>
      </c>
      <c r="P147" s="1088"/>
      <c r="Q147" s="1088"/>
      <c r="R147" s="1088"/>
      <c r="S147" s="1088"/>
      <c r="T147" s="1045"/>
    </row>
    <row r="148" spans="1:20" x14ac:dyDescent="0.25">
      <c r="A148" s="1089" t="s">
        <v>1320</v>
      </c>
      <c r="B148" s="1090" t="s">
        <v>1321</v>
      </c>
      <c r="C148" s="1085">
        <v>0</v>
      </c>
      <c r="D148" s="1085">
        <v>50</v>
      </c>
      <c r="E148" s="1085">
        <v>500</v>
      </c>
      <c r="F148" s="1085">
        <v>920</v>
      </c>
      <c r="G148" s="1087">
        <v>1310</v>
      </c>
      <c r="H148" s="1087">
        <v>1680</v>
      </c>
      <c r="I148" s="1087">
        <v>1780</v>
      </c>
      <c r="J148" s="1087">
        <v>1640</v>
      </c>
      <c r="K148" s="1087">
        <v>1090</v>
      </c>
      <c r="L148" s="1085">
        <v>630</v>
      </c>
      <c r="M148" s="1087">
        <v>2780</v>
      </c>
      <c r="N148" s="1087">
        <v>9600</v>
      </c>
      <c r="O148" s="1088" t="s">
        <v>1308</v>
      </c>
      <c r="P148" s="1088"/>
      <c r="Q148" s="1088"/>
      <c r="R148" s="1088"/>
      <c r="S148" s="1088"/>
      <c r="T148" s="1091"/>
    </row>
    <row r="149" spans="1:20" x14ac:dyDescent="0.25">
      <c r="A149" s="1040" t="s">
        <v>1322</v>
      </c>
      <c r="B149" s="1041" t="s">
        <v>1323</v>
      </c>
      <c r="C149" s="1085">
        <v>0</v>
      </c>
      <c r="D149" s="1085">
        <v>30</v>
      </c>
      <c r="E149" s="1085">
        <v>90</v>
      </c>
      <c r="F149" s="1085">
        <v>90</v>
      </c>
      <c r="G149" s="1085">
        <v>85</v>
      </c>
      <c r="H149" s="1085">
        <v>70</v>
      </c>
      <c r="I149" s="1085">
        <v>65</v>
      </c>
      <c r="J149" s="1085">
        <v>65</v>
      </c>
      <c r="K149" s="1085">
        <v>35</v>
      </c>
      <c r="L149" s="1085">
        <v>15</v>
      </c>
      <c r="M149" s="1085">
        <v>295</v>
      </c>
      <c r="N149" s="1085">
        <v>545</v>
      </c>
      <c r="O149" s="1088" t="s">
        <v>1308</v>
      </c>
      <c r="P149" s="1088"/>
      <c r="Q149" s="1088"/>
      <c r="R149" s="1088"/>
      <c r="S149" s="1088"/>
      <c r="T149" s="1045"/>
    </row>
    <row r="150" spans="1:20" x14ac:dyDescent="0.25">
      <c r="A150" s="1040" t="s">
        <v>1324</v>
      </c>
      <c r="B150" s="1041" t="s">
        <v>1325</v>
      </c>
      <c r="C150" s="1085">
        <v>0</v>
      </c>
      <c r="D150" s="1085">
        <v>185</v>
      </c>
      <c r="E150" s="1085">
        <v>394</v>
      </c>
      <c r="F150" s="1085">
        <v>639</v>
      </c>
      <c r="G150" s="1085">
        <v>722</v>
      </c>
      <c r="H150" s="1085">
        <v>595</v>
      </c>
      <c r="I150" s="1085">
        <v>346</v>
      </c>
      <c r="J150" s="1085">
        <v>101</v>
      </c>
      <c r="K150" s="1085">
        <v>18</v>
      </c>
      <c r="L150" s="1085">
        <v>0</v>
      </c>
      <c r="M150" s="1087">
        <v>1940</v>
      </c>
      <c r="N150" s="1087">
        <v>3000</v>
      </c>
      <c r="O150" s="1086" t="s">
        <v>1308</v>
      </c>
      <c r="P150" s="1086"/>
      <c r="Q150" s="1086"/>
      <c r="R150" s="1086"/>
      <c r="S150" s="1086"/>
      <c r="T150" s="1045"/>
    </row>
    <row r="151" spans="1:20" x14ac:dyDescent="0.25">
      <c r="A151" s="1040" t="s">
        <v>1326</v>
      </c>
      <c r="B151" s="1041" t="s">
        <v>1327</v>
      </c>
      <c r="C151" s="1085">
        <v>0</v>
      </c>
      <c r="D151" s="1085">
        <v>8</v>
      </c>
      <c r="E151" s="1085">
        <v>26</v>
      </c>
      <c r="F151" s="1085">
        <v>41</v>
      </c>
      <c r="G151" s="1085">
        <v>38</v>
      </c>
      <c r="H151" s="1085">
        <v>22</v>
      </c>
      <c r="I151" s="1085">
        <v>11</v>
      </c>
      <c r="J151" s="1085">
        <v>4</v>
      </c>
      <c r="K151" s="1085">
        <v>0</v>
      </c>
      <c r="L151" s="1085">
        <v>0</v>
      </c>
      <c r="M151" s="1085">
        <v>113</v>
      </c>
      <c r="N151" s="1085">
        <v>150</v>
      </c>
      <c r="O151" s="1086" t="s">
        <v>1308</v>
      </c>
      <c r="P151" s="1086"/>
      <c r="Q151" s="1086"/>
      <c r="R151" s="1086"/>
      <c r="S151" s="1086"/>
      <c r="T151" s="1045"/>
    </row>
    <row r="152" spans="1:20" ht="24" customHeight="1" x14ac:dyDescent="0.25">
      <c r="A152" s="1057" t="s">
        <v>1328</v>
      </c>
      <c r="B152" s="1058" t="s">
        <v>1329</v>
      </c>
      <c r="C152" s="1092">
        <v>0</v>
      </c>
      <c r="D152" s="1093">
        <v>77</v>
      </c>
      <c r="E152" s="1093">
        <v>232</v>
      </c>
      <c r="F152" s="1093">
        <v>341</v>
      </c>
      <c r="G152" s="1093">
        <v>496</v>
      </c>
      <c r="H152" s="1093">
        <v>310</v>
      </c>
      <c r="I152" s="1093">
        <v>47</v>
      </c>
      <c r="J152" s="1093">
        <v>31</v>
      </c>
      <c r="K152" s="1093">
        <v>15</v>
      </c>
      <c r="L152" s="1093">
        <v>1</v>
      </c>
      <c r="M152" s="1094">
        <v>1146</v>
      </c>
      <c r="N152" s="1094">
        <v>1550</v>
      </c>
      <c r="O152" s="1095" t="s">
        <v>1330</v>
      </c>
      <c r="P152" s="1102"/>
      <c r="Q152" s="1102"/>
      <c r="R152" s="1102"/>
      <c r="S152" s="1102"/>
      <c r="T152" s="1045" t="s">
        <v>1331</v>
      </c>
    </row>
    <row r="153" spans="1:20" ht="30" customHeight="1" x14ac:dyDescent="0.25">
      <c r="A153" s="1040" t="s">
        <v>1332</v>
      </c>
      <c r="B153" s="1041" t="s">
        <v>1333</v>
      </c>
      <c r="C153" s="1096">
        <v>0</v>
      </c>
      <c r="D153" s="1096">
        <v>264</v>
      </c>
      <c r="E153" s="1096">
        <v>715</v>
      </c>
      <c r="F153" s="1096">
        <v>1393</v>
      </c>
      <c r="G153" s="1096">
        <v>2492</v>
      </c>
      <c r="H153" s="1096">
        <v>3364</v>
      </c>
      <c r="I153" s="1096">
        <v>3209</v>
      </c>
      <c r="J153" s="1096">
        <v>2750</v>
      </c>
      <c r="K153" s="1096">
        <v>1783</v>
      </c>
      <c r="L153" s="1096">
        <v>744</v>
      </c>
      <c r="M153" s="1097">
        <v>4864</v>
      </c>
      <c r="N153" s="1097">
        <v>16714</v>
      </c>
      <c r="O153" s="1103" t="s">
        <v>52</v>
      </c>
      <c r="P153" s="1103"/>
      <c r="Q153" s="1103"/>
      <c r="R153" s="1103"/>
      <c r="S153" s="1103"/>
      <c r="T153" s="1104" t="s">
        <v>1334</v>
      </c>
    </row>
    <row r="154" spans="1:20" x14ac:dyDescent="0.25">
      <c r="A154" s="1040" t="s">
        <v>1335</v>
      </c>
      <c r="B154" s="1041" t="s">
        <v>1336</v>
      </c>
      <c r="C154" s="1105">
        <v>0</v>
      </c>
      <c r="D154" s="1105">
        <v>0</v>
      </c>
      <c r="E154" s="1105">
        <v>50</v>
      </c>
      <c r="F154" s="1105">
        <v>270</v>
      </c>
      <c r="G154" s="1105">
        <v>680</v>
      </c>
      <c r="H154" s="1105">
        <v>850</v>
      </c>
      <c r="I154" s="1105">
        <v>730</v>
      </c>
      <c r="J154" s="1105">
        <v>485</v>
      </c>
      <c r="K154" s="1105">
        <v>285</v>
      </c>
      <c r="L154" s="1105">
        <v>145</v>
      </c>
      <c r="M154" s="1106">
        <v>1000</v>
      </c>
      <c r="N154" s="1106">
        <v>3495</v>
      </c>
      <c r="O154" s="1107" t="s">
        <v>52</v>
      </c>
      <c r="P154" s="1107"/>
      <c r="Q154" s="1107"/>
      <c r="R154" s="1107"/>
      <c r="S154" s="1107"/>
      <c r="T154" s="1108" t="s">
        <v>1337</v>
      </c>
    </row>
    <row r="155" spans="1:20" x14ac:dyDescent="0.25">
      <c r="A155" s="1040" t="s">
        <v>1338</v>
      </c>
      <c r="B155" s="1041" t="s">
        <v>1339</v>
      </c>
      <c r="C155" s="1105">
        <v>0</v>
      </c>
      <c r="D155" s="1105">
        <v>5</v>
      </c>
      <c r="E155" s="1105">
        <v>5</v>
      </c>
      <c r="F155" s="1105">
        <v>10</v>
      </c>
      <c r="G155" s="1105">
        <v>25</v>
      </c>
      <c r="H155" s="1105">
        <v>70</v>
      </c>
      <c r="I155" s="1105">
        <v>175</v>
      </c>
      <c r="J155" s="1105">
        <v>385</v>
      </c>
      <c r="K155" s="1105">
        <v>460</v>
      </c>
      <c r="L155" s="1105">
        <v>325</v>
      </c>
      <c r="M155" s="1105">
        <v>45</v>
      </c>
      <c r="N155" s="1106">
        <v>1460</v>
      </c>
      <c r="O155" s="1109" t="s">
        <v>52</v>
      </c>
      <c r="P155" s="1109"/>
      <c r="Q155" s="1109"/>
      <c r="R155" s="1109"/>
      <c r="S155" s="1109"/>
      <c r="T155" s="1108" t="s">
        <v>1340</v>
      </c>
    </row>
    <row r="156" spans="1:20" x14ac:dyDescent="0.25">
      <c r="A156" s="1057" t="s">
        <v>1341</v>
      </c>
      <c r="B156" s="1058" t="s">
        <v>1342</v>
      </c>
      <c r="C156" s="1105">
        <v>0</v>
      </c>
      <c r="D156" s="1105">
        <v>6</v>
      </c>
      <c r="E156" s="1105">
        <v>8</v>
      </c>
      <c r="F156" s="1105">
        <v>1</v>
      </c>
      <c r="G156" s="1105">
        <v>0</v>
      </c>
      <c r="H156" s="1105">
        <v>0</v>
      </c>
      <c r="I156" s="1105">
        <v>0</v>
      </c>
      <c r="J156" s="1105">
        <v>0</v>
      </c>
      <c r="K156" s="1105">
        <v>0</v>
      </c>
      <c r="L156" s="1105">
        <v>0</v>
      </c>
      <c r="M156" s="1105">
        <v>15</v>
      </c>
      <c r="N156" s="1105">
        <v>15</v>
      </c>
      <c r="O156" s="1109" t="s">
        <v>52</v>
      </c>
      <c r="P156" s="1109"/>
      <c r="Q156" s="1109"/>
      <c r="R156" s="1109"/>
      <c r="S156" s="1109"/>
      <c r="T156" s="1108" t="s">
        <v>1343</v>
      </c>
    </row>
    <row r="157" spans="1:20" ht="24" customHeight="1" x14ac:dyDescent="0.25">
      <c r="A157" s="1040" t="s">
        <v>1344</v>
      </c>
      <c r="B157" s="1041" t="s">
        <v>1345</v>
      </c>
      <c r="C157" s="1105">
        <v>0</v>
      </c>
      <c r="D157" s="1105">
        <v>5</v>
      </c>
      <c r="E157" s="1105">
        <v>41</v>
      </c>
      <c r="F157" s="1105">
        <v>116</v>
      </c>
      <c r="G157" s="1105">
        <v>284</v>
      </c>
      <c r="H157" s="1105">
        <v>417</v>
      </c>
      <c r="I157" s="1105">
        <v>459</v>
      </c>
      <c r="J157" s="1105">
        <v>355</v>
      </c>
      <c r="K157" s="1105">
        <v>210</v>
      </c>
      <c r="L157" s="1105">
        <v>90</v>
      </c>
      <c r="M157" s="1105">
        <v>446</v>
      </c>
      <c r="N157" s="1106">
        <v>1977</v>
      </c>
      <c r="O157" s="1110" t="s">
        <v>52</v>
      </c>
      <c r="P157" s="1110"/>
      <c r="Q157" s="1110"/>
      <c r="R157" s="1110"/>
      <c r="S157" s="1110"/>
      <c r="T157" s="1111" t="s">
        <v>1346</v>
      </c>
    </row>
    <row r="158" spans="1:20" ht="24" customHeight="1" x14ac:dyDescent="0.25">
      <c r="A158" s="1040" t="s">
        <v>1347</v>
      </c>
      <c r="B158" s="1041" t="s">
        <v>1348</v>
      </c>
      <c r="C158" s="1105">
        <v>0</v>
      </c>
      <c r="D158" s="1105">
        <v>20</v>
      </c>
      <c r="E158" s="1105">
        <v>100</v>
      </c>
      <c r="F158" s="1105">
        <v>460</v>
      </c>
      <c r="G158" s="1106">
        <v>1070</v>
      </c>
      <c r="H158" s="1106">
        <v>1430</v>
      </c>
      <c r="I158" s="1106">
        <v>1110</v>
      </c>
      <c r="J158" s="1105">
        <v>660</v>
      </c>
      <c r="K158" s="1105">
        <v>300</v>
      </c>
      <c r="L158" s="1105">
        <v>100</v>
      </c>
      <c r="M158" s="1106">
        <v>1650</v>
      </c>
      <c r="N158" s="1106">
        <v>5250</v>
      </c>
      <c r="O158" s="1109" t="s">
        <v>52</v>
      </c>
      <c r="P158" s="1109"/>
      <c r="Q158" s="1109"/>
      <c r="R158" s="1109"/>
      <c r="S158" s="1109"/>
      <c r="T158" s="1108" t="s">
        <v>1349</v>
      </c>
    </row>
    <row r="159" spans="1:20" x14ac:dyDescent="0.25">
      <c r="A159" s="1040" t="s">
        <v>1350</v>
      </c>
      <c r="B159" s="1041" t="s">
        <v>1351</v>
      </c>
      <c r="C159" s="1123">
        <v>0</v>
      </c>
      <c r="D159" s="1123">
        <v>56</v>
      </c>
      <c r="E159" s="1123">
        <v>141</v>
      </c>
      <c r="F159" s="1123">
        <v>230</v>
      </c>
      <c r="G159" s="1123">
        <v>343</v>
      </c>
      <c r="H159" s="1123">
        <v>470</v>
      </c>
      <c r="I159" s="1123">
        <v>620</v>
      </c>
      <c r="J159" s="1123">
        <v>802</v>
      </c>
      <c r="K159" s="1123">
        <v>1024</v>
      </c>
      <c r="L159" s="1123">
        <v>1330</v>
      </c>
      <c r="M159" s="1123">
        <v>769</v>
      </c>
      <c r="N159" s="1123">
        <v>5015</v>
      </c>
      <c r="O159" s="1107" t="s">
        <v>52</v>
      </c>
      <c r="P159" s="1107"/>
      <c r="Q159" s="1107"/>
      <c r="R159" s="1107"/>
      <c r="S159" s="1107"/>
      <c r="T159" s="1045"/>
    </row>
    <row r="160" spans="1:20" x14ac:dyDescent="0.25">
      <c r="A160" s="1040" t="s">
        <v>1352</v>
      </c>
      <c r="B160" s="1041" t="s">
        <v>1353</v>
      </c>
      <c r="C160" s="1105"/>
      <c r="D160" s="1105"/>
      <c r="E160" s="1105"/>
      <c r="F160" s="1105"/>
      <c r="G160" s="1105"/>
      <c r="H160" s="1105"/>
      <c r="I160" s="1105"/>
      <c r="J160" s="1105"/>
      <c r="K160" s="1105"/>
      <c r="L160" s="1105"/>
      <c r="M160" s="1105"/>
      <c r="N160" s="1106"/>
      <c r="O160" s="1110"/>
      <c r="P160" s="1110"/>
      <c r="Q160" s="1110"/>
      <c r="R160" s="1110"/>
      <c r="S160" s="1110"/>
      <c r="T160" s="1045"/>
    </row>
    <row r="161" spans="1:21" x14ac:dyDescent="0.25">
      <c r="A161" s="1040" t="s">
        <v>1354</v>
      </c>
      <c r="B161" s="1041" t="s">
        <v>1355</v>
      </c>
      <c r="C161" s="1105"/>
      <c r="D161" s="1105"/>
      <c r="E161" s="1105"/>
      <c r="F161" s="1105"/>
      <c r="G161" s="1105"/>
      <c r="H161" s="1105"/>
      <c r="I161" s="1105"/>
      <c r="J161" s="1105"/>
      <c r="K161" s="1105"/>
      <c r="L161" s="1105"/>
      <c r="M161" s="1105"/>
      <c r="N161" s="1106"/>
      <c r="O161" s="1124"/>
      <c r="P161" s="1124"/>
      <c r="Q161" s="1124"/>
      <c r="R161" s="1124"/>
      <c r="S161" s="1124"/>
      <c r="T161" s="1125"/>
    </row>
    <row r="162" spans="1:21" x14ac:dyDescent="0.25">
      <c r="A162" s="1040" t="s">
        <v>1356</v>
      </c>
      <c r="B162" s="1041" t="s">
        <v>1357</v>
      </c>
      <c r="C162" s="1105">
        <v>0</v>
      </c>
      <c r="D162" s="1105">
        <v>20</v>
      </c>
      <c r="E162" s="1105">
        <v>70</v>
      </c>
      <c r="F162" s="1105">
        <v>130</v>
      </c>
      <c r="G162" s="1105">
        <v>155</v>
      </c>
      <c r="H162" s="1105">
        <v>155</v>
      </c>
      <c r="I162" s="1105">
        <v>155</v>
      </c>
      <c r="J162" s="1105">
        <v>135</v>
      </c>
      <c r="K162" s="1105">
        <v>80</v>
      </c>
      <c r="L162" s="1105">
        <v>20</v>
      </c>
      <c r="M162" s="1105">
        <v>375</v>
      </c>
      <c r="N162" s="1105">
        <v>920</v>
      </c>
      <c r="O162" s="1109" t="s">
        <v>52</v>
      </c>
      <c r="P162" s="1109"/>
      <c r="Q162" s="1109"/>
      <c r="R162" s="1109"/>
      <c r="S162" s="1109"/>
      <c r="T162" s="1045"/>
    </row>
    <row r="163" spans="1:21" x14ac:dyDescent="0.25">
      <c r="A163" s="1057" t="s">
        <v>1358</v>
      </c>
      <c r="B163" s="1058" t="s">
        <v>1359</v>
      </c>
      <c r="C163" s="1105">
        <v>0</v>
      </c>
      <c r="D163" s="1105">
        <v>15</v>
      </c>
      <c r="E163" s="1105">
        <v>12</v>
      </c>
      <c r="F163" s="1105">
        <v>8</v>
      </c>
      <c r="G163" s="1105">
        <v>4</v>
      </c>
      <c r="H163" s="1105">
        <v>0</v>
      </c>
      <c r="I163" s="1105">
        <v>0</v>
      </c>
      <c r="J163" s="1105">
        <v>0</v>
      </c>
      <c r="K163" s="1105">
        <v>0</v>
      </c>
      <c r="L163" s="1105">
        <v>0</v>
      </c>
      <c r="M163" s="1105">
        <v>39</v>
      </c>
      <c r="N163" s="1105">
        <v>39</v>
      </c>
      <c r="O163" s="1109" t="s">
        <v>52</v>
      </c>
      <c r="P163" s="1109"/>
      <c r="Q163" s="1109"/>
      <c r="R163" s="1109"/>
      <c r="S163" s="1109"/>
      <c r="T163" s="1045"/>
    </row>
    <row r="164" spans="1:21" x14ac:dyDescent="0.25">
      <c r="A164" s="1040" t="s">
        <v>1360</v>
      </c>
      <c r="B164" s="1041" t="s">
        <v>1361</v>
      </c>
      <c r="C164" s="1126">
        <v>0</v>
      </c>
      <c r="D164" s="1126">
        <v>25</v>
      </c>
      <c r="E164" s="1126">
        <v>100</v>
      </c>
      <c r="F164" s="1126">
        <v>125</v>
      </c>
      <c r="G164" s="1126">
        <v>100</v>
      </c>
      <c r="H164" s="1126">
        <v>75</v>
      </c>
      <c r="I164" s="1126">
        <v>30</v>
      </c>
      <c r="J164" s="1126">
        <v>20</v>
      </c>
      <c r="K164" s="1126">
        <v>0</v>
      </c>
      <c r="L164" s="1126">
        <v>0</v>
      </c>
      <c r="M164" s="1126">
        <v>350</v>
      </c>
      <c r="N164" s="1126">
        <v>475</v>
      </c>
      <c r="O164" s="1127" t="s">
        <v>52</v>
      </c>
      <c r="P164" s="1127"/>
      <c r="Q164" s="1127"/>
      <c r="R164" s="1127"/>
      <c r="S164" s="1127"/>
      <c r="T164" s="1045"/>
    </row>
    <row r="165" spans="1:21" x14ac:dyDescent="0.25">
      <c r="A165" s="42"/>
      <c r="B165" s="1006"/>
      <c r="C165" s="57"/>
      <c r="D165" s="57"/>
      <c r="E165" s="57"/>
      <c r="F165" s="57"/>
      <c r="G165" s="57"/>
      <c r="H165" s="57"/>
      <c r="I165" s="57"/>
      <c r="J165" s="57"/>
      <c r="K165" s="57"/>
      <c r="L165" s="57"/>
      <c r="M165" s="57"/>
      <c r="N165" s="57"/>
      <c r="O165" s="42"/>
      <c r="P165" s="42"/>
      <c r="Q165" s="42"/>
      <c r="R165" s="42"/>
      <c r="S165" s="42"/>
      <c r="T165" s="1006"/>
    </row>
    <row r="167" spans="1:21" x14ac:dyDescent="0.25">
      <c r="A167" s="43" t="s">
        <v>1369</v>
      </c>
    </row>
    <row r="168" spans="1:21" x14ac:dyDescent="0.25">
      <c r="A168" s="1128"/>
      <c r="B168" s="1128"/>
      <c r="C168" s="1112"/>
      <c r="D168" s="1112">
        <v>2022</v>
      </c>
      <c r="E168" s="1112">
        <v>2023</v>
      </c>
      <c r="F168" s="1112">
        <v>2024</v>
      </c>
      <c r="G168" s="1112">
        <v>2025</v>
      </c>
      <c r="H168" s="1112">
        <v>2026</v>
      </c>
      <c r="I168" s="1112">
        <v>2027</v>
      </c>
      <c r="J168" s="1112">
        <v>2028</v>
      </c>
      <c r="K168" s="1112">
        <v>2029</v>
      </c>
      <c r="L168" s="1112">
        <v>2030</v>
      </c>
      <c r="M168" s="1113">
        <v>2031</v>
      </c>
      <c r="N168" s="1114" t="s">
        <v>1362</v>
      </c>
      <c r="O168" s="1114" t="s">
        <v>1363</v>
      </c>
      <c r="P168" s="1099"/>
      <c r="Q168" s="1099"/>
      <c r="R168" s="1099"/>
      <c r="S168" s="1099"/>
      <c r="U168" s="29"/>
    </row>
    <row r="169" spans="1:21" x14ac:dyDescent="0.25">
      <c r="A169" s="1129" t="s">
        <v>1364</v>
      </c>
      <c r="B169" s="1129"/>
      <c r="C169" s="1135"/>
      <c r="D169" s="1135">
        <f t="shared" ref="D169:O169" si="9">D78/1000</f>
        <v>0</v>
      </c>
      <c r="E169" s="1135">
        <f t="shared" si="9"/>
        <v>6.8000000000000005E-2</v>
      </c>
      <c r="F169" s="1135">
        <f t="shared" si="9"/>
        <v>1.363</v>
      </c>
      <c r="G169" s="1135">
        <f t="shared" si="9"/>
        <v>2.4329999999999998</v>
      </c>
      <c r="H169" s="1135">
        <f t="shared" si="9"/>
        <v>2.8029999999999999</v>
      </c>
      <c r="I169" s="1135">
        <f t="shared" si="9"/>
        <v>1.7410000000000001</v>
      </c>
      <c r="J169" s="1135">
        <f t="shared" si="9"/>
        <v>0.56999999999999995</v>
      </c>
      <c r="K169" s="1135">
        <f t="shared" si="9"/>
        <v>3.5000000000000003E-2</v>
      </c>
      <c r="L169" s="1135">
        <f t="shared" si="9"/>
        <v>0</v>
      </c>
      <c r="M169" s="1135">
        <f t="shared" si="9"/>
        <v>0</v>
      </c>
      <c r="N169" s="1135">
        <f t="shared" si="9"/>
        <v>6.6669999999999998</v>
      </c>
      <c r="O169" s="1135">
        <f t="shared" si="9"/>
        <v>9.0129999999999999</v>
      </c>
      <c r="P169" s="1135"/>
      <c r="Q169" s="1135"/>
      <c r="R169" s="1135"/>
      <c r="S169" s="1135"/>
      <c r="U169" s="29"/>
    </row>
    <row r="170" spans="1:21" x14ac:dyDescent="0.25">
      <c r="A170" s="1129" t="s">
        <v>1365</v>
      </c>
      <c r="B170" s="1129"/>
      <c r="C170" s="1135"/>
      <c r="D170" s="1135">
        <f t="shared" ref="D170:O170" si="10">(D77+D70)/1000</f>
        <v>0</v>
      </c>
      <c r="E170" s="1135">
        <f t="shared" si="10"/>
        <v>0.81899999999999995</v>
      </c>
      <c r="F170" s="1135">
        <f t="shared" si="10"/>
        <v>2.4780000000000002</v>
      </c>
      <c r="G170" s="1135">
        <f t="shared" si="10"/>
        <v>4.0720000000000001</v>
      </c>
      <c r="H170" s="1135">
        <f t="shared" si="10"/>
        <v>5.4480000000000004</v>
      </c>
      <c r="I170" s="1135">
        <f t="shared" si="10"/>
        <v>4.8289999999999997</v>
      </c>
      <c r="J170" s="1135">
        <f t="shared" si="10"/>
        <v>3.2949999999999999</v>
      </c>
      <c r="K170" s="1135">
        <f t="shared" si="10"/>
        <v>1.98</v>
      </c>
      <c r="L170" s="1135">
        <f t="shared" si="10"/>
        <v>1.01</v>
      </c>
      <c r="M170" s="1135">
        <f t="shared" si="10"/>
        <v>0.40400000000000003</v>
      </c>
      <c r="N170" s="1135">
        <f t="shared" si="10"/>
        <v>12.817</v>
      </c>
      <c r="O170" s="1135">
        <f t="shared" si="10"/>
        <v>24.335000000000001</v>
      </c>
      <c r="P170" s="1135"/>
      <c r="Q170" s="1135"/>
      <c r="R170" s="1135"/>
      <c r="S170" s="1135"/>
      <c r="U170" s="29"/>
    </row>
    <row r="171" spans="1:21" x14ac:dyDescent="0.25">
      <c r="A171" s="1129" t="s">
        <v>1366</v>
      </c>
      <c r="B171" s="1129"/>
      <c r="C171" s="1135"/>
      <c r="D171" s="1135">
        <f t="shared" ref="D171:O171" si="11">(D69+D76)/1000</f>
        <v>0</v>
      </c>
      <c r="E171" s="1135">
        <f t="shared" si="11"/>
        <v>4.5430000000000001</v>
      </c>
      <c r="F171" s="1135">
        <f t="shared" si="11"/>
        <v>5.6079999999999997</v>
      </c>
      <c r="G171" s="1135">
        <f t="shared" si="11"/>
        <v>8.16</v>
      </c>
      <c r="H171" s="1135">
        <f t="shared" si="11"/>
        <v>10.069000000000001</v>
      </c>
      <c r="I171" s="1135">
        <f t="shared" si="11"/>
        <v>12.026999999999999</v>
      </c>
      <c r="J171" s="1135">
        <f t="shared" si="11"/>
        <v>13.826000000000001</v>
      </c>
      <c r="K171" s="1135">
        <f t="shared" si="11"/>
        <v>15.862</v>
      </c>
      <c r="L171" s="1135">
        <f t="shared" si="11"/>
        <v>17.890999999999998</v>
      </c>
      <c r="M171" s="1135">
        <f t="shared" si="11"/>
        <v>17.481000000000002</v>
      </c>
      <c r="N171" s="1135">
        <f t="shared" si="11"/>
        <v>28.38</v>
      </c>
      <c r="O171" s="1135">
        <f t="shared" si="11"/>
        <v>105.467</v>
      </c>
      <c r="P171" s="1135"/>
      <c r="Q171" s="1135"/>
      <c r="R171" s="1135"/>
      <c r="S171" s="1135"/>
      <c r="U171" s="29"/>
    </row>
    <row r="172" spans="1:21" x14ac:dyDescent="0.25">
      <c r="A172" s="1130" t="s">
        <v>52</v>
      </c>
      <c r="B172" s="1130"/>
      <c r="C172" s="1135"/>
      <c r="D172" s="1135">
        <f t="shared" ref="D172:O172" si="12">(D79+D74)/1000</f>
        <v>0</v>
      </c>
      <c r="E172" s="1135">
        <f t="shared" si="12"/>
        <v>1.2969999999999999</v>
      </c>
      <c r="F172" s="1135">
        <f t="shared" si="12"/>
        <v>3.8479999999999999</v>
      </c>
      <c r="G172" s="1135">
        <f t="shared" si="12"/>
        <v>6.4420000000000002</v>
      </c>
      <c r="H172" s="1135">
        <f t="shared" si="12"/>
        <v>9.532</v>
      </c>
      <c r="I172" s="1135">
        <f t="shared" si="12"/>
        <v>11.882</v>
      </c>
      <c r="J172" s="1135">
        <f t="shared" si="12"/>
        <v>11.727</v>
      </c>
      <c r="K172" s="1135">
        <f t="shared" si="12"/>
        <v>10.569000000000001</v>
      </c>
      <c r="L172" s="1135">
        <f t="shared" si="12"/>
        <v>8.8879999999999999</v>
      </c>
      <c r="M172" s="1135">
        <f t="shared" si="12"/>
        <v>7.1890000000000001</v>
      </c>
      <c r="N172" s="1135">
        <f t="shared" si="12"/>
        <v>21.117000000000001</v>
      </c>
      <c r="O172" s="1135">
        <f t="shared" si="12"/>
        <v>71.372</v>
      </c>
      <c r="P172" s="1135"/>
      <c r="Q172" s="1135"/>
      <c r="R172" s="1135"/>
      <c r="S172" s="1135"/>
      <c r="U172" s="29"/>
    </row>
    <row r="173" spans="1:21" x14ac:dyDescent="0.25">
      <c r="A173" s="1131" t="s">
        <v>526</v>
      </c>
      <c r="B173" s="1131"/>
      <c r="C173" s="1135"/>
      <c r="D173" s="1135"/>
      <c r="E173" s="1135"/>
      <c r="F173" s="1135"/>
      <c r="G173" s="1135"/>
      <c r="H173" s="1135"/>
      <c r="I173" s="1135"/>
      <c r="J173" s="1135"/>
      <c r="K173" s="1135"/>
      <c r="L173" s="1135"/>
      <c r="M173" s="1135"/>
      <c r="N173" s="1135"/>
      <c r="O173" s="1135"/>
      <c r="P173" s="1135"/>
      <c r="Q173" s="1135"/>
      <c r="R173" s="1135"/>
      <c r="S173" s="1135"/>
      <c r="U173" s="29"/>
    </row>
    <row r="174" spans="1:21" x14ac:dyDescent="0.25">
      <c r="A174" s="1132" t="s">
        <v>54</v>
      </c>
      <c r="B174" s="1132"/>
      <c r="C174" s="1135"/>
      <c r="D174" s="1135">
        <f t="shared" ref="D174:O174" si="13">D71/1000</f>
        <v>0</v>
      </c>
      <c r="E174" s="1135">
        <f t="shared" si="13"/>
        <v>0.11</v>
      </c>
      <c r="F174" s="1135">
        <f t="shared" si="13"/>
        <v>0.73899999999999999</v>
      </c>
      <c r="G174" s="1135">
        <f t="shared" si="13"/>
        <v>1.1950000000000001</v>
      </c>
      <c r="H174" s="1135">
        <f t="shared" si="13"/>
        <v>1.4970000000000001</v>
      </c>
      <c r="I174" s="1135">
        <f t="shared" si="13"/>
        <v>1.91</v>
      </c>
      <c r="J174" s="1135">
        <f t="shared" si="13"/>
        <v>2.4049999999999998</v>
      </c>
      <c r="K174" s="1135">
        <f t="shared" si="13"/>
        <v>2.9220000000000002</v>
      </c>
      <c r="L174" s="1135">
        <f t="shared" si="13"/>
        <v>3.4630000000000001</v>
      </c>
      <c r="M174" s="1135">
        <f t="shared" si="13"/>
        <v>4.0069999999999997</v>
      </c>
      <c r="N174" s="1135">
        <f t="shared" si="13"/>
        <v>3.5409999999999999</v>
      </c>
      <c r="O174" s="1135">
        <f t="shared" si="13"/>
        <v>18.248000000000001</v>
      </c>
      <c r="P174" s="1135"/>
      <c r="Q174" s="1135"/>
      <c r="R174" s="1135"/>
      <c r="S174" s="1135"/>
      <c r="U174" s="29"/>
    </row>
    <row r="175" spans="1:21" x14ac:dyDescent="0.25">
      <c r="A175" s="1132" t="s">
        <v>1367</v>
      </c>
      <c r="B175" s="1132"/>
      <c r="C175" s="1135"/>
      <c r="D175" s="1135">
        <f t="shared" ref="D175:O175" si="14">D72/1000</f>
        <v>0</v>
      </c>
      <c r="E175" s="1135">
        <f t="shared" si="14"/>
        <v>-0.41499999999999998</v>
      </c>
      <c r="F175" s="1135">
        <f t="shared" si="14"/>
        <v>2.7679999999999998</v>
      </c>
      <c r="G175" s="1135">
        <f t="shared" si="14"/>
        <v>-12.473000000000001</v>
      </c>
      <c r="H175" s="1135">
        <f t="shared" si="14"/>
        <v>-5.3739999999999997</v>
      </c>
      <c r="I175" s="1135">
        <f t="shared" si="14"/>
        <v>-25.515000000000001</v>
      </c>
      <c r="J175" s="1135">
        <f t="shared" si="14"/>
        <v>-43.975000000000001</v>
      </c>
      <c r="K175" s="1135">
        <f t="shared" si="14"/>
        <v>-46.426000000000002</v>
      </c>
      <c r="L175" s="1135">
        <f t="shared" si="14"/>
        <v>-56.228000000000002</v>
      </c>
      <c r="M175" s="1135">
        <f t="shared" si="14"/>
        <v>-60.581000000000003</v>
      </c>
      <c r="N175" s="1135">
        <f t="shared" si="14"/>
        <v>-15.494</v>
      </c>
      <c r="O175" s="1135">
        <f t="shared" si="14"/>
        <v>-248.21899999999999</v>
      </c>
      <c r="P175" s="1135"/>
      <c r="Q175" s="1135"/>
      <c r="R175" s="1135"/>
      <c r="S175" s="1135"/>
      <c r="U175" s="29"/>
    </row>
    <row r="176" spans="1:21" x14ac:dyDescent="0.25">
      <c r="A176" s="1133" t="s">
        <v>57</v>
      </c>
      <c r="B176" s="1133"/>
      <c r="C176" s="1135"/>
      <c r="D176" s="1135">
        <f t="shared" ref="D176:O176" si="15">(D80+D73)/1000</f>
        <v>-0.622</v>
      </c>
      <c r="E176" s="1135">
        <f t="shared" si="15"/>
        <v>21.89</v>
      </c>
      <c r="F176" s="1135">
        <f t="shared" si="15"/>
        <v>15.439</v>
      </c>
      <c r="G176" s="1135">
        <f t="shared" si="15"/>
        <v>16.966999999999999</v>
      </c>
      <c r="H176" s="1135">
        <f t="shared" si="15"/>
        <v>0.72799999999999998</v>
      </c>
      <c r="I176" s="1135">
        <f t="shared" si="15"/>
        <v>7.657</v>
      </c>
      <c r="J176" s="1135">
        <f t="shared" si="15"/>
        <v>4.5590000000000002</v>
      </c>
      <c r="K176" s="1135">
        <f t="shared" si="15"/>
        <v>2.4649999999999999</v>
      </c>
      <c r="L176" s="1135">
        <f t="shared" si="15"/>
        <v>1.444</v>
      </c>
      <c r="M176" s="1135">
        <f t="shared" si="15"/>
        <v>0.77300000000000002</v>
      </c>
      <c r="N176" s="1135">
        <f t="shared" si="15"/>
        <v>54.402000000000001</v>
      </c>
      <c r="O176" s="1135">
        <f t="shared" si="15"/>
        <v>71.3</v>
      </c>
      <c r="P176" s="1135"/>
      <c r="Q176" s="1135"/>
      <c r="R176" s="1135"/>
      <c r="S176" s="1135"/>
      <c r="U176" s="29"/>
    </row>
    <row r="177" spans="1:21" x14ac:dyDescent="0.25">
      <c r="A177" s="1134" t="s">
        <v>1423</v>
      </c>
      <c r="B177" s="1134"/>
      <c r="C177" s="1135"/>
      <c r="D177" s="1122">
        <f t="shared" ref="D177:O177" si="16">D84/1000</f>
        <v>0</v>
      </c>
      <c r="E177" s="1122">
        <f t="shared" si="16"/>
        <v>-3.1549999999999998</v>
      </c>
      <c r="F177" s="1122">
        <f t="shared" si="16"/>
        <v>-2.2309999999999999</v>
      </c>
      <c r="G177" s="1122">
        <f t="shared" si="16"/>
        <v>-1.6080000000000001</v>
      </c>
      <c r="H177" s="1122">
        <f t="shared" si="16"/>
        <v>-0.77</v>
      </c>
      <c r="I177" s="1122">
        <f t="shared" si="16"/>
        <v>-0.98299999999999998</v>
      </c>
      <c r="J177" s="1122">
        <f t="shared" si="16"/>
        <v>-1.2110000000000001</v>
      </c>
      <c r="K177" s="1122">
        <f t="shared" si="16"/>
        <v>-1.4710000000000001</v>
      </c>
      <c r="L177" s="1122">
        <f t="shared" si="16"/>
        <v>-1.81</v>
      </c>
      <c r="M177" s="1122">
        <f t="shared" si="16"/>
        <v>-2.3250000000000002</v>
      </c>
      <c r="N177" s="1122">
        <f t="shared" si="16"/>
        <v>-7.7670000000000003</v>
      </c>
      <c r="O177" s="1122">
        <f t="shared" si="16"/>
        <v>-15.566000000000001</v>
      </c>
      <c r="P177" s="1122"/>
      <c r="Q177" s="1122"/>
      <c r="R177" s="1122"/>
      <c r="S177" s="1122"/>
      <c r="U177" s="29"/>
    </row>
    <row r="178" spans="1:21" x14ac:dyDescent="0.25">
      <c r="A178" s="1134" t="s">
        <v>239</v>
      </c>
      <c r="B178" s="1134"/>
      <c r="C178" s="1135"/>
      <c r="D178" s="1122">
        <f t="shared" ref="D178:O178" si="17">D85/1000</f>
        <v>0</v>
      </c>
      <c r="E178" s="1122">
        <f t="shared" si="17"/>
        <v>0.45200000000000001</v>
      </c>
      <c r="F178" s="1122">
        <f t="shared" si="17"/>
        <v>-8.67</v>
      </c>
      <c r="G178" s="1122">
        <f t="shared" si="17"/>
        <v>-4.5270000000000001</v>
      </c>
      <c r="H178" s="1122">
        <f t="shared" si="17"/>
        <v>-0.70499999999999996</v>
      </c>
      <c r="I178" s="1122">
        <f t="shared" si="17"/>
        <v>15.813000000000001</v>
      </c>
      <c r="J178" s="1122">
        <f t="shared" si="17"/>
        <v>20.372</v>
      </c>
      <c r="K178" s="1122">
        <f t="shared" si="17"/>
        <v>24.847000000000001</v>
      </c>
      <c r="L178" s="1122">
        <f t="shared" si="17"/>
        <v>28.113</v>
      </c>
      <c r="M178" s="1122">
        <f t="shared" si="17"/>
        <v>24.777000000000001</v>
      </c>
      <c r="N178" s="1122">
        <f t="shared" si="17"/>
        <v>-13.451000000000001</v>
      </c>
      <c r="O178" s="1122">
        <f t="shared" si="17"/>
        <v>100.468</v>
      </c>
      <c r="P178" s="1122"/>
      <c r="Q178" s="1122"/>
      <c r="R178" s="1122"/>
      <c r="S178" s="1122"/>
      <c r="U178" s="29"/>
    </row>
    <row r="179" spans="1:21" x14ac:dyDescent="0.25">
      <c r="A179" s="1134" t="s">
        <v>106</v>
      </c>
      <c r="B179" s="1134"/>
      <c r="C179" s="1135"/>
      <c r="D179" s="1122">
        <f t="shared" ref="D179:O179" si="18">D83/1000</f>
        <v>0</v>
      </c>
      <c r="E179" s="1122">
        <f t="shared" si="18"/>
        <v>35.317</v>
      </c>
      <c r="F179" s="1122">
        <f t="shared" si="18"/>
        <v>36.033000000000001</v>
      </c>
      <c r="G179" s="1122">
        <f t="shared" si="18"/>
        <v>21.076000000000001</v>
      </c>
      <c r="H179" s="1122">
        <f t="shared" si="18"/>
        <v>13.346</v>
      </c>
      <c r="I179" s="1122">
        <f t="shared" si="18"/>
        <v>27.507999999999999</v>
      </c>
      <c r="J179" s="1122">
        <f t="shared" si="18"/>
        <v>35.85</v>
      </c>
      <c r="K179" s="1122">
        <f t="shared" si="18"/>
        <v>18.64</v>
      </c>
      <c r="L179" s="1122">
        <f t="shared" si="18"/>
        <v>8.3940000000000001</v>
      </c>
      <c r="M179" s="1122">
        <f t="shared" si="18"/>
        <v>7.9820000000000002</v>
      </c>
      <c r="N179" s="1122">
        <f t="shared" si="18"/>
        <v>105.76900000000001</v>
      </c>
      <c r="O179" s="1122">
        <f t="shared" si="18"/>
        <v>204.14400000000001</v>
      </c>
      <c r="P179" s="1122"/>
      <c r="Q179" s="1122"/>
      <c r="R179" s="1122"/>
      <c r="S179" s="1122"/>
      <c r="U179" s="29"/>
    </row>
    <row r="182" spans="1:21" x14ac:dyDescent="0.25">
      <c r="A182" s="43" t="s">
        <v>1368</v>
      </c>
    </row>
    <row r="183" spans="1:21" x14ac:dyDescent="0.25">
      <c r="A183" s="1128"/>
      <c r="B183" s="1128"/>
      <c r="C183" s="1128"/>
      <c r="D183" s="1128" t="s">
        <v>183</v>
      </c>
      <c r="E183" s="1128" t="s">
        <v>184</v>
      </c>
      <c r="F183" s="1128" t="s">
        <v>185</v>
      </c>
      <c r="G183" s="1128" t="s">
        <v>186</v>
      </c>
      <c r="H183" s="1128" t="s">
        <v>187</v>
      </c>
      <c r="I183" s="1128" t="s">
        <v>188</v>
      </c>
      <c r="J183" s="1128" t="s">
        <v>189</v>
      </c>
      <c r="K183" s="1128" t="s">
        <v>190</v>
      </c>
      <c r="L183" s="1128" t="s">
        <v>191</v>
      </c>
      <c r="M183" s="1128" t="s">
        <v>175</v>
      </c>
      <c r="N183" s="1128" t="s">
        <v>176</v>
      </c>
      <c r="O183" s="1128" t="s">
        <v>177</v>
      </c>
      <c r="P183" s="1128" t="s">
        <v>763</v>
      </c>
      <c r="Q183" s="1128" t="s">
        <v>764</v>
      </c>
      <c r="R183" s="1128" t="s">
        <v>765</v>
      </c>
      <c r="S183" s="1128" t="s">
        <v>1151</v>
      </c>
      <c r="U183" s="29"/>
    </row>
    <row r="184" spans="1:21" x14ac:dyDescent="0.25">
      <c r="A184" s="1129" t="s">
        <v>1364</v>
      </c>
      <c r="B184" s="1129"/>
      <c r="C184" s="1136"/>
      <c r="D184" s="1136">
        <f t="shared" ref="D184:D191" si="19">D169</f>
        <v>0</v>
      </c>
      <c r="E184" s="1136">
        <f>D184</f>
        <v>0</v>
      </c>
      <c r="F184" s="1136">
        <f t="shared" ref="F184:F191" si="20">E169</f>
        <v>6.8000000000000005E-2</v>
      </c>
      <c r="G184" s="1136">
        <f>F184</f>
        <v>6.8000000000000005E-2</v>
      </c>
      <c r="H184" s="1136">
        <f>G184</f>
        <v>6.8000000000000005E-2</v>
      </c>
      <c r="I184" s="1136">
        <f>H184</f>
        <v>6.8000000000000005E-2</v>
      </c>
      <c r="J184" s="1136">
        <f t="shared" ref="J184:J191" si="21">F169</f>
        <v>1.363</v>
      </c>
      <c r="K184" s="1136">
        <f t="shared" ref="K184:M191" si="22">J184</f>
        <v>1.363</v>
      </c>
      <c r="L184" s="1136">
        <f t="shared" si="22"/>
        <v>1.363</v>
      </c>
      <c r="M184" s="1136">
        <f>L184</f>
        <v>1.363</v>
      </c>
      <c r="N184" s="1136">
        <f>G169</f>
        <v>2.4329999999999998</v>
      </c>
      <c r="O184" s="1136">
        <f>N184</f>
        <v>2.4329999999999998</v>
      </c>
      <c r="P184" s="1136">
        <f t="shared" ref="P184:Q184" si="23">O184</f>
        <v>2.4329999999999998</v>
      </c>
      <c r="Q184" s="1136">
        <f t="shared" si="23"/>
        <v>2.4329999999999998</v>
      </c>
      <c r="R184" s="1136">
        <f>H169</f>
        <v>2.8029999999999999</v>
      </c>
      <c r="S184" s="1136">
        <f>R184</f>
        <v>2.8029999999999999</v>
      </c>
      <c r="U184" s="29"/>
    </row>
    <row r="185" spans="1:21" x14ac:dyDescent="0.25">
      <c r="A185" s="1129" t="s">
        <v>1365</v>
      </c>
      <c r="B185" s="1129"/>
      <c r="C185" s="1136"/>
      <c r="D185" s="1136">
        <f t="shared" si="19"/>
        <v>0</v>
      </c>
      <c r="E185" s="1136">
        <f t="shared" ref="E185:E191" si="24">D185</f>
        <v>0</v>
      </c>
      <c r="F185" s="1136">
        <f t="shared" si="20"/>
        <v>0.81899999999999995</v>
      </c>
      <c r="G185" s="1136">
        <f t="shared" ref="G185:I191" si="25">F185</f>
        <v>0.81899999999999995</v>
      </c>
      <c r="H185" s="1136">
        <f t="shared" si="25"/>
        <v>0.81899999999999995</v>
      </c>
      <c r="I185" s="1136">
        <f t="shared" si="25"/>
        <v>0.81899999999999995</v>
      </c>
      <c r="J185" s="1136">
        <f>F170</f>
        <v>2.4780000000000002</v>
      </c>
      <c r="K185" s="1136">
        <f t="shared" si="22"/>
        <v>2.4780000000000002</v>
      </c>
      <c r="L185" s="1136">
        <f t="shared" si="22"/>
        <v>2.4780000000000002</v>
      </c>
      <c r="M185" s="1136">
        <f>L185</f>
        <v>2.4780000000000002</v>
      </c>
      <c r="N185" s="1136">
        <f>G170</f>
        <v>4.0720000000000001</v>
      </c>
      <c r="O185" s="1136">
        <f>N185</f>
        <v>4.0720000000000001</v>
      </c>
      <c r="P185" s="1136">
        <f t="shared" ref="P185:Q194" si="26">O185</f>
        <v>4.0720000000000001</v>
      </c>
      <c r="Q185" s="1136">
        <f t="shared" si="26"/>
        <v>4.0720000000000001</v>
      </c>
      <c r="R185" s="1136">
        <f>H170</f>
        <v>5.4480000000000004</v>
      </c>
      <c r="S185" s="1136">
        <f t="shared" ref="S185:S194" si="27">R185</f>
        <v>5.4480000000000004</v>
      </c>
      <c r="U185" s="29"/>
    </row>
    <row r="186" spans="1:21" x14ac:dyDescent="0.25">
      <c r="A186" s="1129" t="s">
        <v>1366</v>
      </c>
      <c r="B186" s="1129"/>
      <c r="C186" s="1136"/>
      <c r="D186" s="1136">
        <f t="shared" si="19"/>
        <v>0</v>
      </c>
      <c r="E186" s="1136">
        <f t="shared" si="24"/>
        <v>0</v>
      </c>
      <c r="F186" s="1136">
        <f t="shared" si="20"/>
        <v>4.5430000000000001</v>
      </c>
      <c r="G186" s="1136">
        <f t="shared" si="25"/>
        <v>4.5430000000000001</v>
      </c>
      <c r="H186" s="1136">
        <f t="shared" si="25"/>
        <v>4.5430000000000001</v>
      </c>
      <c r="I186" s="1136">
        <f t="shared" si="25"/>
        <v>4.5430000000000001</v>
      </c>
      <c r="J186" s="1136">
        <f t="shared" si="21"/>
        <v>5.6079999999999997</v>
      </c>
      <c r="K186" s="1136">
        <f t="shared" si="22"/>
        <v>5.6079999999999997</v>
      </c>
      <c r="L186" s="1136">
        <f t="shared" si="22"/>
        <v>5.6079999999999997</v>
      </c>
      <c r="M186" s="1136">
        <f t="shared" si="22"/>
        <v>5.6079999999999997</v>
      </c>
      <c r="N186" s="1136">
        <f>G171</f>
        <v>8.16</v>
      </c>
      <c r="O186" s="1136">
        <f t="shared" ref="O186:O191" si="28">N186</f>
        <v>8.16</v>
      </c>
      <c r="P186" s="1136">
        <f t="shared" si="26"/>
        <v>8.16</v>
      </c>
      <c r="Q186" s="1136">
        <f t="shared" si="26"/>
        <v>8.16</v>
      </c>
      <c r="R186" s="1136">
        <f t="shared" ref="R186:R194" si="29">H171</f>
        <v>10.069000000000001</v>
      </c>
      <c r="S186" s="1136">
        <f t="shared" si="27"/>
        <v>10.069000000000001</v>
      </c>
      <c r="U186" s="29"/>
    </row>
    <row r="187" spans="1:21" x14ac:dyDescent="0.25">
      <c r="A187" s="1130" t="s">
        <v>52</v>
      </c>
      <c r="B187" s="1130"/>
      <c r="C187" s="1136"/>
      <c r="D187" s="1136">
        <f t="shared" si="19"/>
        <v>0</v>
      </c>
      <c r="E187" s="1136">
        <f t="shared" si="24"/>
        <v>0</v>
      </c>
      <c r="F187" s="1136">
        <f t="shared" si="20"/>
        <v>1.2969999999999999</v>
      </c>
      <c r="G187" s="1136">
        <f t="shared" si="25"/>
        <v>1.2969999999999999</v>
      </c>
      <c r="H187" s="1136">
        <f t="shared" si="25"/>
        <v>1.2969999999999999</v>
      </c>
      <c r="I187" s="1136">
        <f t="shared" si="25"/>
        <v>1.2969999999999999</v>
      </c>
      <c r="J187" s="1136">
        <f t="shared" si="21"/>
        <v>3.8479999999999999</v>
      </c>
      <c r="K187" s="1136">
        <f t="shared" si="22"/>
        <v>3.8479999999999999</v>
      </c>
      <c r="L187" s="1136">
        <f t="shared" si="22"/>
        <v>3.8479999999999999</v>
      </c>
      <c r="M187" s="1136">
        <f t="shared" si="22"/>
        <v>3.8479999999999999</v>
      </c>
      <c r="N187" s="1136">
        <f t="shared" ref="N187:N191" si="30">G172</f>
        <v>6.4420000000000002</v>
      </c>
      <c r="O187" s="1136">
        <f t="shared" si="28"/>
        <v>6.4420000000000002</v>
      </c>
      <c r="P187" s="1136">
        <f t="shared" si="26"/>
        <v>6.4420000000000002</v>
      </c>
      <c r="Q187" s="1136">
        <f t="shared" si="26"/>
        <v>6.4420000000000002</v>
      </c>
      <c r="R187" s="1136">
        <f t="shared" si="29"/>
        <v>9.532</v>
      </c>
      <c r="S187" s="1136">
        <f t="shared" si="27"/>
        <v>9.532</v>
      </c>
      <c r="U187" s="29"/>
    </row>
    <row r="188" spans="1:21" x14ac:dyDescent="0.25">
      <c r="A188" s="1131" t="s">
        <v>526</v>
      </c>
      <c r="B188" s="1131"/>
      <c r="C188" s="1136"/>
      <c r="D188" s="1136">
        <f t="shared" si="19"/>
        <v>0</v>
      </c>
      <c r="E188" s="1136">
        <f t="shared" si="24"/>
        <v>0</v>
      </c>
      <c r="F188" s="1136">
        <f t="shared" si="20"/>
        <v>0</v>
      </c>
      <c r="G188" s="1136">
        <f t="shared" si="25"/>
        <v>0</v>
      </c>
      <c r="H188" s="1136">
        <f t="shared" si="25"/>
        <v>0</v>
      </c>
      <c r="I188" s="1136">
        <f t="shared" si="25"/>
        <v>0</v>
      </c>
      <c r="J188" s="1136">
        <f t="shared" si="21"/>
        <v>0</v>
      </c>
      <c r="K188" s="1136">
        <f t="shared" si="22"/>
        <v>0</v>
      </c>
      <c r="L188" s="1136">
        <f t="shared" si="22"/>
        <v>0</v>
      </c>
      <c r="M188" s="1136">
        <f t="shared" si="22"/>
        <v>0</v>
      </c>
      <c r="N188" s="1136">
        <f t="shared" si="30"/>
        <v>0</v>
      </c>
      <c r="O188" s="1136">
        <f t="shared" si="28"/>
        <v>0</v>
      </c>
      <c r="P188" s="1136">
        <f t="shared" si="26"/>
        <v>0</v>
      </c>
      <c r="Q188" s="1136">
        <f t="shared" si="26"/>
        <v>0</v>
      </c>
      <c r="R188" s="1136">
        <f t="shared" si="29"/>
        <v>0</v>
      </c>
      <c r="S188" s="1136">
        <f t="shared" si="27"/>
        <v>0</v>
      </c>
      <c r="U188" s="29"/>
    </row>
    <row r="189" spans="1:21" x14ac:dyDescent="0.25">
      <c r="A189" s="1132" t="s">
        <v>54</v>
      </c>
      <c r="B189" s="1132"/>
      <c r="C189" s="1136"/>
      <c r="D189" s="1136">
        <f t="shared" si="19"/>
        <v>0</v>
      </c>
      <c r="E189" s="1136">
        <f t="shared" si="24"/>
        <v>0</v>
      </c>
      <c r="F189" s="1136">
        <f t="shared" si="20"/>
        <v>0.11</v>
      </c>
      <c r="G189" s="1136">
        <f t="shared" si="25"/>
        <v>0.11</v>
      </c>
      <c r="H189" s="1136">
        <f t="shared" si="25"/>
        <v>0.11</v>
      </c>
      <c r="I189" s="1136">
        <f t="shared" si="25"/>
        <v>0.11</v>
      </c>
      <c r="J189" s="1136">
        <f t="shared" si="21"/>
        <v>0.73899999999999999</v>
      </c>
      <c r="K189" s="1136">
        <f t="shared" si="22"/>
        <v>0.73899999999999999</v>
      </c>
      <c r="L189" s="1136">
        <f t="shared" si="22"/>
        <v>0.73899999999999999</v>
      </c>
      <c r="M189" s="1136">
        <f t="shared" si="22"/>
        <v>0.73899999999999999</v>
      </c>
      <c r="N189" s="1136">
        <f t="shared" si="30"/>
        <v>1.1950000000000001</v>
      </c>
      <c r="O189" s="1136">
        <f t="shared" si="28"/>
        <v>1.1950000000000001</v>
      </c>
      <c r="P189" s="1136">
        <f t="shared" si="26"/>
        <v>1.1950000000000001</v>
      </c>
      <c r="Q189" s="1136">
        <f t="shared" si="26"/>
        <v>1.1950000000000001</v>
      </c>
      <c r="R189" s="1136">
        <f t="shared" si="29"/>
        <v>1.4970000000000001</v>
      </c>
      <c r="S189" s="1136">
        <f t="shared" si="27"/>
        <v>1.4970000000000001</v>
      </c>
      <c r="U189" s="29"/>
    </row>
    <row r="190" spans="1:21" x14ac:dyDescent="0.25">
      <c r="A190" s="1132" t="s">
        <v>1367</v>
      </c>
      <c r="B190" s="1132"/>
      <c r="C190" s="1136"/>
      <c r="D190" s="1136">
        <f t="shared" si="19"/>
        <v>0</v>
      </c>
      <c r="E190" s="1136">
        <f t="shared" si="24"/>
        <v>0</v>
      </c>
      <c r="F190" s="1136">
        <f t="shared" si="20"/>
        <v>-0.41499999999999998</v>
      </c>
      <c r="G190" s="1136">
        <f t="shared" si="25"/>
        <v>-0.41499999999999998</v>
      </c>
      <c r="H190" s="1136">
        <f t="shared" si="25"/>
        <v>-0.41499999999999998</v>
      </c>
      <c r="I190" s="1136">
        <f t="shared" si="25"/>
        <v>-0.41499999999999998</v>
      </c>
      <c r="J190" s="1136">
        <f t="shared" si="21"/>
        <v>2.7679999999999998</v>
      </c>
      <c r="K190" s="1136">
        <f t="shared" si="22"/>
        <v>2.7679999999999998</v>
      </c>
      <c r="L190" s="1136">
        <f t="shared" si="22"/>
        <v>2.7679999999999998</v>
      </c>
      <c r="M190" s="1136">
        <f t="shared" si="22"/>
        <v>2.7679999999999998</v>
      </c>
      <c r="N190" s="1136">
        <f t="shared" si="30"/>
        <v>-12.473000000000001</v>
      </c>
      <c r="O190" s="1136">
        <f t="shared" si="28"/>
        <v>-12.473000000000001</v>
      </c>
      <c r="P190" s="1136">
        <f t="shared" si="26"/>
        <v>-12.473000000000001</v>
      </c>
      <c r="Q190" s="1136">
        <f t="shared" si="26"/>
        <v>-12.473000000000001</v>
      </c>
      <c r="R190" s="1136">
        <f t="shared" si="29"/>
        <v>-5.3739999999999997</v>
      </c>
      <c r="S190" s="1136">
        <f t="shared" si="27"/>
        <v>-5.3739999999999997</v>
      </c>
      <c r="U190" s="29"/>
    </row>
    <row r="191" spans="1:21" x14ac:dyDescent="0.25">
      <c r="A191" s="1133" t="s">
        <v>57</v>
      </c>
      <c r="B191" s="1133"/>
      <c r="C191" s="1136"/>
      <c r="D191" s="1136">
        <f t="shared" si="19"/>
        <v>-0.622</v>
      </c>
      <c r="E191" s="1136">
        <f t="shared" si="24"/>
        <v>-0.622</v>
      </c>
      <c r="F191" s="1136">
        <f t="shared" si="20"/>
        <v>21.89</v>
      </c>
      <c r="G191" s="1136">
        <f t="shared" si="25"/>
        <v>21.89</v>
      </c>
      <c r="H191" s="1136">
        <f t="shared" si="25"/>
        <v>21.89</v>
      </c>
      <c r="I191" s="1136">
        <f t="shared" si="25"/>
        <v>21.89</v>
      </c>
      <c r="J191" s="1136">
        <f t="shared" si="21"/>
        <v>15.439</v>
      </c>
      <c r="K191" s="1136">
        <f t="shared" si="22"/>
        <v>15.439</v>
      </c>
      <c r="L191" s="1136">
        <f t="shared" si="22"/>
        <v>15.439</v>
      </c>
      <c r="M191" s="1136">
        <f t="shared" si="22"/>
        <v>15.439</v>
      </c>
      <c r="N191" s="1136">
        <f t="shared" si="30"/>
        <v>16.966999999999999</v>
      </c>
      <c r="O191" s="1136">
        <f t="shared" si="28"/>
        <v>16.966999999999999</v>
      </c>
      <c r="P191" s="1136">
        <f t="shared" si="26"/>
        <v>16.966999999999999</v>
      </c>
      <c r="Q191" s="1136">
        <f t="shared" si="26"/>
        <v>16.966999999999999</v>
      </c>
      <c r="R191" s="1136">
        <f t="shared" si="29"/>
        <v>0.72799999999999998</v>
      </c>
      <c r="S191" s="1136">
        <f t="shared" si="27"/>
        <v>0.72799999999999998</v>
      </c>
      <c r="U191" s="29"/>
    </row>
    <row r="192" spans="1:21" x14ac:dyDescent="0.25">
      <c r="A192" s="1134" t="s">
        <v>484</v>
      </c>
      <c r="B192" s="1134"/>
      <c r="C192" s="1136"/>
      <c r="D192" s="1122">
        <f t="shared" ref="D192:D194" si="31">D177</f>
        <v>0</v>
      </c>
      <c r="E192" s="1122">
        <f t="shared" ref="E192:E194" si="32">D192</f>
        <v>0</v>
      </c>
      <c r="F192" s="1122">
        <f t="shared" ref="F192:F194" si="33">E177</f>
        <v>-3.1549999999999998</v>
      </c>
      <c r="G192" s="1122">
        <f t="shared" ref="G192:G194" si="34">F192</f>
        <v>-3.1549999999999998</v>
      </c>
      <c r="H192" s="1122">
        <f t="shared" ref="H192:H194" si="35">G192</f>
        <v>-3.1549999999999998</v>
      </c>
      <c r="I192" s="1122">
        <f t="shared" ref="I192:I194" si="36">H192</f>
        <v>-3.1549999999999998</v>
      </c>
      <c r="J192" s="1122">
        <f t="shared" ref="J192:J194" si="37">F177</f>
        <v>-2.2309999999999999</v>
      </c>
      <c r="K192" s="1122">
        <f t="shared" ref="K192:K194" si="38">J192</f>
        <v>-2.2309999999999999</v>
      </c>
      <c r="L192" s="1122">
        <f t="shared" ref="L192:L194" si="39">K192</f>
        <v>-2.2309999999999999</v>
      </c>
      <c r="M192" s="1122">
        <f t="shared" ref="M192:M194" si="40">L192</f>
        <v>-2.2309999999999999</v>
      </c>
      <c r="N192" s="1122">
        <f t="shared" ref="N192:N194" si="41">G177</f>
        <v>-1.6080000000000001</v>
      </c>
      <c r="O192" s="1122">
        <f t="shared" ref="O192:O194" si="42">N192</f>
        <v>-1.6080000000000001</v>
      </c>
      <c r="P192" s="1122">
        <f t="shared" si="26"/>
        <v>-1.6080000000000001</v>
      </c>
      <c r="Q192" s="1122">
        <f t="shared" si="26"/>
        <v>-1.6080000000000001</v>
      </c>
      <c r="R192" s="1136">
        <f t="shared" si="29"/>
        <v>-0.77</v>
      </c>
      <c r="S192" s="1136">
        <f t="shared" si="27"/>
        <v>-0.77</v>
      </c>
      <c r="U192" s="29"/>
    </row>
    <row r="193" spans="1:21" x14ac:dyDescent="0.25">
      <c r="A193" s="1134" t="s">
        <v>482</v>
      </c>
      <c r="B193" s="1134"/>
      <c r="C193" s="1136"/>
      <c r="D193" s="1122">
        <f t="shared" si="31"/>
        <v>0</v>
      </c>
      <c r="E193" s="1122">
        <f t="shared" si="32"/>
        <v>0</v>
      </c>
      <c r="F193" s="1122">
        <f t="shared" si="33"/>
        <v>0.45200000000000001</v>
      </c>
      <c r="G193" s="1122">
        <f t="shared" si="34"/>
        <v>0.45200000000000001</v>
      </c>
      <c r="H193" s="1122">
        <f t="shared" si="35"/>
        <v>0.45200000000000001</v>
      </c>
      <c r="I193" s="1122">
        <f t="shared" si="36"/>
        <v>0.45200000000000001</v>
      </c>
      <c r="J193" s="1122">
        <f t="shared" si="37"/>
        <v>-8.67</v>
      </c>
      <c r="K193" s="1122">
        <f t="shared" si="38"/>
        <v>-8.67</v>
      </c>
      <c r="L193" s="1122">
        <f t="shared" si="39"/>
        <v>-8.67</v>
      </c>
      <c r="M193" s="1122">
        <f t="shared" si="40"/>
        <v>-8.67</v>
      </c>
      <c r="N193" s="1122">
        <f t="shared" si="41"/>
        <v>-4.5270000000000001</v>
      </c>
      <c r="O193" s="1122">
        <f t="shared" si="42"/>
        <v>-4.5270000000000001</v>
      </c>
      <c r="P193" s="1122">
        <f t="shared" si="26"/>
        <v>-4.5270000000000001</v>
      </c>
      <c r="Q193" s="1122">
        <f t="shared" si="26"/>
        <v>-4.5270000000000001</v>
      </c>
      <c r="R193" s="1136">
        <f t="shared" si="29"/>
        <v>-0.70499999999999996</v>
      </c>
      <c r="S193" s="1136">
        <f t="shared" si="27"/>
        <v>-0.70499999999999996</v>
      </c>
      <c r="U193" s="29"/>
    </row>
    <row r="194" spans="1:21" x14ac:dyDescent="0.25">
      <c r="A194" s="1134" t="s">
        <v>106</v>
      </c>
      <c r="B194" s="1134"/>
      <c r="C194" s="1136"/>
      <c r="D194" s="1122">
        <f t="shared" si="31"/>
        <v>0</v>
      </c>
      <c r="E194" s="1122">
        <f t="shared" si="32"/>
        <v>0</v>
      </c>
      <c r="F194" s="1122">
        <f t="shared" si="33"/>
        <v>35.317</v>
      </c>
      <c r="G194" s="1122">
        <f t="shared" si="34"/>
        <v>35.317</v>
      </c>
      <c r="H194" s="1122">
        <f t="shared" si="35"/>
        <v>35.317</v>
      </c>
      <c r="I194" s="1122">
        <f t="shared" si="36"/>
        <v>35.317</v>
      </c>
      <c r="J194" s="1122">
        <f t="shared" si="37"/>
        <v>36.033000000000001</v>
      </c>
      <c r="K194" s="1122">
        <f t="shared" si="38"/>
        <v>36.033000000000001</v>
      </c>
      <c r="L194" s="1122">
        <f t="shared" si="39"/>
        <v>36.033000000000001</v>
      </c>
      <c r="M194" s="1122">
        <f t="shared" si="40"/>
        <v>36.033000000000001</v>
      </c>
      <c r="N194" s="1122">
        <f t="shared" si="41"/>
        <v>21.076000000000001</v>
      </c>
      <c r="O194" s="1122">
        <f t="shared" si="42"/>
        <v>21.076000000000001</v>
      </c>
      <c r="P194" s="1122">
        <f t="shared" si="26"/>
        <v>21.076000000000001</v>
      </c>
      <c r="Q194" s="1122">
        <f t="shared" si="26"/>
        <v>21.076000000000001</v>
      </c>
      <c r="R194" s="1136">
        <f t="shared" si="29"/>
        <v>13.346</v>
      </c>
      <c r="S194" s="1136">
        <f t="shared" si="27"/>
        <v>13.346</v>
      </c>
      <c r="U194" s="29"/>
    </row>
    <row r="197" spans="1:21" x14ac:dyDescent="0.25">
      <c r="A197" s="43" t="s">
        <v>1370</v>
      </c>
    </row>
    <row r="198" spans="1:21" x14ac:dyDescent="0.25">
      <c r="A198" s="1130" t="s">
        <v>52</v>
      </c>
      <c r="D198" s="1137">
        <v>0</v>
      </c>
      <c r="E198" s="1137">
        <v>0</v>
      </c>
      <c r="F198" s="1137">
        <v>2.3250000000000002</v>
      </c>
      <c r="G198" s="1137">
        <v>2.3250000000000002</v>
      </c>
      <c r="H198" s="1137">
        <v>2.3250000000000002</v>
      </c>
      <c r="I198" s="1137">
        <v>2.3250000000000002</v>
      </c>
      <c r="J198" s="1137">
        <v>5.5830000000000002</v>
      </c>
      <c r="K198" s="1137">
        <v>5.5830000000000002</v>
      </c>
      <c r="L198" s="1137">
        <v>5.5830000000000002</v>
      </c>
      <c r="M198" s="1137">
        <v>5.5830000000000002</v>
      </c>
      <c r="N198" s="1137">
        <v>8.0220000000000002</v>
      </c>
      <c r="O198" s="1137">
        <v>8.0220000000000002</v>
      </c>
      <c r="P198" s="1137"/>
      <c r="Q198" s="1137"/>
      <c r="R198" s="1137"/>
      <c r="S198" s="1137"/>
    </row>
  </sheetData>
  <mergeCells count="5">
    <mergeCell ref="C2:O2"/>
    <mergeCell ref="C42:O42"/>
    <mergeCell ref="C68:O68"/>
    <mergeCell ref="C75:O75"/>
    <mergeCell ref="C82:O82"/>
  </mergeCells>
  <hyperlinks>
    <hyperlink ref="T157" r:id="rId1" xr:uid="{00000000-0004-0000-1E00-000000000000}"/>
    <hyperlink ref="T115" r:id="rId2" xr:uid="{00000000-0004-0000-1E00-000001000000}"/>
    <hyperlink ref="T153" r:id="rId3" location=":~:text=Who%20is%20eligible%20for%20Conservation,resource%20concerns%20when%20they%20apply." xr:uid="{00000000-0004-0000-1E00-000002000000}"/>
    <hyperlink ref="A1" r:id="rId4" xr:uid="{00000000-0004-0000-1E00-000003000000}"/>
  </hyperlinks>
  <pageMargins left="0.7" right="0.7" top="0.75" bottom="0.75" header="0.3" footer="0.3"/>
  <pageSetup orientation="portrait" horizontalDpi="1200" verticalDpi="120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50"/>
  <sheetViews>
    <sheetView workbookViewId="0">
      <selection activeCell="F40" sqref="F40"/>
    </sheetView>
  </sheetViews>
  <sheetFormatPr defaultColWidth="10.85546875" defaultRowHeight="15" x14ac:dyDescent="0.25"/>
  <cols>
    <col min="1" max="1" width="77.85546875" customWidth="1"/>
    <col min="2" max="2" width="21" customWidth="1"/>
    <col min="5" max="5" width="37.42578125" customWidth="1"/>
    <col min="6" max="6" width="16" customWidth="1"/>
  </cols>
  <sheetData>
    <row r="1" spans="1:6" x14ac:dyDescent="0.25">
      <c r="A1" s="238" t="s">
        <v>552</v>
      </c>
    </row>
    <row r="2" spans="1:6" ht="20.85" customHeight="1" x14ac:dyDescent="0.3">
      <c r="A2" s="1142" t="s">
        <v>553</v>
      </c>
      <c r="B2" s="1142" t="s">
        <v>554</v>
      </c>
      <c r="C2" s="1142" t="s">
        <v>555</v>
      </c>
      <c r="D2" s="1142" t="s">
        <v>556</v>
      </c>
    </row>
    <row r="3" spans="1:6" x14ac:dyDescent="0.25">
      <c r="A3" s="1143" t="s">
        <v>557</v>
      </c>
      <c r="B3" s="730">
        <f>SUM(B4:B7)</f>
        <v>325</v>
      </c>
      <c r="E3" s="1416" t="s">
        <v>558</v>
      </c>
      <c r="F3" s="1416"/>
    </row>
    <row r="4" spans="1:6" x14ac:dyDescent="0.25">
      <c r="A4" s="880" t="s">
        <v>559</v>
      </c>
      <c r="B4" s="730">
        <v>284</v>
      </c>
      <c r="E4" s="511" t="s">
        <v>51</v>
      </c>
      <c r="F4" s="511" t="s">
        <v>560</v>
      </c>
    </row>
    <row r="5" spans="1:6" x14ac:dyDescent="0.25">
      <c r="A5" s="880" t="s">
        <v>412</v>
      </c>
      <c r="B5" s="730">
        <v>20</v>
      </c>
      <c r="E5" s="238" t="s">
        <v>150</v>
      </c>
      <c r="F5" s="238">
        <f>SUM(B11:B16)</f>
        <v>82</v>
      </c>
    </row>
    <row r="6" spans="1:6" x14ac:dyDescent="0.25">
      <c r="A6" s="880" t="s">
        <v>419</v>
      </c>
      <c r="B6" s="730">
        <v>15</v>
      </c>
      <c r="E6" s="238" t="s">
        <v>49</v>
      </c>
      <c r="F6" s="238">
        <f>B23</f>
        <v>3</v>
      </c>
    </row>
    <row r="7" spans="1:6" x14ac:dyDescent="0.25">
      <c r="A7" s="880" t="s">
        <v>420</v>
      </c>
      <c r="B7" s="730">
        <v>6</v>
      </c>
      <c r="E7" s="238" t="s">
        <v>342</v>
      </c>
      <c r="F7" s="238">
        <f>B27-B28</f>
        <v>29</v>
      </c>
    </row>
    <row r="8" spans="1:6" x14ac:dyDescent="0.25">
      <c r="A8" s="511" t="s">
        <v>561</v>
      </c>
      <c r="B8" s="730">
        <v>121</v>
      </c>
      <c r="E8" s="238" t="s">
        <v>359</v>
      </c>
      <c r="F8" s="238">
        <f>B42</f>
        <v>2</v>
      </c>
    </row>
    <row r="9" spans="1:6" x14ac:dyDescent="0.25">
      <c r="A9" s="1144" t="s">
        <v>562</v>
      </c>
      <c r="B9" s="730">
        <v>166</v>
      </c>
      <c r="E9" s="238" t="s">
        <v>563</v>
      </c>
      <c r="F9" s="238">
        <f>B18+B20+B21</f>
        <v>34</v>
      </c>
    </row>
    <row r="10" spans="1:6" x14ac:dyDescent="0.25">
      <c r="A10" s="1141" t="s">
        <v>564</v>
      </c>
      <c r="B10" s="730">
        <v>82</v>
      </c>
      <c r="E10" s="511" t="s">
        <v>565</v>
      </c>
      <c r="F10" s="511" t="s">
        <v>566</v>
      </c>
    </row>
    <row r="11" spans="1:6" x14ac:dyDescent="0.25">
      <c r="A11" s="880" t="s">
        <v>567</v>
      </c>
      <c r="B11" s="730">
        <v>54</v>
      </c>
      <c r="E11" s="238" t="s">
        <v>315</v>
      </c>
      <c r="F11" s="238">
        <f>B4</f>
        <v>284</v>
      </c>
    </row>
    <row r="12" spans="1:6" x14ac:dyDescent="0.25">
      <c r="A12" s="880" t="s">
        <v>568</v>
      </c>
      <c r="B12" s="730">
        <v>20</v>
      </c>
      <c r="E12" s="238" t="s">
        <v>569</v>
      </c>
      <c r="F12" s="238">
        <f>B5</f>
        <v>20</v>
      </c>
    </row>
    <row r="13" spans="1:6" x14ac:dyDescent="0.25">
      <c r="A13" s="880" t="s">
        <v>570</v>
      </c>
      <c r="B13" s="730">
        <v>4</v>
      </c>
      <c r="E13" s="238" t="s">
        <v>419</v>
      </c>
      <c r="F13" s="238">
        <f>B6</f>
        <v>15</v>
      </c>
    </row>
    <row r="14" spans="1:6" ht="27.6" customHeight="1" x14ac:dyDescent="0.25">
      <c r="A14" s="880" t="s">
        <v>571</v>
      </c>
      <c r="B14" s="730">
        <v>2</v>
      </c>
      <c r="E14" s="273" t="s">
        <v>420</v>
      </c>
      <c r="F14" s="238">
        <f>B7</f>
        <v>6</v>
      </c>
    </row>
    <row r="15" spans="1:6" ht="27.6" customHeight="1" x14ac:dyDescent="0.25">
      <c r="A15" s="880" t="s">
        <v>572</v>
      </c>
      <c r="B15" s="730">
        <v>1</v>
      </c>
      <c r="E15" s="273" t="s">
        <v>573</v>
      </c>
      <c r="F15" s="238">
        <f>B28</f>
        <v>15</v>
      </c>
    </row>
    <row r="16" spans="1:6" x14ac:dyDescent="0.25">
      <c r="A16" s="880" t="s">
        <v>574</v>
      </c>
      <c r="B16" s="730">
        <v>1</v>
      </c>
      <c r="E16" s="238" t="s">
        <v>575</v>
      </c>
      <c r="F16" s="238">
        <f>B37</f>
        <v>12</v>
      </c>
    </row>
    <row r="17" spans="1:6" x14ac:dyDescent="0.25">
      <c r="A17" s="511" t="s">
        <v>576</v>
      </c>
      <c r="B17" s="730">
        <v>72</v>
      </c>
      <c r="E17" s="238" t="s">
        <v>577</v>
      </c>
      <c r="F17" s="238">
        <f>B38</f>
        <v>10</v>
      </c>
    </row>
    <row r="18" spans="1:6" x14ac:dyDescent="0.25">
      <c r="A18" s="880" t="s">
        <v>578</v>
      </c>
      <c r="B18" s="730">
        <v>22</v>
      </c>
      <c r="C18" s="238" t="s">
        <v>579</v>
      </c>
    </row>
    <row r="19" spans="1:6" x14ac:dyDescent="0.25">
      <c r="A19" s="880" t="s">
        <v>580</v>
      </c>
      <c r="B19" s="730">
        <v>20</v>
      </c>
      <c r="C19" s="238" t="s">
        <v>109</v>
      </c>
    </row>
    <row r="20" spans="1:6" x14ac:dyDescent="0.25">
      <c r="A20" s="880" t="s">
        <v>581</v>
      </c>
      <c r="B20" s="730">
        <v>8</v>
      </c>
      <c r="C20" s="238" t="s">
        <v>579</v>
      </c>
    </row>
    <row r="21" spans="1:6" x14ac:dyDescent="0.25">
      <c r="A21" s="880" t="s">
        <v>582</v>
      </c>
      <c r="B21" s="730">
        <v>4</v>
      </c>
      <c r="C21" s="238" t="s">
        <v>51</v>
      </c>
    </row>
    <row r="22" spans="1:6" x14ac:dyDescent="0.25">
      <c r="A22" s="880" t="s">
        <v>583</v>
      </c>
      <c r="B22" s="730">
        <v>4</v>
      </c>
      <c r="C22" s="238" t="s">
        <v>109</v>
      </c>
    </row>
    <row r="23" spans="1:6" x14ac:dyDescent="0.25">
      <c r="A23" s="880" t="s">
        <v>584</v>
      </c>
      <c r="B23" s="730">
        <v>3</v>
      </c>
      <c r="C23" s="238" t="s">
        <v>585</v>
      </c>
    </row>
    <row r="24" spans="1:6" x14ac:dyDescent="0.25">
      <c r="A24" s="880" t="s">
        <v>586</v>
      </c>
      <c r="B24" s="730">
        <v>3</v>
      </c>
      <c r="C24" s="238" t="s">
        <v>587</v>
      </c>
    </row>
    <row r="25" spans="1:6" x14ac:dyDescent="0.25">
      <c r="A25" s="1145" t="s">
        <v>588</v>
      </c>
      <c r="B25" s="730">
        <v>3</v>
      </c>
      <c r="C25" s="238" t="s">
        <v>55</v>
      </c>
    </row>
    <row r="26" spans="1:6" x14ac:dyDescent="0.25">
      <c r="A26" s="880" t="s">
        <v>589</v>
      </c>
      <c r="B26" s="730">
        <v>4</v>
      </c>
      <c r="C26" s="238" t="s">
        <v>590</v>
      </c>
    </row>
    <row r="27" spans="1:6" x14ac:dyDescent="0.25">
      <c r="A27" s="511" t="s">
        <v>342</v>
      </c>
      <c r="B27" s="730">
        <v>44</v>
      </c>
    </row>
    <row r="28" spans="1:6" x14ac:dyDescent="0.25">
      <c r="A28" s="1138" t="s">
        <v>573</v>
      </c>
      <c r="B28" s="1139">
        <v>15</v>
      </c>
    </row>
    <row r="29" spans="1:6" x14ac:dyDescent="0.25">
      <c r="A29" s="880" t="s">
        <v>591</v>
      </c>
      <c r="B29" s="730">
        <v>14</v>
      </c>
    </row>
    <row r="30" spans="1:6" x14ac:dyDescent="0.25">
      <c r="A30" s="880" t="s">
        <v>592</v>
      </c>
      <c r="B30" s="730">
        <v>10</v>
      </c>
    </row>
    <row r="31" spans="1:6" x14ac:dyDescent="0.25">
      <c r="A31" s="880" t="s">
        <v>593</v>
      </c>
      <c r="B31" s="730">
        <v>2</v>
      </c>
    </row>
    <row r="32" spans="1:6" x14ac:dyDescent="0.25">
      <c r="A32" s="880" t="s">
        <v>594</v>
      </c>
      <c r="B32" s="730">
        <v>2</v>
      </c>
    </row>
    <row r="33" spans="1:6" x14ac:dyDescent="0.25">
      <c r="A33" s="880" t="s">
        <v>595</v>
      </c>
      <c r="B33" s="730">
        <v>1</v>
      </c>
    </row>
    <row r="34" spans="1:6" x14ac:dyDescent="0.25">
      <c r="A34" s="511" t="s">
        <v>596</v>
      </c>
      <c r="B34" s="730">
        <v>88</v>
      </c>
    </row>
    <row r="35" spans="1:6" x14ac:dyDescent="0.25">
      <c r="A35" s="1145" t="s">
        <v>597</v>
      </c>
      <c r="B35" s="730">
        <v>26</v>
      </c>
    </row>
    <row r="36" spans="1:6" x14ac:dyDescent="0.25">
      <c r="A36" s="880" t="s">
        <v>598</v>
      </c>
      <c r="B36" s="730">
        <v>25</v>
      </c>
    </row>
    <row r="37" spans="1:6" x14ac:dyDescent="0.25">
      <c r="A37" s="880" t="s">
        <v>575</v>
      </c>
      <c r="B37" s="730">
        <v>12</v>
      </c>
      <c r="C37" s="238" t="s">
        <v>599</v>
      </c>
      <c r="E37" s="238" t="s">
        <v>600</v>
      </c>
      <c r="F37" s="238" t="s">
        <v>601</v>
      </c>
    </row>
    <row r="38" spans="1:6" x14ac:dyDescent="0.25">
      <c r="A38" s="880" t="s">
        <v>577</v>
      </c>
      <c r="B38" s="730">
        <v>10</v>
      </c>
      <c r="C38" s="238" t="s">
        <v>599</v>
      </c>
      <c r="E38" s="238" t="s">
        <v>602</v>
      </c>
      <c r="F38" s="238" t="s">
        <v>603</v>
      </c>
    </row>
    <row r="39" spans="1:6" x14ac:dyDescent="0.25">
      <c r="A39" s="880" t="s">
        <v>604</v>
      </c>
      <c r="B39" s="730">
        <v>7</v>
      </c>
      <c r="C39" s="238" t="s">
        <v>590</v>
      </c>
      <c r="E39" s="238" t="s">
        <v>605</v>
      </c>
      <c r="F39" s="238" t="s">
        <v>606</v>
      </c>
    </row>
    <row r="40" spans="1:6" x14ac:dyDescent="0.25">
      <c r="A40" s="880" t="s">
        <v>607</v>
      </c>
      <c r="B40" s="730">
        <v>5</v>
      </c>
      <c r="C40" s="238" t="s">
        <v>109</v>
      </c>
      <c r="E40" s="238" t="s">
        <v>608</v>
      </c>
    </row>
    <row r="41" spans="1:6" x14ac:dyDescent="0.25">
      <c r="A41" s="880" t="s">
        <v>609</v>
      </c>
      <c r="B41" s="730">
        <v>2</v>
      </c>
      <c r="C41" s="238" t="s">
        <v>590</v>
      </c>
      <c r="E41" s="238" t="s">
        <v>610</v>
      </c>
    </row>
    <row r="42" spans="1:6" x14ac:dyDescent="0.25">
      <c r="A42" s="880" t="s">
        <v>611</v>
      </c>
      <c r="B42" s="730">
        <v>2</v>
      </c>
      <c r="C42" s="238" t="s">
        <v>579</v>
      </c>
      <c r="E42" s="1140" t="s">
        <v>612</v>
      </c>
    </row>
    <row r="43" spans="1:6" x14ac:dyDescent="0.25">
      <c r="A43" s="880" t="s">
        <v>613</v>
      </c>
      <c r="B43" s="730">
        <v>0</v>
      </c>
      <c r="E43" s="238" t="s">
        <v>614</v>
      </c>
    </row>
    <row r="44" spans="1:6" x14ac:dyDescent="0.25">
      <c r="A44" s="511" t="s">
        <v>615</v>
      </c>
      <c r="B44" s="730">
        <v>40</v>
      </c>
    </row>
    <row r="45" spans="1:6" x14ac:dyDescent="0.25">
      <c r="A45" s="1145" t="s">
        <v>616</v>
      </c>
      <c r="B45" s="1146">
        <v>21</v>
      </c>
    </row>
    <row r="46" spans="1:6" x14ac:dyDescent="0.25">
      <c r="A46" s="880" t="s">
        <v>617</v>
      </c>
      <c r="B46" s="730">
        <v>6</v>
      </c>
    </row>
    <row r="47" spans="1:6" x14ac:dyDescent="0.25">
      <c r="A47" s="1145" t="s">
        <v>618</v>
      </c>
      <c r="B47" s="1146">
        <v>4</v>
      </c>
    </row>
    <row r="48" spans="1:6" x14ac:dyDescent="0.25">
      <c r="A48" s="880" t="s">
        <v>619</v>
      </c>
      <c r="B48" s="730">
        <v>4</v>
      </c>
    </row>
    <row r="49" spans="1:2" x14ac:dyDescent="0.25">
      <c r="A49" s="1145" t="s">
        <v>620</v>
      </c>
      <c r="B49" s="1146">
        <v>3</v>
      </c>
    </row>
    <row r="50" spans="1:2" x14ac:dyDescent="0.25">
      <c r="A50" s="880" t="s">
        <v>621</v>
      </c>
      <c r="B50" s="730">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J502"/>
  <sheetViews>
    <sheetView topLeftCell="AI1" zoomScale="105" zoomScaleNormal="90" workbookViewId="0">
      <selection activeCell="P21" sqref="P21"/>
    </sheetView>
  </sheetViews>
  <sheetFormatPr defaultColWidth="10.85546875" defaultRowHeight="15" x14ac:dyDescent="0.25"/>
  <cols>
    <col min="1" max="1" width="6.42578125" customWidth="1"/>
    <col min="2" max="2" width="8.140625" customWidth="1"/>
    <col min="4" max="4" width="7.140625" customWidth="1"/>
    <col min="5" max="5" width="8.85546875" customWidth="1"/>
    <col min="7" max="7" width="8.140625" customWidth="1"/>
    <col min="8" max="8" width="7.140625" customWidth="1"/>
    <col min="10" max="10" width="8.42578125" customWidth="1"/>
    <col min="12" max="13" width="8.42578125" customWidth="1"/>
    <col min="14" max="14" width="7.42578125" customWidth="1"/>
    <col min="15" max="62" width="8.42578125" customWidth="1"/>
  </cols>
  <sheetData>
    <row r="1" spans="1:62" x14ac:dyDescent="0.25">
      <c r="A1" s="56" t="s">
        <v>828</v>
      </c>
      <c r="I1" s="1417"/>
      <c r="J1" s="1417"/>
      <c r="K1" s="1417"/>
    </row>
    <row r="2" spans="1:62" ht="13.35" customHeight="1" x14ac:dyDescent="0.25">
      <c r="A2" s="1158"/>
      <c r="O2" s="1184" t="s">
        <v>793</v>
      </c>
      <c r="P2" s="1423" t="s">
        <v>622</v>
      </c>
      <c r="Q2" s="1423"/>
      <c r="R2" s="1423"/>
      <c r="S2" s="1423"/>
      <c r="T2" s="1187"/>
      <c r="U2" s="1187"/>
      <c r="V2" s="1187"/>
      <c r="W2" s="1187"/>
      <c r="X2" s="1187"/>
      <c r="Y2" s="1418" t="s">
        <v>623</v>
      </c>
      <c r="Z2" s="1419"/>
      <c r="AA2" s="1419"/>
      <c r="AB2" s="1419"/>
      <c r="AC2" s="1419"/>
      <c r="AD2" s="1419"/>
      <c r="AE2" s="1187"/>
      <c r="AF2" s="1187"/>
      <c r="AG2" s="1420" t="s">
        <v>624</v>
      </c>
      <c r="AH2" s="1419"/>
      <c r="AI2" s="1419"/>
      <c r="AJ2" s="1422" t="s">
        <v>625</v>
      </c>
      <c r="AK2" s="1422"/>
      <c r="AL2" s="1422"/>
      <c r="AM2" s="1422"/>
      <c r="AN2" s="1422"/>
      <c r="AO2" s="1422"/>
      <c r="AP2" s="1422"/>
      <c r="AQ2" s="1422"/>
      <c r="AR2" s="1422"/>
      <c r="AS2" s="1422"/>
      <c r="AT2" s="1188"/>
      <c r="AU2" s="1421" t="s">
        <v>384</v>
      </c>
      <c r="AV2" s="1421"/>
      <c r="AW2" s="1421"/>
      <c r="AX2" s="1421"/>
      <c r="AY2" s="1421"/>
      <c r="AZ2" s="1421"/>
      <c r="BA2" s="1421"/>
      <c r="BB2" s="1169"/>
      <c r="BC2" s="1169"/>
      <c r="BD2" s="1169"/>
      <c r="BE2" s="1169"/>
      <c r="BF2" s="1169"/>
      <c r="BG2" s="1169"/>
      <c r="BH2" s="1169"/>
      <c r="BI2" s="1169"/>
      <c r="BJ2" s="1175" t="s">
        <v>626</v>
      </c>
    </row>
    <row r="3" spans="1:62" ht="43.35" customHeight="1" x14ac:dyDescent="0.25">
      <c r="A3" s="1159"/>
      <c r="B3" s="1159"/>
      <c r="C3" s="1159"/>
      <c r="D3" s="1159"/>
      <c r="E3" s="1159"/>
      <c r="F3" s="1159"/>
      <c r="G3" s="1159"/>
      <c r="H3" s="1159"/>
      <c r="I3" s="1159"/>
      <c r="J3" s="1159"/>
      <c r="K3" s="1159"/>
      <c r="L3" s="1159"/>
      <c r="M3" s="1159"/>
      <c r="N3" s="1159"/>
      <c r="O3" s="1185" t="s">
        <v>627</v>
      </c>
      <c r="P3" s="1168" t="s">
        <v>628</v>
      </c>
      <c r="Q3" s="1168" t="s">
        <v>629</v>
      </c>
      <c r="R3" s="1168" t="s">
        <v>630</v>
      </c>
      <c r="S3" s="1168" t="s">
        <v>631</v>
      </c>
      <c r="T3" s="1168" t="s">
        <v>632</v>
      </c>
      <c r="U3" s="1168" t="s">
        <v>633</v>
      </c>
      <c r="V3" s="1168" t="s">
        <v>634</v>
      </c>
      <c r="W3" s="1168" t="s">
        <v>635</v>
      </c>
      <c r="X3" s="1168" t="s">
        <v>636</v>
      </c>
      <c r="Y3" s="1168" t="s">
        <v>637</v>
      </c>
      <c r="Z3" s="1168"/>
      <c r="AA3" s="1168"/>
      <c r="AB3" s="1168"/>
      <c r="AC3" s="1168" t="s">
        <v>638</v>
      </c>
      <c r="AD3" s="1168" t="s">
        <v>639</v>
      </c>
      <c r="AE3" s="1168" t="s">
        <v>640</v>
      </c>
      <c r="AF3" s="1168" t="s">
        <v>641</v>
      </c>
      <c r="AG3" s="1168" t="s">
        <v>642</v>
      </c>
      <c r="AH3" s="1168" t="s">
        <v>643</v>
      </c>
      <c r="AI3" s="1168" t="s">
        <v>644</v>
      </c>
      <c r="AJ3" s="1168" t="s">
        <v>645</v>
      </c>
      <c r="AK3" s="1168" t="s">
        <v>646</v>
      </c>
      <c r="AL3" s="1168" t="s">
        <v>647</v>
      </c>
      <c r="AM3" s="1168" t="s">
        <v>648</v>
      </c>
      <c r="AN3" s="1168" t="s">
        <v>649</v>
      </c>
      <c r="AO3" s="1168" t="s">
        <v>650</v>
      </c>
      <c r="AP3" s="1168" t="s">
        <v>651</v>
      </c>
      <c r="AQ3" s="1181" t="s">
        <v>652</v>
      </c>
      <c r="AR3" s="1168" t="s">
        <v>653</v>
      </c>
      <c r="AS3" s="1168" t="s">
        <v>654</v>
      </c>
      <c r="AT3" s="1168" t="s">
        <v>655</v>
      </c>
      <c r="AU3" s="1168" t="s">
        <v>656</v>
      </c>
      <c r="AV3" s="1168" t="s">
        <v>657</v>
      </c>
      <c r="AW3" s="1168" t="s">
        <v>658</v>
      </c>
      <c r="AX3" s="1168" t="s">
        <v>659</v>
      </c>
      <c r="AY3" s="1168" t="s">
        <v>660</v>
      </c>
      <c r="AZ3" s="1168" t="s">
        <v>661</v>
      </c>
      <c r="BA3" s="1168" t="s">
        <v>638</v>
      </c>
      <c r="BB3" s="1176" t="s">
        <v>662</v>
      </c>
      <c r="BC3" s="1176" t="s">
        <v>663</v>
      </c>
      <c r="BD3" s="1176" t="s">
        <v>664</v>
      </c>
      <c r="BE3" s="1176" t="s">
        <v>665</v>
      </c>
      <c r="BF3" s="1176" t="s">
        <v>666</v>
      </c>
      <c r="BG3" s="1176" t="s">
        <v>667</v>
      </c>
      <c r="BH3" s="1176" t="s">
        <v>668</v>
      </c>
      <c r="BI3" s="1176" t="s">
        <v>669</v>
      </c>
      <c r="BJ3" s="1170" t="s">
        <v>670</v>
      </c>
    </row>
    <row r="4" spans="1:62" ht="63" customHeight="1" x14ac:dyDescent="0.25">
      <c r="A4" s="1179" t="s">
        <v>671</v>
      </c>
      <c r="B4" s="1158" t="s">
        <v>56</v>
      </c>
      <c r="C4" s="1158" t="s">
        <v>672</v>
      </c>
      <c r="D4" s="1158" t="s">
        <v>542</v>
      </c>
      <c r="E4" s="1158" t="s">
        <v>673</v>
      </c>
      <c r="F4" s="1158" t="s">
        <v>674</v>
      </c>
      <c r="G4" s="1158" t="s">
        <v>675</v>
      </c>
      <c r="H4" s="1158" t="s">
        <v>131</v>
      </c>
      <c r="I4" s="1165" t="s">
        <v>347</v>
      </c>
      <c r="J4" s="1165" t="s">
        <v>150</v>
      </c>
      <c r="K4" s="1165" t="s">
        <v>676</v>
      </c>
      <c r="L4" s="1163" t="s">
        <v>159</v>
      </c>
      <c r="M4" s="1158" t="s">
        <v>109</v>
      </c>
      <c r="N4" s="1158" t="s">
        <v>677</v>
      </c>
      <c r="O4" s="1186" t="s">
        <v>678</v>
      </c>
      <c r="P4" s="1176" t="s">
        <v>679</v>
      </c>
      <c r="Q4" s="1176" t="s">
        <v>680</v>
      </c>
      <c r="R4" s="1176" t="s">
        <v>681</v>
      </c>
      <c r="S4" s="1176" t="s">
        <v>682</v>
      </c>
      <c r="T4" s="1176" t="s">
        <v>683</v>
      </c>
      <c r="U4" s="1176" t="s">
        <v>684</v>
      </c>
      <c r="V4" s="1176" t="s">
        <v>685</v>
      </c>
      <c r="W4" s="1176" t="s">
        <v>686</v>
      </c>
      <c r="X4" s="1176" t="s">
        <v>687</v>
      </c>
      <c r="Y4" s="1176" t="s">
        <v>688</v>
      </c>
      <c r="Z4" s="1176" t="s">
        <v>689</v>
      </c>
      <c r="AA4" s="1176" t="s">
        <v>690</v>
      </c>
      <c r="AB4" s="1176" t="s">
        <v>691</v>
      </c>
      <c r="AC4" s="1176" t="s">
        <v>692</v>
      </c>
      <c r="AD4" s="1176" t="s">
        <v>693</v>
      </c>
      <c r="AE4" s="1176" t="s">
        <v>694</v>
      </c>
      <c r="AF4" s="1176" t="s">
        <v>695</v>
      </c>
      <c r="AG4" s="1176" t="s">
        <v>210</v>
      </c>
      <c r="AH4" s="1176" t="s">
        <v>211</v>
      </c>
      <c r="AI4" s="1176" t="s">
        <v>696</v>
      </c>
      <c r="AJ4" s="1176" t="s">
        <v>697</v>
      </c>
      <c r="AK4" s="1176" t="s">
        <v>698</v>
      </c>
      <c r="AL4" s="1176" t="s">
        <v>699</v>
      </c>
      <c r="AM4" s="1176" t="s">
        <v>700</v>
      </c>
      <c r="AN4" s="1176" t="s">
        <v>701</v>
      </c>
      <c r="AO4" s="1176" t="s">
        <v>702</v>
      </c>
      <c r="AP4" s="1176" t="s">
        <v>703</v>
      </c>
      <c r="AQ4" s="1177" t="s">
        <v>704</v>
      </c>
      <c r="AR4" s="1176" t="s">
        <v>705</v>
      </c>
      <c r="AS4" s="1176" t="s">
        <v>706</v>
      </c>
      <c r="AT4" s="1176" t="s">
        <v>707</v>
      </c>
      <c r="AU4" s="1176" t="s">
        <v>708</v>
      </c>
      <c r="AV4" s="1176" t="s">
        <v>709</v>
      </c>
      <c r="AW4" s="1176" t="s">
        <v>710</v>
      </c>
      <c r="AX4" s="1176" t="s">
        <v>711</v>
      </c>
      <c r="AY4" s="1176" t="s">
        <v>712</v>
      </c>
      <c r="AZ4" s="1176" t="s">
        <v>713</v>
      </c>
      <c r="BA4" s="1176"/>
      <c r="BB4" s="1176" t="s">
        <v>424</v>
      </c>
      <c r="BC4" s="1176" t="s">
        <v>714</v>
      </c>
      <c r="BD4" s="1176" t="s">
        <v>715</v>
      </c>
      <c r="BE4" s="1176" t="s">
        <v>716</v>
      </c>
      <c r="BF4" s="1176" t="s">
        <v>717</v>
      </c>
      <c r="BG4" s="1176" t="s">
        <v>718</v>
      </c>
      <c r="BH4" s="1176" t="s">
        <v>719</v>
      </c>
      <c r="BI4" s="1176" t="s">
        <v>720</v>
      </c>
      <c r="BJ4" s="1178" t="s">
        <v>721</v>
      </c>
    </row>
    <row r="5" spans="1:62" x14ac:dyDescent="0.25">
      <c r="A5" s="1160">
        <v>2021</v>
      </c>
      <c r="B5" s="1162">
        <f>Q5</f>
        <v>394.202</v>
      </c>
      <c r="C5" s="1162">
        <f>SUM(Y5:AB5)</f>
        <v>195.7</v>
      </c>
      <c r="D5" s="1162">
        <f>T5</f>
        <v>18.823</v>
      </c>
      <c r="E5" s="1162">
        <f>SUM(P5:S5)-B5</f>
        <v>0.77600000000001046</v>
      </c>
      <c r="F5" s="1162">
        <f>SUM(T5:AF5)-C5-L5-D5 - 28</f>
        <v>19.722000000000016</v>
      </c>
      <c r="G5" s="1162">
        <f>SUM(BB5:BI5)-BC5</f>
        <v>81.642999999999986</v>
      </c>
      <c r="H5" s="1162">
        <f>SUM(AG5:AI5)</f>
        <v>7.798</v>
      </c>
      <c r="I5" s="1162">
        <f>AJ5</f>
        <v>283.95749999999998</v>
      </c>
      <c r="J5" s="1162">
        <f>AL5</f>
        <v>12.347</v>
      </c>
      <c r="K5" s="1162">
        <f>SUM(AM5:AT5)</f>
        <v>29.628</v>
      </c>
      <c r="L5" s="1166">
        <f>103/4</f>
        <v>25.75</v>
      </c>
      <c r="M5" s="1162">
        <f t="shared" ref="M5:M16" si="0">SUM(AU5:BA5)</f>
        <v>31.939</v>
      </c>
      <c r="N5" s="1162">
        <f>AK5</f>
        <v>3.4</v>
      </c>
      <c r="O5" s="1189">
        <v>50</v>
      </c>
      <c r="P5" s="1183">
        <v>0.55000000000000004</v>
      </c>
      <c r="Q5" s="905">
        <v>394.202</v>
      </c>
      <c r="R5" s="1191">
        <v>0.14599999999999999</v>
      </c>
      <c r="S5" s="1191">
        <v>0.08</v>
      </c>
      <c r="T5" s="1191">
        <v>18.823</v>
      </c>
      <c r="U5" s="905">
        <v>19</v>
      </c>
      <c r="V5" s="1191">
        <v>11.481999999999999</v>
      </c>
      <c r="W5" s="752">
        <v>1.5580000000000001</v>
      </c>
      <c r="X5" s="752">
        <v>0.74</v>
      </c>
      <c r="Y5" s="905">
        <v>0.2</v>
      </c>
      <c r="Z5" s="905">
        <v>43.1</v>
      </c>
      <c r="AA5" s="905">
        <v>33.9</v>
      </c>
      <c r="AB5" s="905">
        <v>118.5</v>
      </c>
      <c r="AC5" s="905">
        <v>28</v>
      </c>
      <c r="AD5" s="752">
        <v>-2.0379999999999998</v>
      </c>
      <c r="AE5" s="905">
        <v>14.31</v>
      </c>
      <c r="AF5" s="1191">
        <v>0.42</v>
      </c>
      <c r="AG5" s="1191">
        <v>7.7279999999999998</v>
      </c>
      <c r="AH5" s="905">
        <v>7.0000000000000007E-2</v>
      </c>
      <c r="AI5" s="905">
        <v>0</v>
      </c>
      <c r="AJ5" s="905">
        <v>283.95749999999998</v>
      </c>
      <c r="AK5" s="1182">
        <v>3.4</v>
      </c>
      <c r="AL5" s="1182">
        <v>12.347</v>
      </c>
      <c r="AM5" s="1192">
        <v>0.28599999999999998</v>
      </c>
      <c r="AN5" s="1182">
        <v>2</v>
      </c>
      <c r="AO5" s="905">
        <v>0.81</v>
      </c>
      <c r="AP5" s="1182">
        <v>0.52100000000000002</v>
      </c>
      <c r="AQ5" s="1193">
        <v>10</v>
      </c>
      <c r="AR5" s="1182">
        <v>2.7</v>
      </c>
      <c r="AS5" s="1182">
        <v>0.751</v>
      </c>
      <c r="AT5" s="905">
        <v>12.56</v>
      </c>
      <c r="AU5" s="905">
        <v>0</v>
      </c>
      <c r="AV5" s="1182">
        <v>1.415</v>
      </c>
      <c r="AW5" s="1182">
        <v>10.51</v>
      </c>
      <c r="AX5" s="1182">
        <v>2.6</v>
      </c>
      <c r="AY5" s="905">
        <v>-0.33</v>
      </c>
      <c r="AZ5" s="1182">
        <v>17.744</v>
      </c>
      <c r="BA5" s="905">
        <v>0</v>
      </c>
      <c r="BB5" s="1182">
        <v>4.0999999999999996</v>
      </c>
      <c r="BC5" s="1182">
        <v>7.25</v>
      </c>
      <c r="BD5" s="1182">
        <v>48.4</v>
      </c>
      <c r="BE5" s="1191">
        <v>0.83</v>
      </c>
      <c r="BF5" s="752">
        <v>4.5110000000000001</v>
      </c>
      <c r="BG5" s="905">
        <v>3.0739999999999998</v>
      </c>
      <c r="BH5" s="1147">
        <v>-0.28399999999999997</v>
      </c>
      <c r="BI5" s="1182">
        <v>21.012</v>
      </c>
      <c r="BJ5" s="1171">
        <v>1.1599999999999999</v>
      </c>
    </row>
    <row r="6" spans="1:62" x14ac:dyDescent="0.25">
      <c r="A6" s="1160">
        <v>2022</v>
      </c>
      <c r="B6" s="1162">
        <f t="shared" ref="B6:B15" si="1">Q6</f>
        <v>17.465</v>
      </c>
      <c r="C6" s="1162">
        <f t="shared" ref="C6:C15" si="2">SUM(Y6:AB6)</f>
        <v>10.1</v>
      </c>
      <c r="D6" s="1162">
        <f t="shared" ref="D6:D15" si="3">T6</f>
        <v>2.5950000000000002</v>
      </c>
      <c r="E6" s="1162">
        <f t="shared" ref="E6:E15" si="4">SUM(P6:S6)-B6</f>
        <v>19.719000000000005</v>
      </c>
      <c r="F6" s="1162">
        <f>SUM(T6:AF6)-C6-L6-D6</f>
        <v>52.756999999999998</v>
      </c>
      <c r="G6" s="1162">
        <f t="shared" ref="G6:G16" si="5">SUM(BB6:BI6)-BC6</f>
        <v>110.24799999999999</v>
      </c>
      <c r="H6" s="1162">
        <f t="shared" ref="H6:H15" si="6">SUM(AG6:AI6)</f>
        <v>7.9489999999999998</v>
      </c>
      <c r="I6" s="1162">
        <f t="shared" ref="I6:I15" si="7">AJ6</f>
        <v>77.092500000000001</v>
      </c>
      <c r="J6" s="1162">
        <f t="shared" ref="J6:J15" si="8">AL6</f>
        <v>46.79</v>
      </c>
      <c r="K6" s="1162">
        <f t="shared" ref="K6:K16" si="9">SUM(AM6:AT6)</f>
        <v>35.671000000000006</v>
      </c>
      <c r="L6" s="1166">
        <v>0</v>
      </c>
      <c r="M6" s="1162">
        <f t="shared" si="0"/>
        <v>56.412999999999997</v>
      </c>
      <c r="N6" s="1162">
        <f t="shared" ref="N6:N15" si="10">AK6</f>
        <v>5.0999999999999996</v>
      </c>
      <c r="O6" s="1189">
        <v>55</v>
      </c>
      <c r="P6" s="1183">
        <v>15.61</v>
      </c>
      <c r="Q6" s="905">
        <v>17.465</v>
      </c>
      <c r="R6" s="1191">
        <v>0.317</v>
      </c>
      <c r="S6" s="1191">
        <v>3.7919999999999998</v>
      </c>
      <c r="T6" s="905">
        <v>2.5950000000000002</v>
      </c>
      <c r="U6" s="1182">
        <v>14.5</v>
      </c>
      <c r="V6" s="905">
        <v>25.070999999999998</v>
      </c>
      <c r="W6" s="752">
        <v>1.952</v>
      </c>
      <c r="X6" s="752">
        <v>0.61399999999999999</v>
      </c>
      <c r="Y6" s="1182">
        <v>0</v>
      </c>
      <c r="Z6" s="1182">
        <v>2.2999999999999998</v>
      </c>
      <c r="AA6" s="1182">
        <v>1.6</v>
      </c>
      <c r="AB6" s="1182">
        <v>6.2</v>
      </c>
      <c r="AC6" s="905">
        <v>0</v>
      </c>
      <c r="AD6" s="905">
        <v>1.31</v>
      </c>
      <c r="AE6" s="905">
        <v>8.61</v>
      </c>
      <c r="AF6" s="905">
        <v>0.7</v>
      </c>
      <c r="AG6" s="1191">
        <v>7.782</v>
      </c>
      <c r="AH6" s="905">
        <v>0.12</v>
      </c>
      <c r="AI6" s="905">
        <v>4.7E-2</v>
      </c>
      <c r="AJ6" s="905">
        <v>77.092500000000001</v>
      </c>
      <c r="AK6" s="1182">
        <v>5.0999999999999996</v>
      </c>
      <c r="AL6" s="1182">
        <v>46.79</v>
      </c>
      <c r="AM6" s="1147">
        <v>0.30499999999999999</v>
      </c>
      <c r="AN6" s="1182">
        <v>4.3</v>
      </c>
      <c r="AO6" s="752">
        <v>1.1000000000000001</v>
      </c>
      <c r="AP6" s="1182">
        <v>1.575</v>
      </c>
      <c r="AQ6" s="1193">
        <v>10</v>
      </c>
      <c r="AR6" s="1182">
        <v>4.5</v>
      </c>
      <c r="AS6" s="1182">
        <v>1.9810000000000001</v>
      </c>
      <c r="AT6" s="905">
        <v>11.91</v>
      </c>
      <c r="AU6" s="905">
        <v>0</v>
      </c>
      <c r="AV6" s="1182">
        <v>3.927</v>
      </c>
      <c r="AW6" s="1182">
        <v>4.2880000000000003</v>
      </c>
      <c r="AX6" s="1182">
        <v>3.7</v>
      </c>
      <c r="AY6" s="905">
        <v>-1.34</v>
      </c>
      <c r="AZ6" s="1182">
        <v>45.838000000000001</v>
      </c>
      <c r="BA6" s="905">
        <v>0</v>
      </c>
      <c r="BB6" s="1182">
        <v>11.3</v>
      </c>
      <c r="BC6" s="1182">
        <v>0</v>
      </c>
      <c r="BD6" s="1182">
        <v>1.1000000000000001</v>
      </c>
      <c r="BE6" s="1191">
        <v>1.75</v>
      </c>
      <c r="BF6" s="752">
        <v>1.7330000000000001</v>
      </c>
      <c r="BG6" s="752">
        <v>7.1440000000000001</v>
      </c>
      <c r="BH6" s="1148">
        <v>81.608999999999995</v>
      </c>
      <c r="BI6" s="1182">
        <v>5.6120000000000001</v>
      </c>
      <c r="BJ6" s="1171">
        <v>4.2</v>
      </c>
    </row>
    <row r="7" spans="1:62" x14ac:dyDescent="0.25">
      <c r="A7" s="1160">
        <v>2023</v>
      </c>
      <c r="B7" s="1162">
        <f t="shared" si="1"/>
        <v>0.48599999999999999</v>
      </c>
      <c r="C7" s="1162">
        <f t="shared" si="2"/>
        <v>0</v>
      </c>
      <c r="D7" s="1162">
        <f t="shared" si="3"/>
        <v>0.93700000000000006</v>
      </c>
      <c r="E7" s="1162">
        <f t="shared" si="4"/>
        <v>1.4159999999999999</v>
      </c>
      <c r="F7" s="1162">
        <f t="shared" ref="F7:F15" si="11">SUM(T7:AF7)-C7-L7-D7</f>
        <v>12</v>
      </c>
      <c r="G7" s="1162">
        <f t="shared" si="5"/>
        <v>12.726000000000001</v>
      </c>
      <c r="H7" s="1162">
        <f t="shared" si="6"/>
        <v>4.7519999999999998</v>
      </c>
      <c r="I7" s="1162">
        <f t="shared" si="7"/>
        <v>1</v>
      </c>
      <c r="J7" s="1162">
        <f t="shared" si="8"/>
        <v>38.595999999999997</v>
      </c>
      <c r="K7" s="1162">
        <f t="shared" si="9"/>
        <v>24.216000000000001</v>
      </c>
      <c r="L7" s="1166">
        <v>0</v>
      </c>
      <c r="M7" s="1162">
        <f t="shared" si="0"/>
        <v>15.652999999999999</v>
      </c>
      <c r="N7" s="1162">
        <f t="shared" si="10"/>
        <v>0</v>
      </c>
      <c r="O7" s="1189">
        <v>0.7</v>
      </c>
      <c r="P7" s="1183">
        <v>0.96</v>
      </c>
      <c r="Q7" s="905">
        <v>0.48599999999999999</v>
      </c>
      <c r="R7" s="1191">
        <v>0.45600000000000002</v>
      </c>
      <c r="S7" s="905">
        <v>0</v>
      </c>
      <c r="T7" s="1149">
        <v>0.93700000000000006</v>
      </c>
      <c r="U7" s="1182">
        <v>3</v>
      </c>
      <c r="V7" s="1191">
        <v>7.891</v>
      </c>
      <c r="W7" s="752">
        <v>0.61699999999999999</v>
      </c>
      <c r="X7" s="752">
        <v>8.4000000000000005E-2</v>
      </c>
      <c r="Y7" s="1182">
        <v>0</v>
      </c>
      <c r="Z7" s="1182">
        <v>0</v>
      </c>
      <c r="AA7" s="1182">
        <v>0</v>
      </c>
      <c r="AB7" s="1182">
        <v>0</v>
      </c>
      <c r="AC7" s="905">
        <v>0</v>
      </c>
      <c r="AD7" s="905">
        <v>0.318</v>
      </c>
      <c r="AE7" s="1191">
        <v>-0.11000000000000001</v>
      </c>
      <c r="AF7" s="905">
        <v>0.2</v>
      </c>
      <c r="AG7" s="1191">
        <v>4.6749999999999998</v>
      </c>
      <c r="AH7" s="905">
        <v>0.06</v>
      </c>
      <c r="AI7" s="905">
        <v>1.7000000000000001E-2</v>
      </c>
      <c r="AJ7" s="905">
        <v>1</v>
      </c>
      <c r="AK7" s="1182">
        <v>0</v>
      </c>
      <c r="AL7" s="1182">
        <v>38.595999999999997</v>
      </c>
      <c r="AM7" s="905">
        <v>0.14899999999999999</v>
      </c>
      <c r="AN7" s="1182">
        <v>1.2</v>
      </c>
      <c r="AO7" s="752">
        <v>0.53</v>
      </c>
      <c r="AP7" s="1182">
        <v>0.38100000000000001</v>
      </c>
      <c r="AQ7" s="1193">
        <v>8</v>
      </c>
      <c r="AR7" s="1182">
        <v>4.5</v>
      </c>
      <c r="AS7" s="1182">
        <v>0.76600000000000001</v>
      </c>
      <c r="AT7" s="905">
        <v>8.69</v>
      </c>
      <c r="AU7" s="905">
        <v>0</v>
      </c>
      <c r="AV7" s="1182">
        <v>1.93</v>
      </c>
      <c r="AW7" s="1182">
        <v>1.4379999999999999</v>
      </c>
      <c r="AX7" s="1182">
        <v>2.6</v>
      </c>
      <c r="AY7" s="752">
        <v>-2.48</v>
      </c>
      <c r="AZ7" s="1182">
        <v>12.164999999999999</v>
      </c>
      <c r="BA7" s="752">
        <v>0</v>
      </c>
      <c r="BB7" s="1182">
        <v>8.4</v>
      </c>
      <c r="BC7" s="1182">
        <v>0</v>
      </c>
      <c r="BD7" s="1182">
        <v>0.3</v>
      </c>
      <c r="BE7" s="1191">
        <v>1.8</v>
      </c>
      <c r="BF7" s="752">
        <v>0</v>
      </c>
      <c r="BG7" s="752">
        <v>0</v>
      </c>
      <c r="BH7" s="1147">
        <v>1.3759999999999999</v>
      </c>
      <c r="BI7" s="1182">
        <v>0.85</v>
      </c>
      <c r="BJ7" s="1171">
        <v>2.7</v>
      </c>
    </row>
    <row r="8" spans="1:62" x14ac:dyDescent="0.25">
      <c r="A8" s="1160">
        <v>2024</v>
      </c>
      <c r="B8" s="1162">
        <f t="shared" si="1"/>
        <v>0</v>
      </c>
      <c r="C8" s="1162">
        <f t="shared" si="2"/>
        <v>0</v>
      </c>
      <c r="D8" s="1162">
        <f t="shared" si="3"/>
        <v>0.16</v>
      </c>
      <c r="E8" s="1162">
        <f t="shared" si="4"/>
        <v>1.4790000000000001</v>
      </c>
      <c r="F8" s="1162">
        <f t="shared" si="11"/>
        <v>4.2219999999999995</v>
      </c>
      <c r="G8" s="1162">
        <f t="shared" si="5"/>
        <v>1.365</v>
      </c>
      <c r="H8" s="1162">
        <f t="shared" si="6"/>
        <v>4.637999999999999</v>
      </c>
      <c r="I8" s="1162">
        <f t="shared" si="7"/>
        <v>0</v>
      </c>
      <c r="J8" s="1162">
        <f t="shared" si="8"/>
        <v>31.911000000000001</v>
      </c>
      <c r="K8" s="1162">
        <f t="shared" si="9"/>
        <v>9.6430000000000007</v>
      </c>
      <c r="L8" s="1166">
        <v>0</v>
      </c>
      <c r="M8" s="1162">
        <f t="shared" si="0"/>
        <v>3.9320000000000004</v>
      </c>
      <c r="N8" s="1162">
        <f t="shared" si="10"/>
        <v>0</v>
      </c>
      <c r="O8" s="1189">
        <v>0.7</v>
      </c>
      <c r="P8" s="1183">
        <v>0.96</v>
      </c>
      <c r="Q8" s="1182">
        <v>0</v>
      </c>
      <c r="R8" s="1191">
        <v>0.51900000000000002</v>
      </c>
      <c r="S8" s="905">
        <v>0</v>
      </c>
      <c r="T8" s="1150">
        <v>0.16</v>
      </c>
      <c r="U8" s="1182">
        <v>2.8</v>
      </c>
      <c r="V8" s="905">
        <v>0.504</v>
      </c>
      <c r="W8" s="752">
        <v>0.47199999999999998</v>
      </c>
      <c r="X8" s="752">
        <v>2E-3</v>
      </c>
      <c r="Y8" s="1182">
        <v>0</v>
      </c>
      <c r="Z8" s="1182">
        <v>0</v>
      </c>
      <c r="AA8" s="1182">
        <v>0</v>
      </c>
      <c r="AB8" s="1182">
        <v>0</v>
      </c>
      <c r="AC8" s="905">
        <v>0</v>
      </c>
      <c r="AD8" s="905">
        <v>0.34399999999999997</v>
      </c>
      <c r="AE8" s="1191">
        <v>0</v>
      </c>
      <c r="AF8" s="1191">
        <v>0.1</v>
      </c>
      <c r="AG8" s="1191">
        <v>4.5739999999999998</v>
      </c>
      <c r="AH8" s="905">
        <v>0.06</v>
      </c>
      <c r="AI8" s="905">
        <v>4.0000000000000001E-3</v>
      </c>
      <c r="AJ8" s="905">
        <v>0</v>
      </c>
      <c r="AK8" s="1182">
        <v>0</v>
      </c>
      <c r="AL8" s="1182">
        <v>31.911000000000001</v>
      </c>
      <c r="AM8" s="905">
        <v>4.1000000000000002E-2</v>
      </c>
      <c r="AN8" s="1182">
        <v>0.4</v>
      </c>
      <c r="AO8" s="752">
        <v>0.41</v>
      </c>
      <c r="AP8" s="1182">
        <v>0.13100000000000001</v>
      </c>
      <c r="AQ8" s="1193">
        <v>0</v>
      </c>
      <c r="AR8" s="1182">
        <v>3</v>
      </c>
      <c r="AS8" s="1182">
        <v>0.30099999999999999</v>
      </c>
      <c r="AT8" s="752">
        <v>5.36</v>
      </c>
      <c r="AU8" s="905">
        <v>0</v>
      </c>
      <c r="AV8" s="1182">
        <v>0.79600000000000004</v>
      </c>
      <c r="AW8" s="1182">
        <v>0.27500000000000002</v>
      </c>
      <c r="AX8" s="1182">
        <v>1</v>
      </c>
      <c r="AY8" s="752">
        <v>-2.6</v>
      </c>
      <c r="AZ8" s="1182">
        <v>4.4610000000000003</v>
      </c>
      <c r="BA8" s="752">
        <v>0</v>
      </c>
      <c r="BB8" s="1182">
        <v>0.2</v>
      </c>
      <c r="BC8" s="1182">
        <v>0</v>
      </c>
      <c r="BD8" s="1182">
        <v>0</v>
      </c>
      <c r="BE8" s="1191">
        <v>1.95</v>
      </c>
      <c r="BF8" s="752">
        <v>0</v>
      </c>
      <c r="BG8" s="752">
        <v>0</v>
      </c>
      <c r="BH8" s="1147">
        <v>-0.875</v>
      </c>
      <c r="BI8" s="1182">
        <v>0.09</v>
      </c>
      <c r="BJ8" s="1172">
        <v>0.87</v>
      </c>
    </row>
    <row r="9" spans="1:62" x14ac:dyDescent="0.25">
      <c r="A9" s="1160">
        <v>2025</v>
      </c>
      <c r="B9" s="1162">
        <f t="shared" si="1"/>
        <v>0</v>
      </c>
      <c r="C9" s="1162">
        <f t="shared" si="2"/>
        <v>0</v>
      </c>
      <c r="D9" s="1162">
        <f t="shared" si="3"/>
        <v>3.3000000000000002E-2</v>
      </c>
      <c r="E9" s="1162">
        <f t="shared" si="4"/>
        <v>1.63</v>
      </c>
      <c r="F9" s="1162">
        <f t="shared" si="11"/>
        <v>2.3719999999999999</v>
      </c>
      <c r="G9" s="1162">
        <f t="shared" si="5"/>
        <v>-0.90100000000000025</v>
      </c>
      <c r="H9" s="1162">
        <f t="shared" si="6"/>
        <v>1.8800000000000001</v>
      </c>
      <c r="I9" s="1162">
        <f t="shared" si="7"/>
        <v>0</v>
      </c>
      <c r="J9" s="1162">
        <f t="shared" si="8"/>
        <v>23.099</v>
      </c>
      <c r="K9" s="1162">
        <f t="shared" si="9"/>
        <v>4.5789999999999997</v>
      </c>
      <c r="L9" s="1166">
        <v>0</v>
      </c>
      <c r="M9" s="1162">
        <f t="shared" si="0"/>
        <v>-0.74299999999999988</v>
      </c>
      <c r="N9" s="1162">
        <f t="shared" si="10"/>
        <v>0</v>
      </c>
      <c r="O9" s="1189">
        <v>0.7</v>
      </c>
      <c r="P9" s="1183">
        <v>1.06</v>
      </c>
      <c r="Q9" s="1182">
        <v>0</v>
      </c>
      <c r="R9" s="1191">
        <v>0.56999999999999995</v>
      </c>
      <c r="S9" s="905">
        <v>0</v>
      </c>
      <c r="T9" s="1151">
        <v>3.3000000000000002E-2</v>
      </c>
      <c r="U9" s="1182">
        <v>2</v>
      </c>
      <c r="V9" s="1151">
        <v>0</v>
      </c>
      <c r="W9" s="752">
        <v>0.21299999999999999</v>
      </c>
      <c r="X9" s="752">
        <v>2E-3</v>
      </c>
      <c r="Y9" s="1182">
        <v>0</v>
      </c>
      <c r="Z9" s="1182">
        <v>0</v>
      </c>
      <c r="AA9" s="1182">
        <v>0</v>
      </c>
      <c r="AB9" s="1182">
        <v>0</v>
      </c>
      <c r="AC9" s="905">
        <v>0</v>
      </c>
      <c r="AD9" s="905">
        <v>0.157</v>
      </c>
      <c r="AE9" s="1191">
        <v>0</v>
      </c>
      <c r="AF9" s="1191">
        <v>0</v>
      </c>
      <c r="AG9" s="905">
        <v>1.81</v>
      </c>
      <c r="AH9" s="905">
        <v>7.0000000000000007E-2</v>
      </c>
      <c r="AI9" s="905">
        <v>0</v>
      </c>
      <c r="AJ9" s="1182">
        <v>0</v>
      </c>
      <c r="AK9" s="1182">
        <v>0</v>
      </c>
      <c r="AL9" s="1182">
        <v>23.099</v>
      </c>
      <c r="AM9" s="905">
        <v>1.2999999999999999E-2</v>
      </c>
      <c r="AN9" s="1182">
        <v>0.3</v>
      </c>
      <c r="AO9" s="1180">
        <v>0.15</v>
      </c>
      <c r="AP9" s="1182">
        <v>0.112</v>
      </c>
      <c r="AQ9" s="1193">
        <v>0</v>
      </c>
      <c r="AR9" s="1182">
        <v>0.2</v>
      </c>
      <c r="AS9" s="1182">
        <v>7.3999999999999996E-2</v>
      </c>
      <c r="AT9" s="752">
        <v>3.73</v>
      </c>
      <c r="AU9" s="905">
        <v>0</v>
      </c>
      <c r="AV9" s="1182">
        <v>5.3999999999999999E-2</v>
      </c>
      <c r="AW9" s="1182">
        <v>0.13100000000000001</v>
      </c>
      <c r="AX9" s="1182">
        <v>0</v>
      </c>
      <c r="AY9" s="752">
        <v>-2.71</v>
      </c>
      <c r="AZ9" s="1182">
        <v>1.782</v>
      </c>
      <c r="BA9" s="752">
        <v>0</v>
      </c>
      <c r="BB9" s="1182">
        <v>0</v>
      </c>
      <c r="BC9" s="1182">
        <v>0</v>
      </c>
      <c r="BD9" s="1182">
        <v>0</v>
      </c>
      <c r="BE9" s="1191">
        <v>1.43</v>
      </c>
      <c r="BF9" s="752">
        <v>0</v>
      </c>
      <c r="BG9" s="752">
        <v>0</v>
      </c>
      <c r="BH9" s="1147">
        <v>-2.3410000000000002</v>
      </c>
      <c r="BI9" s="1182">
        <v>0.01</v>
      </c>
      <c r="BJ9" s="1172">
        <v>0.33</v>
      </c>
    </row>
    <row r="10" spans="1:62" x14ac:dyDescent="0.25">
      <c r="A10" s="1160">
        <v>2026</v>
      </c>
      <c r="B10" s="1162">
        <f t="shared" si="1"/>
        <v>0</v>
      </c>
      <c r="C10" s="1162">
        <f t="shared" si="2"/>
        <v>0</v>
      </c>
      <c r="D10" s="1162">
        <f t="shared" si="3"/>
        <v>3.2000000000000001E-2</v>
      </c>
      <c r="E10" s="1162">
        <f t="shared" si="4"/>
        <v>1.671</v>
      </c>
      <c r="F10" s="1162">
        <f t="shared" si="11"/>
        <v>0.49</v>
      </c>
      <c r="G10" s="1162">
        <f t="shared" si="5"/>
        <v>-2.1500000000000004</v>
      </c>
      <c r="H10" s="1162">
        <f t="shared" si="6"/>
        <v>1.446</v>
      </c>
      <c r="I10" s="1162">
        <f t="shared" si="7"/>
        <v>0</v>
      </c>
      <c r="J10" s="1162">
        <f t="shared" si="8"/>
        <v>10.766999999999999</v>
      </c>
      <c r="K10" s="1162">
        <f t="shared" si="9"/>
        <v>2.9130000000000003</v>
      </c>
      <c r="L10" s="1166"/>
      <c r="M10" s="1162">
        <f t="shared" si="0"/>
        <v>-21.606000000000002</v>
      </c>
      <c r="N10" s="1162">
        <f t="shared" si="10"/>
        <v>0</v>
      </c>
      <c r="O10" s="1189">
        <v>0.7</v>
      </c>
      <c r="P10" s="1183">
        <v>1.07</v>
      </c>
      <c r="Q10" s="1182">
        <v>0</v>
      </c>
      <c r="R10" s="1191">
        <v>0.60099999999999998</v>
      </c>
      <c r="S10" s="905">
        <v>0</v>
      </c>
      <c r="T10" s="1147">
        <v>3.2000000000000001E-2</v>
      </c>
      <c r="U10" s="1182">
        <v>0.3</v>
      </c>
      <c r="V10" s="1191">
        <v>0</v>
      </c>
      <c r="W10" s="752">
        <v>0.188</v>
      </c>
      <c r="X10" s="752">
        <v>2E-3</v>
      </c>
      <c r="Y10" s="1182">
        <v>0</v>
      </c>
      <c r="Z10" s="1182">
        <v>0</v>
      </c>
      <c r="AA10" s="1182">
        <v>0</v>
      </c>
      <c r="AB10" s="1182">
        <v>0</v>
      </c>
      <c r="AC10" s="905">
        <v>0</v>
      </c>
      <c r="AD10" s="905">
        <v>0</v>
      </c>
      <c r="AE10" s="905">
        <v>0</v>
      </c>
      <c r="AF10" s="1191">
        <v>0</v>
      </c>
      <c r="AG10" s="905">
        <v>1.3759999999999999</v>
      </c>
      <c r="AH10" s="905">
        <v>7.0000000000000007E-2</v>
      </c>
      <c r="AI10" s="905">
        <v>0</v>
      </c>
      <c r="AJ10" s="1152">
        <v>0</v>
      </c>
      <c r="AK10" s="1182">
        <v>0</v>
      </c>
      <c r="AL10" s="1182">
        <v>10.766999999999999</v>
      </c>
      <c r="AM10" s="905">
        <v>3.0000000000000001E-3</v>
      </c>
      <c r="AN10" s="1182">
        <v>0.2</v>
      </c>
      <c r="AO10" s="1180">
        <v>0.1</v>
      </c>
      <c r="AP10" s="1182">
        <v>0.05</v>
      </c>
      <c r="AQ10" s="1193">
        <v>0</v>
      </c>
      <c r="AR10" s="1182">
        <v>0</v>
      </c>
      <c r="AS10" s="1182">
        <v>0</v>
      </c>
      <c r="AT10" s="752">
        <v>2.56</v>
      </c>
      <c r="AU10" s="905">
        <v>0</v>
      </c>
      <c r="AV10" s="1182">
        <v>3.7999999999999999E-2</v>
      </c>
      <c r="AW10" s="1182">
        <v>2.5999999999999999E-2</v>
      </c>
      <c r="AX10" s="1182">
        <v>0</v>
      </c>
      <c r="AY10" s="752">
        <v>-2.6700000000000004</v>
      </c>
      <c r="AZ10" s="1182">
        <v>0</v>
      </c>
      <c r="BA10" s="752">
        <v>-19</v>
      </c>
      <c r="BB10" s="1182">
        <v>0</v>
      </c>
      <c r="BC10" s="1182">
        <v>0</v>
      </c>
      <c r="BD10" s="1182">
        <v>0</v>
      </c>
      <c r="BE10" s="752">
        <v>0.88</v>
      </c>
      <c r="BF10" s="752">
        <v>0</v>
      </c>
      <c r="BG10" s="752">
        <v>0</v>
      </c>
      <c r="BH10" s="905">
        <v>-2.8200000000000003</v>
      </c>
      <c r="BI10" s="1182">
        <v>-0.21</v>
      </c>
      <c r="BJ10" s="1172">
        <v>0.17</v>
      </c>
    </row>
    <row r="11" spans="1:62" x14ac:dyDescent="0.25">
      <c r="A11" s="1160">
        <v>2027</v>
      </c>
      <c r="B11" s="1162">
        <f t="shared" si="1"/>
        <v>0</v>
      </c>
      <c r="C11" s="1162">
        <f t="shared" si="2"/>
        <v>0</v>
      </c>
      <c r="D11" s="1162">
        <f t="shared" si="3"/>
        <v>3.2000000000000001E-2</v>
      </c>
      <c r="E11" s="1162">
        <f t="shared" si="4"/>
        <v>1.7130000000000001</v>
      </c>
      <c r="F11" s="1162">
        <f t="shared" si="11"/>
        <v>0</v>
      </c>
      <c r="G11" s="1162">
        <f t="shared" si="5"/>
        <v>-4.8169999999999993</v>
      </c>
      <c r="H11" s="1162">
        <f t="shared" si="6"/>
        <v>0.65699999999999992</v>
      </c>
      <c r="I11" s="1162">
        <f t="shared" si="7"/>
        <v>0</v>
      </c>
      <c r="J11" s="1162">
        <f t="shared" si="8"/>
        <v>4.0789999999999997</v>
      </c>
      <c r="K11" s="1162">
        <f t="shared" si="9"/>
        <v>2.46</v>
      </c>
      <c r="L11" s="1166"/>
      <c r="M11" s="1162">
        <f t="shared" si="0"/>
        <v>-14.713000000000001</v>
      </c>
      <c r="N11" s="1162">
        <f t="shared" si="10"/>
        <v>0</v>
      </c>
      <c r="O11" s="1189">
        <v>0.3</v>
      </c>
      <c r="P11" s="1183">
        <v>1.08</v>
      </c>
      <c r="Q11" s="1182">
        <v>0</v>
      </c>
      <c r="R11" s="1191">
        <v>0.63300000000000001</v>
      </c>
      <c r="S11" s="1150">
        <v>0</v>
      </c>
      <c r="T11" s="1182">
        <v>3.2000000000000001E-2</v>
      </c>
      <c r="U11" s="1182">
        <v>0</v>
      </c>
      <c r="V11" s="905">
        <v>0</v>
      </c>
      <c r="W11" s="752">
        <v>0</v>
      </c>
      <c r="X11" s="752">
        <v>0</v>
      </c>
      <c r="Y11" s="1182">
        <v>0</v>
      </c>
      <c r="Z11" s="1182">
        <v>0</v>
      </c>
      <c r="AA11" s="1182">
        <v>0</v>
      </c>
      <c r="AB11" s="1182">
        <v>0</v>
      </c>
      <c r="AC11" s="905">
        <v>0</v>
      </c>
      <c r="AD11" s="1191">
        <v>0</v>
      </c>
      <c r="AE11" s="905">
        <v>0</v>
      </c>
      <c r="AF11" s="1191">
        <v>0</v>
      </c>
      <c r="AG11" s="905">
        <v>0.57699999999999996</v>
      </c>
      <c r="AH11" s="905">
        <v>0.08</v>
      </c>
      <c r="AI11" s="905">
        <v>0</v>
      </c>
      <c r="AJ11" s="905">
        <v>0</v>
      </c>
      <c r="AK11" s="1182">
        <v>0</v>
      </c>
      <c r="AL11" s="1182">
        <v>4.0789999999999997</v>
      </c>
      <c r="AM11" s="1182">
        <v>0</v>
      </c>
      <c r="AN11" s="1182">
        <v>0.1</v>
      </c>
      <c r="AO11" s="1180">
        <v>0.1</v>
      </c>
      <c r="AP11" s="1182">
        <v>0.03</v>
      </c>
      <c r="AQ11" s="1193">
        <v>0</v>
      </c>
      <c r="AR11" s="1182">
        <v>0</v>
      </c>
      <c r="AS11" s="1182">
        <v>0</v>
      </c>
      <c r="AT11" s="1180">
        <v>2.23</v>
      </c>
      <c r="AU11" s="905">
        <v>0</v>
      </c>
      <c r="AV11" s="1182">
        <v>1.7000000000000001E-2</v>
      </c>
      <c r="AW11" s="1182">
        <v>0</v>
      </c>
      <c r="AX11" s="1182">
        <v>0</v>
      </c>
      <c r="AY11" s="752">
        <v>-2.73</v>
      </c>
      <c r="AZ11" s="1182">
        <v>0</v>
      </c>
      <c r="BA11" s="752">
        <v>-12</v>
      </c>
      <c r="BB11" s="1182">
        <v>0</v>
      </c>
      <c r="BC11" s="1182">
        <v>0</v>
      </c>
      <c r="BD11" s="1182">
        <v>0</v>
      </c>
      <c r="BE11" s="752">
        <v>0.28000000000000003</v>
      </c>
      <c r="BF11" s="752">
        <v>0</v>
      </c>
      <c r="BG11" s="752">
        <v>0</v>
      </c>
      <c r="BH11" s="1151">
        <v>-5.0069999999999997</v>
      </c>
      <c r="BI11" s="1182">
        <v>-0.09</v>
      </c>
      <c r="BJ11" s="1173">
        <v>0.06</v>
      </c>
    </row>
    <row r="12" spans="1:62" x14ac:dyDescent="0.25">
      <c r="A12" s="1160">
        <v>2028</v>
      </c>
      <c r="B12" s="1162">
        <f t="shared" si="1"/>
        <v>0</v>
      </c>
      <c r="C12" s="1162">
        <f t="shared" si="2"/>
        <v>0</v>
      </c>
      <c r="D12" s="1162">
        <f t="shared" si="3"/>
        <v>3.3000000000000002E-2</v>
      </c>
      <c r="E12" s="1162">
        <f t="shared" si="4"/>
        <v>1.7130000000000001</v>
      </c>
      <c r="F12" s="1162">
        <f t="shared" si="11"/>
        <v>0</v>
      </c>
      <c r="G12" s="1162">
        <f t="shared" si="5"/>
        <v>-5.0590000000000002</v>
      </c>
      <c r="H12" s="1162">
        <f t="shared" si="6"/>
        <v>-1.071</v>
      </c>
      <c r="I12" s="1162">
        <f t="shared" si="7"/>
        <v>0</v>
      </c>
      <c r="J12" s="1162">
        <f t="shared" si="8"/>
        <v>1.635</v>
      </c>
      <c r="K12" s="1162">
        <f t="shared" si="9"/>
        <v>1.81</v>
      </c>
      <c r="L12" s="1166"/>
      <c r="M12" s="1162">
        <f t="shared" si="0"/>
        <v>-2.7690000000000001</v>
      </c>
      <c r="N12" s="1162">
        <f t="shared" si="10"/>
        <v>0</v>
      </c>
      <c r="O12" s="1189">
        <v>0.3</v>
      </c>
      <c r="P12" s="1183">
        <v>1.08</v>
      </c>
      <c r="Q12" s="1182">
        <v>0</v>
      </c>
      <c r="R12" s="1191">
        <v>0.63300000000000001</v>
      </c>
      <c r="S12" s="1150">
        <v>0</v>
      </c>
      <c r="T12" s="1153">
        <v>3.3000000000000002E-2</v>
      </c>
      <c r="U12" s="1182">
        <v>0</v>
      </c>
      <c r="V12" s="905">
        <v>0</v>
      </c>
      <c r="W12" s="752">
        <v>0</v>
      </c>
      <c r="X12" s="752">
        <v>0</v>
      </c>
      <c r="Y12" s="1182">
        <v>0</v>
      </c>
      <c r="Z12" s="1182">
        <v>0</v>
      </c>
      <c r="AA12" s="1182">
        <v>0</v>
      </c>
      <c r="AB12" s="1182">
        <v>0</v>
      </c>
      <c r="AC12" s="905">
        <v>0</v>
      </c>
      <c r="AD12" s="905">
        <v>0</v>
      </c>
      <c r="AE12" s="905">
        <v>0</v>
      </c>
      <c r="AF12" s="905">
        <v>0</v>
      </c>
      <c r="AG12" s="905">
        <v>-1.151</v>
      </c>
      <c r="AH12" s="905">
        <v>0.08</v>
      </c>
      <c r="AI12" s="905">
        <v>0</v>
      </c>
      <c r="AJ12" s="905">
        <v>0</v>
      </c>
      <c r="AK12" s="1182">
        <v>0</v>
      </c>
      <c r="AL12" s="1182">
        <v>1.635</v>
      </c>
      <c r="AM12" s="1182">
        <v>0</v>
      </c>
      <c r="AN12" s="1182">
        <v>0.1</v>
      </c>
      <c r="AO12" s="752">
        <v>0</v>
      </c>
      <c r="AP12" s="1182">
        <v>0</v>
      </c>
      <c r="AQ12" s="1193">
        <v>0</v>
      </c>
      <c r="AR12" s="1182">
        <v>0</v>
      </c>
      <c r="AS12" s="1182">
        <v>0</v>
      </c>
      <c r="AT12" s="1180">
        <v>1.71</v>
      </c>
      <c r="AU12" s="905">
        <v>0</v>
      </c>
      <c r="AV12" s="1182">
        <v>1E-3</v>
      </c>
      <c r="AW12" s="1182">
        <v>0</v>
      </c>
      <c r="AX12" s="1182">
        <v>0</v>
      </c>
      <c r="AY12" s="752">
        <v>-2.77</v>
      </c>
      <c r="AZ12" s="1182">
        <v>0</v>
      </c>
      <c r="BA12" s="752">
        <v>0</v>
      </c>
      <c r="BB12" s="1182">
        <v>0</v>
      </c>
      <c r="BC12" s="1182">
        <v>0</v>
      </c>
      <c r="BD12" s="1182">
        <v>0</v>
      </c>
      <c r="BE12" s="752">
        <v>0.1</v>
      </c>
      <c r="BF12" s="752">
        <v>0</v>
      </c>
      <c r="BG12" s="752">
        <v>0</v>
      </c>
      <c r="BH12" s="1151">
        <v>-5.069</v>
      </c>
      <c r="BI12" s="1182">
        <v>-0.09</v>
      </c>
      <c r="BJ12" s="1173">
        <v>0.03</v>
      </c>
    </row>
    <row r="13" spans="1:62" x14ac:dyDescent="0.25">
      <c r="A13" s="1160">
        <v>2029</v>
      </c>
      <c r="B13" s="1162">
        <f t="shared" si="1"/>
        <v>0</v>
      </c>
      <c r="C13" s="1162">
        <f t="shared" si="2"/>
        <v>0</v>
      </c>
      <c r="D13" s="1162">
        <f t="shared" si="3"/>
        <v>3.3000000000000002E-2</v>
      </c>
      <c r="E13" s="1162">
        <f t="shared" si="4"/>
        <v>1.7130000000000001</v>
      </c>
      <c r="F13" s="1162">
        <f t="shared" si="11"/>
        <v>0</v>
      </c>
      <c r="G13" s="1162">
        <f t="shared" si="5"/>
        <v>-5.218</v>
      </c>
      <c r="H13" s="1162">
        <f t="shared" si="6"/>
        <v>-1.964</v>
      </c>
      <c r="I13" s="1162">
        <f t="shared" si="7"/>
        <v>0</v>
      </c>
      <c r="J13" s="1162">
        <f t="shared" si="8"/>
        <v>-1.7000000000000001E-2</v>
      </c>
      <c r="K13" s="1162">
        <f t="shared" si="9"/>
        <v>1</v>
      </c>
      <c r="L13" s="1166"/>
      <c r="M13" s="1162">
        <f t="shared" si="0"/>
        <v>-2.75</v>
      </c>
      <c r="N13" s="1162">
        <f t="shared" si="10"/>
        <v>0</v>
      </c>
      <c r="O13" s="1189">
        <v>0.3</v>
      </c>
      <c r="P13" s="1183">
        <v>1.08</v>
      </c>
      <c r="Q13" s="1182">
        <v>0</v>
      </c>
      <c r="R13" s="1191">
        <v>0.63300000000000001</v>
      </c>
      <c r="S13" s="1150">
        <v>0</v>
      </c>
      <c r="T13" s="905">
        <v>3.3000000000000002E-2</v>
      </c>
      <c r="U13" s="1182">
        <v>0</v>
      </c>
      <c r="V13" s="905">
        <v>0</v>
      </c>
      <c r="W13" s="752">
        <v>0</v>
      </c>
      <c r="X13" s="752">
        <v>0</v>
      </c>
      <c r="Y13" s="1182">
        <v>0</v>
      </c>
      <c r="Z13" s="1182">
        <v>0</v>
      </c>
      <c r="AA13" s="1182">
        <v>0</v>
      </c>
      <c r="AB13" s="1182">
        <v>0</v>
      </c>
      <c r="AC13" s="905">
        <v>0</v>
      </c>
      <c r="AD13" s="905">
        <v>0</v>
      </c>
      <c r="AE13" s="905">
        <v>0</v>
      </c>
      <c r="AF13" s="905">
        <v>0</v>
      </c>
      <c r="AG13" s="1182">
        <v>-2.044</v>
      </c>
      <c r="AH13" s="905">
        <v>0.08</v>
      </c>
      <c r="AI13" s="905">
        <v>0</v>
      </c>
      <c r="AJ13" s="1154">
        <v>0</v>
      </c>
      <c r="AK13" s="1182">
        <v>0</v>
      </c>
      <c r="AL13" s="1182">
        <v>-1.7000000000000001E-2</v>
      </c>
      <c r="AM13" s="1182">
        <v>0</v>
      </c>
      <c r="AN13" s="1182">
        <v>0</v>
      </c>
      <c r="AO13" s="752">
        <v>0</v>
      </c>
      <c r="AP13" s="1182">
        <v>0</v>
      </c>
      <c r="AQ13" s="1193">
        <v>0</v>
      </c>
      <c r="AR13" s="1182">
        <v>0</v>
      </c>
      <c r="AS13" s="1182">
        <v>0</v>
      </c>
      <c r="AT13" s="1180">
        <v>1</v>
      </c>
      <c r="AU13" s="905">
        <v>0</v>
      </c>
      <c r="AV13" s="1182">
        <v>0</v>
      </c>
      <c r="AW13" s="1182">
        <v>0</v>
      </c>
      <c r="AX13" s="1182">
        <v>0</v>
      </c>
      <c r="AY13" s="752">
        <v>-2.75</v>
      </c>
      <c r="AZ13" s="1182">
        <v>0</v>
      </c>
      <c r="BA13" s="752">
        <v>0</v>
      </c>
      <c r="BB13" s="1182">
        <v>0</v>
      </c>
      <c r="BC13" s="1182">
        <v>0</v>
      </c>
      <c r="BD13" s="1182">
        <v>0</v>
      </c>
      <c r="BE13" s="752">
        <v>0</v>
      </c>
      <c r="BF13" s="1155">
        <v>0</v>
      </c>
      <c r="BG13" s="752">
        <v>0</v>
      </c>
      <c r="BH13" s="1151">
        <v>-5.1180000000000003</v>
      </c>
      <c r="BI13" s="1182">
        <v>-0.1</v>
      </c>
      <c r="BJ13" s="1173">
        <v>0.01</v>
      </c>
    </row>
    <row r="14" spans="1:62" x14ac:dyDescent="0.25">
      <c r="A14" s="1160">
        <v>2030</v>
      </c>
      <c r="B14" s="1162">
        <f t="shared" si="1"/>
        <v>0</v>
      </c>
      <c r="C14" s="1162">
        <f t="shared" si="2"/>
        <v>0</v>
      </c>
      <c r="D14" s="1162">
        <f t="shared" si="3"/>
        <v>3.3000000000000002E-2</v>
      </c>
      <c r="E14" s="1162">
        <f t="shared" si="4"/>
        <v>1.8130000000000002</v>
      </c>
      <c r="F14" s="1162">
        <f t="shared" si="11"/>
        <v>0</v>
      </c>
      <c r="G14" s="1162">
        <f t="shared" si="5"/>
        <v>-5.9420000000000002</v>
      </c>
      <c r="H14" s="1162">
        <f t="shared" si="6"/>
        <v>-2.0210000000000004</v>
      </c>
      <c r="I14" s="1162">
        <f t="shared" si="7"/>
        <v>0</v>
      </c>
      <c r="J14" s="1162">
        <f t="shared" si="8"/>
        <v>-1.9E-2</v>
      </c>
      <c r="K14" s="1162">
        <f t="shared" si="9"/>
        <v>0.8</v>
      </c>
      <c r="L14" s="1166"/>
      <c r="M14" s="1162">
        <f t="shared" si="0"/>
        <v>-8.1189999999999998</v>
      </c>
      <c r="N14" s="1162">
        <f t="shared" si="10"/>
        <v>0</v>
      </c>
      <c r="O14" s="1189">
        <v>0.3</v>
      </c>
      <c r="P14" s="1183">
        <v>1.1800000000000002</v>
      </c>
      <c r="Q14" s="1182">
        <v>0</v>
      </c>
      <c r="R14" s="1191">
        <v>0.63300000000000001</v>
      </c>
      <c r="S14" s="1150">
        <v>0</v>
      </c>
      <c r="T14" s="905">
        <v>3.3000000000000002E-2</v>
      </c>
      <c r="U14" s="1182">
        <v>0</v>
      </c>
      <c r="V14" s="905">
        <v>0</v>
      </c>
      <c r="W14" s="752">
        <v>0</v>
      </c>
      <c r="X14" s="752">
        <v>0</v>
      </c>
      <c r="Y14" s="1182">
        <v>0</v>
      </c>
      <c r="Z14" s="1182">
        <v>0</v>
      </c>
      <c r="AA14" s="1182">
        <v>0</v>
      </c>
      <c r="AB14" s="1182">
        <v>0</v>
      </c>
      <c r="AC14" s="905">
        <v>0</v>
      </c>
      <c r="AD14" s="1191">
        <v>0</v>
      </c>
      <c r="AE14" s="1182">
        <v>0</v>
      </c>
      <c r="AF14" s="905">
        <v>0</v>
      </c>
      <c r="AG14" s="905">
        <v>-2.1110000000000002</v>
      </c>
      <c r="AH14" s="905">
        <v>0.09</v>
      </c>
      <c r="AI14" s="905">
        <v>0</v>
      </c>
      <c r="AJ14" s="1156">
        <v>0</v>
      </c>
      <c r="AK14" s="1182">
        <v>0</v>
      </c>
      <c r="AL14" s="1182">
        <v>-1.9E-2</v>
      </c>
      <c r="AM14" s="1182">
        <v>0</v>
      </c>
      <c r="AN14" s="1182">
        <v>0</v>
      </c>
      <c r="AO14" s="752">
        <v>0</v>
      </c>
      <c r="AP14" s="1182">
        <v>0</v>
      </c>
      <c r="AQ14" s="1193">
        <v>0</v>
      </c>
      <c r="AR14" s="1182">
        <v>0</v>
      </c>
      <c r="AS14" s="1182">
        <v>0</v>
      </c>
      <c r="AT14" s="752">
        <v>0.8</v>
      </c>
      <c r="AU14" s="905">
        <v>-5.4089999999999998</v>
      </c>
      <c r="AV14" s="1182">
        <v>0</v>
      </c>
      <c r="AW14" s="1182">
        <v>0</v>
      </c>
      <c r="AX14" s="1182">
        <v>0</v>
      </c>
      <c r="AY14" s="752">
        <v>-2.71</v>
      </c>
      <c r="AZ14" s="1182">
        <v>0</v>
      </c>
      <c r="BA14" s="752">
        <v>0</v>
      </c>
      <c r="BB14" s="1182">
        <v>0</v>
      </c>
      <c r="BC14" s="1182">
        <v>0</v>
      </c>
      <c r="BD14" s="1182">
        <v>0</v>
      </c>
      <c r="BE14" s="1182">
        <v>0</v>
      </c>
      <c r="BF14" s="752">
        <v>0</v>
      </c>
      <c r="BG14" s="752">
        <v>0</v>
      </c>
      <c r="BH14" s="905">
        <v>-5.8319999999999999</v>
      </c>
      <c r="BI14" s="1182">
        <v>-0.11</v>
      </c>
      <c r="BJ14" s="1172">
        <v>0.01</v>
      </c>
    </row>
    <row r="15" spans="1:62" ht="17.25" customHeight="1" x14ac:dyDescent="0.25">
      <c r="A15" s="1160">
        <v>2031</v>
      </c>
      <c r="B15" s="1162">
        <f t="shared" si="1"/>
        <v>0</v>
      </c>
      <c r="C15" s="1162">
        <f t="shared" si="2"/>
        <v>0</v>
      </c>
      <c r="D15" s="1162">
        <f t="shared" si="3"/>
        <v>0</v>
      </c>
      <c r="E15" s="1162">
        <f t="shared" si="4"/>
        <v>1.8230000000000002</v>
      </c>
      <c r="F15" s="1162">
        <f t="shared" si="11"/>
        <v>0</v>
      </c>
      <c r="G15" s="1162">
        <f t="shared" si="5"/>
        <v>-7.7250000000000005</v>
      </c>
      <c r="H15" s="1162">
        <f t="shared" si="6"/>
        <v>-2.4630000000000001</v>
      </c>
      <c r="I15" s="1162">
        <f t="shared" si="7"/>
        <v>0</v>
      </c>
      <c r="J15" s="1162">
        <f t="shared" si="8"/>
        <v>-1.9E-2</v>
      </c>
      <c r="K15" s="1162">
        <f t="shared" si="9"/>
        <v>0</v>
      </c>
      <c r="L15" s="1166"/>
      <c r="M15" s="1162">
        <f t="shared" si="0"/>
        <v>-3.0390000000000001</v>
      </c>
      <c r="N15" s="1162">
        <f t="shared" si="10"/>
        <v>0</v>
      </c>
      <c r="O15" s="1189">
        <v>0.3</v>
      </c>
      <c r="P15" s="1183">
        <v>1.1900000000000002</v>
      </c>
      <c r="Q15" s="1182">
        <v>0</v>
      </c>
      <c r="R15" s="1191">
        <v>0.63300000000000001</v>
      </c>
      <c r="S15" s="1150">
        <v>0</v>
      </c>
      <c r="T15" s="752">
        <v>0</v>
      </c>
      <c r="U15" s="1182">
        <v>0</v>
      </c>
      <c r="V15" s="1182">
        <v>0</v>
      </c>
      <c r="W15" s="752">
        <v>0</v>
      </c>
      <c r="X15" s="752">
        <v>0</v>
      </c>
      <c r="Y15" s="1182">
        <v>0</v>
      </c>
      <c r="Z15" s="1182">
        <v>0</v>
      </c>
      <c r="AA15" s="1182">
        <v>0</v>
      </c>
      <c r="AB15" s="1182">
        <v>0</v>
      </c>
      <c r="AC15" s="905">
        <v>0</v>
      </c>
      <c r="AD15" s="1182">
        <v>0</v>
      </c>
      <c r="AE15" s="905">
        <v>0</v>
      </c>
      <c r="AF15" s="905">
        <v>0</v>
      </c>
      <c r="AG15" s="905">
        <v>-2.5529999999999999</v>
      </c>
      <c r="AH15" s="905">
        <v>0.09</v>
      </c>
      <c r="AI15" s="905">
        <v>0</v>
      </c>
      <c r="AJ15" s="1157">
        <v>0</v>
      </c>
      <c r="AK15" s="1182">
        <v>0</v>
      </c>
      <c r="AL15" s="1182">
        <v>-1.9E-2</v>
      </c>
      <c r="AM15" s="1182">
        <v>0</v>
      </c>
      <c r="AN15" s="1182">
        <v>0</v>
      </c>
      <c r="AO15" s="752">
        <v>0</v>
      </c>
      <c r="AP15" s="1182">
        <v>0</v>
      </c>
      <c r="AQ15" s="1193">
        <v>0</v>
      </c>
      <c r="AR15" s="1182">
        <v>0</v>
      </c>
      <c r="AS15" s="1182">
        <v>0</v>
      </c>
      <c r="AT15" s="752">
        <v>0</v>
      </c>
      <c r="AU15" s="905">
        <v>-0.26900000000000002</v>
      </c>
      <c r="AV15" s="1182">
        <v>0</v>
      </c>
      <c r="AW15" s="1182">
        <v>0</v>
      </c>
      <c r="AX15" s="1182">
        <v>0</v>
      </c>
      <c r="AY15" s="752">
        <v>-2.77</v>
      </c>
      <c r="AZ15" s="1182">
        <v>0</v>
      </c>
      <c r="BA15" s="752">
        <v>0</v>
      </c>
      <c r="BB15" s="1182">
        <v>0</v>
      </c>
      <c r="BC15" s="1182">
        <v>0</v>
      </c>
      <c r="BD15" s="1182">
        <v>0</v>
      </c>
      <c r="BE15" s="1182">
        <v>0</v>
      </c>
      <c r="BF15" s="752">
        <v>0</v>
      </c>
      <c r="BG15" s="752">
        <v>0</v>
      </c>
      <c r="BH15" s="905">
        <v>-5.4350000000000005</v>
      </c>
      <c r="BI15" s="1182">
        <v>-2.29</v>
      </c>
      <c r="BJ15" s="1172">
        <v>0</v>
      </c>
    </row>
    <row r="16" spans="1:62" x14ac:dyDescent="0.25">
      <c r="A16" s="1161" t="s">
        <v>311</v>
      </c>
      <c r="B16" s="1161">
        <f>SUM(B5:B15)</f>
        <v>412.15299999999996</v>
      </c>
      <c r="C16" s="1161">
        <f>SUM(C5:C15)</f>
        <v>205.79999999999998</v>
      </c>
      <c r="D16" s="1161">
        <f>SUM(D5:D15)</f>
        <v>22.711000000000006</v>
      </c>
      <c r="E16" s="1161">
        <f t="shared" ref="E16:H16" si="12">SUM(E5:E15)</f>
        <v>35.466000000000015</v>
      </c>
      <c r="F16" s="1161">
        <f t="shared" si="12"/>
        <v>91.563000000000002</v>
      </c>
      <c r="G16" s="1162">
        <f t="shared" si="5"/>
        <v>174.17</v>
      </c>
      <c r="H16" s="1161">
        <f t="shared" si="12"/>
        <v>21.600999999999996</v>
      </c>
      <c r="I16" s="1166">
        <f t="shared" ref="I16" si="13">SUM(I5:I15)</f>
        <v>362.04999999999995</v>
      </c>
      <c r="J16" s="1166">
        <f t="shared" ref="J16" si="14">SUM(J5:J15)</f>
        <v>169.16899999999998</v>
      </c>
      <c r="K16" s="1162">
        <f t="shared" si="9"/>
        <v>112.72</v>
      </c>
      <c r="L16" s="1166">
        <f>SUM(L5:L15)</f>
        <v>25.75</v>
      </c>
      <c r="M16" s="1162">
        <f t="shared" si="0"/>
        <v>85.197999999999993</v>
      </c>
      <c r="N16" s="1162">
        <f>AK16</f>
        <v>8.5</v>
      </c>
      <c r="O16" s="1190">
        <f t="shared" ref="O16:BI16" si="15">SUM(O5:O15)</f>
        <v>109.3</v>
      </c>
      <c r="P16" s="1182">
        <f t="shared" si="15"/>
        <v>25.819999999999997</v>
      </c>
      <c r="Q16" s="1182">
        <f t="shared" si="15"/>
        <v>412.15299999999996</v>
      </c>
      <c r="R16" s="1182">
        <f t="shared" si="15"/>
        <v>5.774</v>
      </c>
      <c r="S16" s="1182">
        <f t="shared" si="15"/>
        <v>3.8719999999999999</v>
      </c>
      <c r="T16" s="1182">
        <f t="shared" si="15"/>
        <v>22.711000000000006</v>
      </c>
      <c r="U16" s="1182">
        <f t="shared" si="15"/>
        <v>41.599999999999994</v>
      </c>
      <c r="V16" s="1182">
        <f t="shared" si="15"/>
        <v>44.947999999999993</v>
      </c>
      <c r="W16" s="1182">
        <f t="shared" si="15"/>
        <v>5</v>
      </c>
      <c r="X16" s="1182">
        <f t="shared" si="15"/>
        <v>1.4440000000000002</v>
      </c>
      <c r="Y16" s="1182">
        <f t="shared" si="15"/>
        <v>0.2</v>
      </c>
      <c r="Z16" s="1182">
        <f t="shared" si="15"/>
        <v>45.4</v>
      </c>
      <c r="AA16" s="1182">
        <f t="shared" si="15"/>
        <v>35.5</v>
      </c>
      <c r="AB16" s="1182">
        <f t="shared" si="15"/>
        <v>124.7</v>
      </c>
      <c r="AC16" s="1182">
        <f t="shared" si="15"/>
        <v>28</v>
      </c>
      <c r="AD16" s="1182">
        <f t="shared" si="15"/>
        <v>9.100000000000022E-2</v>
      </c>
      <c r="AE16" s="1182">
        <f t="shared" si="15"/>
        <v>22.810000000000002</v>
      </c>
      <c r="AF16" s="1182">
        <f t="shared" si="15"/>
        <v>1.42</v>
      </c>
      <c r="AG16" s="1182">
        <f t="shared" si="15"/>
        <v>20.662999999999997</v>
      </c>
      <c r="AH16" s="1182">
        <f t="shared" si="15"/>
        <v>0.86999999999999988</v>
      </c>
      <c r="AI16" s="1182">
        <f t="shared" si="15"/>
        <v>6.8000000000000005E-2</v>
      </c>
      <c r="AJ16" s="1182">
        <f t="shared" si="15"/>
        <v>362.04999999999995</v>
      </c>
      <c r="AK16" s="1182">
        <f t="shared" ref="AK16:AO16" si="16">SUM(AK5:AK15)</f>
        <v>8.5</v>
      </c>
      <c r="AL16" s="1182">
        <f t="shared" si="16"/>
        <v>169.16899999999998</v>
      </c>
      <c r="AM16" s="1164">
        <f t="shared" si="16"/>
        <v>0.79700000000000004</v>
      </c>
      <c r="AN16" s="1182">
        <f t="shared" si="16"/>
        <v>8.6</v>
      </c>
      <c r="AO16" s="1182">
        <f t="shared" si="16"/>
        <v>3.2000000000000006</v>
      </c>
      <c r="AP16" s="1182">
        <f t="shared" si="15"/>
        <v>2.8000000000000003</v>
      </c>
      <c r="AQ16" s="1167">
        <f>SUM(AQ5:AQ15)</f>
        <v>28</v>
      </c>
      <c r="AR16" s="1182">
        <f>SUM(AR5:AR15)</f>
        <v>14.899999999999999</v>
      </c>
      <c r="AS16" s="1182">
        <f>SUM(AS5:AS15)</f>
        <v>3.8730000000000002</v>
      </c>
      <c r="AT16" s="1182">
        <f t="shared" ref="AT16" si="17">SUM(AT5:AT15)</f>
        <v>50.54999999999999</v>
      </c>
      <c r="AU16" s="1182">
        <f t="shared" si="15"/>
        <v>-5.6779999999999999</v>
      </c>
      <c r="AV16" s="1182">
        <f t="shared" si="15"/>
        <v>8.177999999999999</v>
      </c>
      <c r="AW16" s="1182">
        <f t="shared" si="15"/>
        <v>16.667999999999999</v>
      </c>
      <c r="AX16" s="1182">
        <f t="shared" si="15"/>
        <v>9.9</v>
      </c>
      <c r="AY16" s="1182">
        <f t="shared" si="15"/>
        <v>-25.860000000000003</v>
      </c>
      <c r="AZ16" s="1182">
        <f t="shared" si="15"/>
        <v>81.99</v>
      </c>
      <c r="BA16" s="1182">
        <v>0</v>
      </c>
      <c r="BB16" s="1182">
        <f t="shared" si="15"/>
        <v>24</v>
      </c>
      <c r="BC16" s="1182">
        <f t="shared" si="15"/>
        <v>7.25</v>
      </c>
      <c r="BD16" s="1182">
        <f t="shared" si="15"/>
        <v>49.8</v>
      </c>
      <c r="BE16" s="1182">
        <f t="shared" si="15"/>
        <v>9.02</v>
      </c>
      <c r="BF16" s="1182">
        <f t="shared" si="15"/>
        <v>6.2439999999999998</v>
      </c>
      <c r="BG16" s="1182">
        <f t="shared" si="15"/>
        <v>10.218</v>
      </c>
      <c r="BH16" s="1182">
        <f t="shared" si="15"/>
        <v>50.203999999999979</v>
      </c>
      <c r="BI16" s="1182">
        <f t="shared" si="15"/>
        <v>24.684000000000005</v>
      </c>
      <c r="BJ16" s="1174">
        <f>SUM(BJ5:BJ15)</f>
        <v>9.5399999999999991</v>
      </c>
    </row>
    <row r="17" spans="2:61" x14ac:dyDescent="0.25">
      <c r="R17" s="1191"/>
      <c r="S17" s="1191"/>
      <c r="W17" s="1191"/>
      <c r="X17" s="1191"/>
      <c r="AE17" s="1191"/>
      <c r="AF17" s="1191"/>
      <c r="AV17" s="1191"/>
      <c r="AW17" s="1191"/>
      <c r="AX17" s="1191"/>
      <c r="AY17" s="1191"/>
      <c r="AZ17" s="1191"/>
      <c r="BA17" s="1191"/>
      <c r="BC17" s="1191"/>
      <c r="BE17" s="1191"/>
      <c r="BF17" s="1191"/>
      <c r="BG17" s="1191"/>
    </row>
    <row r="18" spans="2:61" x14ac:dyDescent="0.25">
      <c r="R18" s="1191"/>
      <c r="S18" s="1191"/>
      <c r="W18" s="1191"/>
      <c r="X18" s="1191"/>
      <c r="AE18" s="1191"/>
      <c r="AF18" s="1191"/>
      <c r="AV18" s="1191"/>
      <c r="AW18" s="1191"/>
      <c r="AX18" s="1191"/>
      <c r="AY18" s="1191"/>
      <c r="AZ18" s="1191"/>
      <c r="BA18" s="1191"/>
      <c r="BC18" s="1191" t="s">
        <v>722</v>
      </c>
      <c r="BD18" s="1191" t="s">
        <v>722</v>
      </c>
      <c r="BE18" s="1191"/>
      <c r="BF18" s="1191" t="s">
        <v>722</v>
      </c>
      <c r="BG18" s="1191" t="s">
        <v>722</v>
      </c>
      <c r="BI18" s="1191" t="s">
        <v>722</v>
      </c>
    </row>
    <row r="19" spans="2:61" x14ac:dyDescent="0.25">
      <c r="B19" s="1194"/>
      <c r="C19" s="1194"/>
      <c r="D19" s="1194"/>
      <c r="E19" s="1194"/>
      <c r="F19" s="1194"/>
      <c r="H19" s="1194"/>
      <c r="I19" s="1194"/>
      <c r="J19" s="1194"/>
      <c r="K19" s="1194"/>
      <c r="M19" s="1194"/>
      <c r="N19" s="1194"/>
      <c r="R19" s="1191"/>
      <c r="S19" s="1191"/>
      <c r="W19" s="1191"/>
      <c r="X19" s="1191"/>
      <c r="AE19" s="1191"/>
      <c r="AF19" s="1191"/>
      <c r="AV19" s="1191"/>
      <c r="AW19" s="1191"/>
      <c r="AX19" s="1191"/>
      <c r="AY19" s="1191"/>
      <c r="AZ19" s="1191"/>
      <c r="BA19" s="1191"/>
      <c r="BC19" s="1191"/>
      <c r="BD19" t="s">
        <v>723</v>
      </c>
      <c r="BE19" s="1191"/>
      <c r="BF19" s="1191"/>
      <c r="BG19" s="1191"/>
    </row>
    <row r="20" spans="2:61" x14ac:dyDescent="0.25">
      <c r="R20" s="1191"/>
      <c r="S20" s="1191"/>
      <c r="W20" s="1191"/>
      <c r="X20" s="1191"/>
      <c r="AE20" s="1191"/>
      <c r="AF20" s="1191"/>
      <c r="AV20" s="1191"/>
      <c r="AW20" s="1191"/>
      <c r="AX20" s="1191"/>
      <c r="AY20" s="1191"/>
      <c r="AZ20" s="1191"/>
      <c r="BA20" s="1191"/>
      <c r="BC20" s="1191"/>
      <c r="BE20" s="1191"/>
      <c r="BF20" s="1191"/>
      <c r="BG20" s="1191"/>
    </row>
    <row r="21" spans="2:61" x14ac:dyDescent="0.25">
      <c r="R21" s="1191"/>
      <c r="S21" s="1191"/>
      <c r="W21" s="1191"/>
      <c r="X21" s="1191"/>
      <c r="AE21" s="1191"/>
      <c r="AF21" s="1191"/>
      <c r="AV21" s="1191"/>
      <c r="AW21" s="1191"/>
      <c r="AX21" s="1191"/>
      <c r="AY21" s="1191"/>
      <c r="AZ21" s="1191"/>
      <c r="BA21" s="1191"/>
      <c r="BC21" s="1191"/>
      <c r="BE21" s="1191"/>
      <c r="BF21" s="1191"/>
      <c r="BG21" s="1191"/>
    </row>
    <row r="22" spans="2:61" x14ac:dyDescent="0.25">
      <c r="B22" s="1194"/>
      <c r="R22" s="1191"/>
      <c r="S22" s="1191"/>
      <c r="W22" s="1191"/>
      <c r="X22" s="1191"/>
      <c r="AE22" s="1191"/>
      <c r="AF22" s="1191"/>
      <c r="AV22" s="1191"/>
      <c r="AW22" s="1191"/>
      <c r="AX22" s="1191"/>
      <c r="AY22" s="1191"/>
      <c r="AZ22" s="1191"/>
      <c r="BA22" s="1191"/>
      <c r="BC22" s="1191"/>
      <c r="BE22" s="1191"/>
      <c r="BF22" s="1191"/>
      <c r="BG22" s="1191"/>
    </row>
    <row r="23" spans="2:61" x14ac:dyDescent="0.25">
      <c r="B23" s="1194"/>
      <c r="R23" s="1191"/>
      <c r="S23" s="1191"/>
      <c r="W23" s="1191"/>
      <c r="X23" s="1191"/>
      <c r="AE23" s="1191"/>
      <c r="AF23" s="1191"/>
      <c r="AV23" s="1191"/>
      <c r="AW23" s="1191"/>
      <c r="AX23" s="1191"/>
      <c r="AY23" s="1191"/>
      <c r="AZ23" s="1191"/>
      <c r="BA23" s="1191"/>
      <c r="BC23" s="1191"/>
      <c r="BE23" s="1191"/>
      <c r="BF23" s="1191"/>
      <c r="BG23" s="1191"/>
    </row>
    <row r="24" spans="2:61" x14ac:dyDescent="0.25">
      <c r="B24" s="1194"/>
      <c r="R24" s="1191"/>
      <c r="S24" s="1191"/>
      <c r="W24" s="1191"/>
      <c r="X24" s="1191"/>
      <c r="AE24" s="1191"/>
      <c r="AF24" s="1191"/>
      <c r="AV24" s="1191"/>
      <c r="AW24" s="1191"/>
      <c r="AX24" s="1191"/>
      <c r="AY24" s="1191"/>
      <c r="AZ24" s="1191"/>
      <c r="BA24" s="1191"/>
      <c r="BC24" s="1191"/>
      <c r="BE24" s="1191"/>
      <c r="BF24" s="1191"/>
      <c r="BG24" s="1191"/>
    </row>
    <row r="25" spans="2:61" x14ac:dyDescent="0.25">
      <c r="B25" s="1194"/>
      <c r="R25" s="1191"/>
      <c r="S25" s="1191"/>
      <c r="W25" s="1191"/>
      <c r="X25" s="1191"/>
      <c r="AE25" s="1191"/>
      <c r="AF25" s="1191"/>
      <c r="AV25" s="1191"/>
      <c r="AW25" s="1191"/>
      <c r="AX25" s="1191"/>
      <c r="AY25" s="1191"/>
      <c r="AZ25" s="1191"/>
      <c r="BA25" s="1191"/>
      <c r="BC25" s="1191"/>
      <c r="BE25" s="1191"/>
      <c r="BF25" s="1191"/>
      <c r="BG25" s="1191"/>
    </row>
    <row r="26" spans="2:61" x14ac:dyDescent="0.25">
      <c r="B26" s="1194"/>
      <c r="R26" s="1191"/>
      <c r="S26" s="1191"/>
      <c r="W26" s="1191"/>
      <c r="X26" s="1191"/>
      <c r="AE26" s="1191"/>
      <c r="AF26" s="1191"/>
      <c r="AV26" s="1191"/>
      <c r="AW26" s="1191"/>
      <c r="AX26" s="1191"/>
      <c r="AY26" s="1191"/>
      <c r="AZ26" s="1191"/>
      <c r="BA26" s="1191"/>
      <c r="BC26" s="1191"/>
      <c r="BE26" s="1191"/>
      <c r="BF26" s="1191"/>
      <c r="BG26" s="1191"/>
    </row>
    <row r="27" spans="2:61" x14ac:dyDescent="0.25">
      <c r="B27" s="1194"/>
      <c r="R27" s="1191"/>
      <c r="S27" s="1191"/>
      <c r="W27" s="1191"/>
      <c r="X27" s="1191"/>
      <c r="AE27" s="1191"/>
      <c r="AF27" s="1191"/>
      <c r="AV27" s="1191"/>
      <c r="AW27" s="1191"/>
      <c r="AX27" s="1191"/>
      <c r="AY27" s="1191"/>
      <c r="AZ27" s="1191"/>
      <c r="BA27" s="1191"/>
      <c r="BC27" s="1191"/>
      <c r="BE27" s="1191"/>
      <c r="BF27" s="1191"/>
      <c r="BG27" s="1191"/>
    </row>
    <row r="28" spans="2:61" x14ac:dyDescent="0.25">
      <c r="B28" s="1194"/>
      <c r="R28" s="1191"/>
      <c r="S28" s="1191"/>
      <c r="W28" s="1191"/>
      <c r="X28" s="1191"/>
      <c r="AE28" s="1191"/>
      <c r="AF28" s="1191"/>
      <c r="AV28" s="1191"/>
      <c r="AW28" s="1191"/>
      <c r="AX28" s="1191"/>
      <c r="AY28" s="1191"/>
      <c r="AZ28" s="1191"/>
      <c r="BA28" s="1191"/>
      <c r="BC28" s="1191"/>
      <c r="BE28" s="1191"/>
      <c r="BF28" s="1191"/>
      <c r="BG28" s="1191"/>
    </row>
    <row r="29" spans="2:61" x14ac:dyDescent="0.25">
      <c r="R29" s="1191"/>
      <c r="S29" s="1191"/>
      <c r="W29" s="1191"/>
      <c r="X29" s="1191"/>
      <c r="AE29" s="1191"/>
      <c r="AF29" s="1191"/>
      <c r="AV29" s="1191"/>
      <c r="AW29" s="1191"/>
      <c r="AX29" s="1191"/>
      <c r="AY29" s="1191"/>
      <c r="AZ29" s="1191"/>
      <c r="BA29" s="1191"/>
      <c r="BC29" s="1191"/>
      <c r="BE29" s="1191"/>
      <c r="BF29" s="1191"/>
      <c r="BG29" s="1191"/>
    </row>
    <row r="30" spans="2:61" x14ac:dyDescent="0.25">
      <c r="R30" s="1191"/>
      <c r="S30" s="1191"/>
      <c r="W30" s="1191"/>
      <c r="X30" s="1191"/>
      <c r="AE30" s="1191"/>
      <c r="AF30" s="1191"/>
      <c r="AV30" s="1191"/>
      <c r="AW30" s="1191"/>
      <c r="AX30" s="1191"/>
      <c r="AY30" s="1191"/>
      <c r="AZ30" s="1191"/>
      <c r="BA30" s="1191"/>
      <c r="BC30" s="1191"/>
      <c r="BE30" s="1191"/>
      <c r="BF30" s="1191"/>
      <c r="BG30" s="1191"/>
    </row>
    <row r="31" spans="2:61" x14ac:dyDescent="0.25">
      <c r="R31" s="1191"/>
      <c r="S31" s="1191"/>
      <c r="W31" s="1191"/>
      <c r="X31" s="1191"/>
      <c r="AE31" s="1191"/>
      <c r="AF31" s="1191"/>
      <c r="AV31" s="1191"/>
      <c r="AW31" s="1191"/>
      <c r="AX31" s="1191"/>
      <c r="AY31" s="1191"/>
      <c r="AZ31" s="1191"/>
      <c r="BA31" s="1191"/>
      <c r="BC31" s="1191"/>
      <c r="BE31" s="1191"/>
      <c r="BF31" s="1191"/>
      <c r="BG31" s="1191"/>
    </row>
    <row r="32" spans="2:61" x14ac:dyDescent="0.25">
      <c r="R32" s="1191"/>
      <c r="S32" s="1191"/>
      <c r="W32" s="1191"/>
      <c r="X32" s="1191"/>
      <c r="AE32" s="1191"/>
      <c r="AF32" s="1191"/>
      <c r="AV32" s="1191"/>
      <c r="AW32" s="1191"/>
      <c r="AX32" s="1191"/>
      <c r="AY32" s="1191"/>
      <c r="AZ32" s="1191"/>
      <c r="BA32" s="1191"/>
      <c r="BC32" s="1191"/>
      <c r="BE32" s="1191"/>
      <c r="BF32" s="1191"/>
      <c r="BG32" s="1191"/>
    </row>
    <row r="33" spans="18:59" x14ac:dyDescent="0.25">
      <c r="R33" s="1191"/>
      <c r="S33" s="1191"/>
      <c r="W33" s="1191"/>
      <c r="X33" s="1191"/>
      <c r="AE33" s="1191"/>
      <c r="AF33" s="1191"/>
      <c r="AV33" s="1191"/>
      <c r="AW33" s="1191"/>
      <c r="AX33" s="1191"/>
      <c r="AY33" s="1191"/>
      <c r="AZ33" s="1191"/>
      <c r="BA33" s="1191"/>
      <c r="BC33" s="1191"/>
      <c r="BE33" s="1191"/>
      <c r="BF33" s="1191"/>
      <c r="BG33" s="1191"/>
    </row>
    <row r="34" spans="18:59" x14ac:dyDescent="0.25">
      <c r="R34" s="1191"/>
      <c r="S34" s="1191"/>
      <c r="W34" s="1191"/>
      <c r="X34" s="1191"/>
      <c r="AE34" s="1191"/>
      <c r="AF34" s="1191"/>
      <c r="AV34" s="1191"/>
      <c r="AW34" s="1191"/>
      <c r="AX34" s="1191"/>
      <c r="AY34" s="1191"/>
      <c r="AZ34" s="1191"/>
      <c r="BA34" s="1191"/>
      <c r="BC34" s="1191"/>
      <c r="BE34" s="1191"/>
      <c r="BF34" s="1191"/>
      <c r="BG34" s="1191"/>
    </row>
    <row r="35" spans="18:59" x14ac:dyDescent="0.25">
      <c r="R35" s="1191"/>
      <c r="S35" s="1191"/>
      <c r="W35" s="1191"/>
      <c r="X35" s="1191"/>
      <c r="AE35" s="1191"/>
      <c r="AF35" s="1191"/>
      <c r="AV35" s="1191"/>
      <c r="AW35" s="1191"/>
      <c r="AX35" s="1191"/>
      <c r="AY35" s="1191"/>
      <c r="AZ35" s="1191"/>
      <c r="BA35" s="1191"/>
      <c r="BC35" s="1191"/>
      <c r="BE35" s="1191"/>
      <c r="BF35" s="1191"/>
      <c r="BG35" s="1191"/>
    </row>
    <row r="36" spans="18:59" x14ac:dyDescent="0.25">
      <c r="R36" s="1191"/>
      <c r="S36" s="1191"/>
      <c r="W36" s="1191"/>
      <c r="X36" s="1191"/>
      <c r="AE36" s="1191"/>
      <c r="AF36" s="1191"/>
      <c r="AV36" s="1191"/>
      <c r="AW36" s="1191"/>
      <c r="AX36" s="1191"/>
      <c r="AY36" s="1191"/>
      <c r="AZ36" s="1191"/>
      <c r="BA36" s="1191"/>
      <c r="BC36" s="1191"/>
      <c r="BE36" s="1191"/>
      <c r="BF36" s="1191"/>
      <c r="BG36" s="1191"/>
    </row>
    <row r="37" spans="18:59" x14ac:dyDescent="0.25">
      <c r="R37" s="1191"/>
      <c r="S37" s="1191"/>
      <c r="W37" s="1191"/>
      <c r="X37" s="1191"/>
      <c r="AE37" s="1191"/>
      <c r="AF37" s="1191"/>
      <c r="AV37" s="1191"/>
      <c r="AW37" s="1191"/>
      <c r="AX37" s="1191"/>
      <c r="AY37" s="1191"/>
      <c r="AZ37" s="1191"/>
      <c r="BA37" s="1191"/>
      <c r="BC37" s="1191"/>
      <c r="BE37" s="1191"/>
      <c r="BF37" s="1191"/>
      <c r="BG37" s="1191"/>
    </row>
    <row r="38" spans="18:59" x14ac:dyDescent="0.25">
      <c r="R38" s="1191"/>
      <c r="S38" s="1191"/>
      <c r="W38" s="1191"/>
      <c r="X38" s="1191"/>
      <c r="AE38" s="1191"/>
      <c r="AF38" s="1191"/>
      <c r="AV38" s="1191"/>
      <c r="AW38" s="1191"/>
      <c r="AX38" s="1191"/>
      <c r="AY38" s="1191"/>
      <c r="AZ38" s="1191"/>
      <c r="BA38" s="1191"/>
      <c r="BC38" s="1191"/>
      <c r="BE38" s="1191"/>
      <c r="BF38" s="1191"/>
      <c r="BG38" s="1191"/>
    </row>
    <row r="39" spans="18:59" x14ac:dyDescent="0.25">
      <c r="R39" s="1191"/>
      <c r="S39" s="1191"/>
      <c r="W39" s="1191"/>
      <c r="X39" s="1191"/>
      <c r="AE39" s="1191"/>
      <c r="AF39" s="1191"/>
      <c r="AV39" s="1191"/>
      <c r="AW39" s="1191"/>
      <c r="AX39" s="1191"/>
      <c r="AY39" s="1191"/>
      <c r="AZ39" s="1191"/>
      <c r="BA39" s="1191"/>
      <c r="BC39" s="1191"/>
      <c r="BE39" s="1191"/>
      <c r="BF39" s="1191"/>
      <c r="BG39" s="1191"/>
    </row>
    <row r="40" spans="18:59" x14ac:dyDescent="0.25">
      <c r="R40" s="1191"/>
      <c r="S40" s="1191"/>
      <c r="W40" s="1191"/>
      <c r="X40" s="1191"/>
      <c r="AE40" s="1191"/>
      <c r="AF40" s="1191"/>
      <c r="AV40" s="1191"/>
      <c r="AW40" s="1191"/>
      <c r="AX40" s="1191"/>
      <c r="AY40" s="1191"/>
      <c r="AZ40" s="1191"/>
      <c r="BA40" s="1191"/>
      <c r="BC40" s="1191"/>
      <c r="BE40" s="1191"/>
      <c r="BF40" s="1191"/>
      <c r="BG40" s="1191"/>
    </row>
    <row r="41" spans="18:59" x14ac:dyDescent="0.25">
      <c r="R41" s="1191"/>
      <c r="S41" s="1191"/>
      <c r="W41" s="1191"/>
      <c r="X41" s="1191"/>
      <c r="AE41" s="1191"/>
      <c r="AF41" s="1191"/>
      <c r="AV41" s="1191"/>
      <c r="AW41" s="1191"/>
      <c r="AX41" s="1191"/>
      <c r="AY41" s="1191"/>
      <c r="AZ41" s="1191"/>
      <c r="BA41" s="1191"/>
      <c r="BC41" s="1191"/>
      <c r="BE41" s="1191"/>
      <c r="BF41" s="1191"/>
      <c r="BG41" s="1191"/>
    </row>
    <row r="42" spans="18:59" x14ac:dyDescent="0.25">
      <c r="R42" s="1191"/>
      <c r="S42" s="1191"/>
      <c r="W42" s="1191"/>
      <c r="X42" s="1191"/>
      <c r="AE42" s="1191"/>
      <c r="AF42" s="1191"/>
      <c r="AV42" s="1191"/>
      <c r="AW42" s="1191"/>
      <c r="AX42" s="1191"/>
      <c r="AY42" s="1191"/>
      <c r="AZ42" s="1191"/>
      <c r="BA42" s="1191"/>
      <c r="BC42" s="1191"/>
      <c r="BE42" s="1191"/>
      <c r="BF42" s="1191"/>
      <c r="BG42" s="1191"/>
    </row>
    <row r="43" spans="18:59" x14ac:dyDescent="0.25">
      <c r="R43" s="1191"/>
      <c r="S43" s="1191"/>
      <c r="W43" s="1191"/>
      <c r="X43" s="1191"/>
      <c r="AE43" s="1191"/>
      <c r="AF43" s="1191"/>
      <c r="AV43" s="1191"/>
      <c r="AW43" s="1191"/>
      <c r="AX43" s="1191"/>
      <c r="AY43" s="1191"/>
      <c r="AZ43" s="1191"/>
      <c r="BA43" s="1191"/>
      <c r="BC43" s="1191"/>
      <c r="BE43" s="1191"/>
      <c r="BF43" s="1191"/>
      <c r="BG43" s="1191"/>
    </row>
    <row r="44" spans="18:59" x14ac:dyDescent="0.25">
      <c r="R44" s="1191"/>
      <c r="S44" s="1191"/>
      <c r="W44" s="1191"/>
      <c r="X44" s="1191"/>
      <c r="AE44" s="1191"/>
      <c r="AF44" s="1191"/>
      <c r="AV44" s="1191"/>
      <c r="AW44" s="1191"/>
      <c r="AX44" s="1191"/>
      <c r="AY44" s="1191"/>
      <c r="AZ44" s="1191"/>
      <c r="BA44" s="1191"/>
      <c r="BC44" s="1191"/>
      <c r="BE44" s="1191"/>
      <c r="BF44" s="1191"/>
      <c r="BG44" s="1191"/>
    </row>
    <row r="45" spans="18:59" x14ac:dyDescent="0.25">
      <c r="R45" s="1191"/>
      <c r="S45" s="1191"/>
      <c r="W45" s="1191"/>
      <c r="X45" s="1191"/>
      <c r="AE45" s="1191"/>
      <c r="AF45" s="1191"/>
      <c r="AV45" s="1191"/>
      <c r="AW45" s="1191"/>
      <c r="AX45" s="1191"/>
      <c r="AY45" s="1191"/>
      <c r="AZ45" s="1191"/>
      <c r="BA45" s="1191"/>
      <c r="BC45" s="1191"/>
      <c r="BE45" s="1191"/>
      <c r="BF45" s="1191"/>
      <c r="BG45" s="1191"/>
    </row>
    <row r="46" spans="18:59" x14ac:dyDescent="0.25">
      <c r="R46" s="1191"/>
      <c r="S46" s="1191"/>
      <c r="W46" s="1191"/>
      <c r="X46" s="1191"/>
      <c r="AE46" s="1191"/>
      <c r="AF46" s="1191"/>
      <c r="AV46" s="1191"/>
      <c r="AW46" s="1191"/>
      <c r="AX46" s="1191"/>
      <c r="AY46" s="1191"/>
      <c r="AZ46" s="1191"/>
      <c r="BA46" s="1191"/>
      <c r="BC46" s="1191"/>
      <c r="BE46" s="1191"/>
      <c r="BF46" s="1191"/>
      <c r="BG46" s="1191"/>
    </row>
    <row r="47" spans="18:59" x14ac:dyDescent="0.25">
      <c r="R47" s="1191"/>
      <c r="S47" s="1191"/>
      <c r="W47" s="1191"/>
      <c r="X47" s="1191"/>
      <c r="AE47" s="1191"/>
      <c r="AF47" s="1191"/>
      <c r="AV47" s="1191"/>
      <c r="AW47" s="1191"/>
      <c r="AX47" s="1191"/>
      <c r="AY47" s="1191"/>
      <c r="AZ47" s="1191"/>
      <c r="BA47" s="1191"/>
      <c r="BC47" s="1191"/>
      <c r="BE47" s="1191"/>
      <c r="BF47" s="1191"/>
      <c r="BG47" s="1191"/>
    </row>
    <row r="48" spans="18:59" x14ac:dyDescent="0.25">
      <c r="R48" s="1191"/>
      <c r="S48" s="1191"/>
      <c r="W48" s="1191"/>
      <c r="X48" s="1191"/>
      <c r="AE48" s="1191"/>
      <c r="AF48" s="1191"/>
      <c r="AV48" s="1191"/>
      <c r="AW48" s="1191"/>
      <c r="AX48" s="1191"/>
      <c r="AY48" s="1191"/>
      <c r="AZ48" s="1191"/>
      <c r="BA48" s="1191"/>
      <c r="BC48" s="1191"/>
      <c r="BE48" s="1191"/>
      <c r="BF48" s="1191"/>
      <c r="BG48" s="1191"/>
    </row>
    <row r="49" spans="18:59" x14ac:dyDescent="0.25">
      <c r="R49" s="1191"/>
      <c r="S49" s="1191"/>
      <c r="W49" s="1191"/>
      <c r="X49" s="1191"/>
      <c r="AE49" s="1191"/>
      <c r="AF49" s="1191"/>
      <c r="AV49" s="1191"/>
      <c r="AW49" s="1191"/>
      <c r="AX49" s="1191"/>
      <c r="AY49" s="1191"/>
      <c r="AZ49" s="1191"/>
      <c r="BA49" s="1191"/>
      <c r="BC49" s="1191"/>
      <c r="BE49" s="1191"/>
      <c r="BF49" s="1191"/>
      <c r="BG49" s="1191"/>
    </row>
    <row r="50" spans="18:59" x14ac:dyDescent="0.25">
      <c r="R50" s="1191"/>
      <c r="S50" s="1191"/>
      <c r="W50" s="1191"/>
      <c r="X50" s="1191"/>
      <c r="AE50" s="1191"/>
      <c r="AF50" s="1191"/>
      <c r="AV50" s="1191"/>
      <c r="AW50" s="1191"/>
      <c r="AX50" s="1191"/>
      <c r="AY50" s="1191"/>
      <c r="AZ50" s="1191"/>
      <c r="BA50" s="1191"/>
      <c r="BC50" s="1191"/>
      <c r="BE50" s="1191"/>
      <c r="BF50" s="1191"/>
      <c r="BG50" s="1191"/>
    </row>
    <row r="51" spans="18:59" x14ac:dyDescent="0.25">
      <c r="R51" s="1191"/>
      <c r="S51" s="1191"/>
      <c r="W51" s="1191"/>
      <c r="X51" s="1191"/>
      <c r="AE51" s="1191"/>
      <c r="AF51" s="1191"/>
      <c r="AV51" s="1191"/>
      <c r="AW51" s="1191"/>
      <c r="AX51" s="1191"/>
      <c r="AY51" s="1191"/>
      <c r="AZ51" s="1191"/>
      <c r="BA51" s="1191"/>
      <c r="BC51" s="1191"/>
      <c r="BE51" s="1191"/>
      <c r="BF51" s="1191"/>
      <c r="BG51" s="1191"/>
    </row>
    <row r="52" spans="18:59" x14ac:dyDescent="0.25">
      <c r="R52" s="1191"/>
      <c r="S52" s="1191"/>
      <c r="W52" s="1191"/>
      <c r="X52" s="1191"/>
      <c r="AE52" s="1191"/>
      <c r="AF52" s="1191"/>
      <c r="AV52" s="1191"/>
      <c r="AW52" s="1191"/>
      <c r="AX52" s="1191"/>
      <c r="AY52" s="1191"/>
      <c r="AZ52" s="1191"/>
      <c r="BA52" s="1191"/>
      <c r="BC52" s="1191"/>
      <c r="BE52" s="1191"/>
      <c r="BF52" s="1191"/>
      <c r="BG52" s="1191"/>
    </row>
    <row r="53" spans="18:59" x14ac:dyDescent="0.25">
      <c r="R53" s="1191"/>
      <c r="S53" s="1191"/>
      <c r="W53" s="1191"/>
      <c r="X53" s="1191"/>
      <c r="AE53" s="1191"/>
      <c r="AF53" s="1191"/>
      <c r="AV53" s="1191"/>
      <c r="AW53" s="1191"/>
      <c r="AX53" s="1191"/>
      <c r="AY53" s="1191"/>
      <c r="AZ53" s="1191"/>
      <c r="BA53" s="1191"/>
      <c r="BC53" s="1191"/>
      <c r="BE53" s="1191"/>
      <c r="BF53" s="1191"/>
      <c r="BG53" s="1191"/>
    </row>
    <row r="54" spans="18:59" x14ac:dyDescent="0.25">
      <c r="R54" s="1191"/>
      <c r="S54" s="1191"/>
      <c r="W54" s="1191"/>
      <c r="X54" s="1191"/>
      <c r="AE54" s="1191"/>
      <c r="AF54" s="1191"/>
      <c r="AV54" s="1191"/>
      <c r="AW54" s="1191"/>
      <c r="AX54" s="1191"/>
      <c r="AY54" s="1191"/>
      <c r="AZ54" s="1191"/>
      <c r="BA54" s="1191"/>
      <c r="BC54" s="1191"/>
      <c r="BE54" s="1191"/>
      <c r="BF54" s="1191"/>
      <c r="BG54" s="1191"/>
    </row>
    <row r="55" spans="18:59" x14ac:dyDescent="0.25">
      <c r="R55" s="1191"/>
      <c r="S55" s="1191"/>
      <c r="W55" s="1191"/>
      <c r="X55" s="1191"/>
      <c r="AE55" s="1191"/>
      <c r="AF55" s="1191"/>
      <c r="AV55" s="1191"/>
      <c r="AW55" s="1191"/>
      <c r="AX55" s="1191"/>
      <c r="AY55" s="1191"/>
      <c r="AZ55" s="1191"/>
      <c r="BA55" s="1191"/>
      <c r="BC55" s="1191"/>
      <c r="BE55" s="1191"/>
      <c r="BF55" s="1191"/>
      <c r="BG55" s="1191"/>
    </row>
    <row r="56" spans="18:59" x14ac:dyDescent="0.25">
      <c r="R56" s="1191"/>
      <c r="S56" s="1191"/>
      <c r="W56" s="1191"/>
      <c r="X56" s="1191"/>
      <c r="AE56" s="1191"/>
      <c r="AF56" s="1191"/>
      <c r="AV56" s="1191"/>
      <c r="AW56" s="1191"/>
      <c r="AX56" s="1191"/>
      <c r="AY56" s="1191"/>
      <c r="AZ56" s="1191"/>
      <c r="BA56" s="1191"/>
      <c r="BC56" s="1191"/>
      <c r="BE56" s="1191"/>
      <c r="BF56" s="1191"/>
      <c r="BG56" s="1191"/>
    </row>
    <row r="57" spans="18:59" x14ac:dyDescent="0.25">
      <c r="R57" s="1191"/>
      <c r="S57" s="1191"/>
      <c r="W57" s="1191"/>
      <c r="X57" s="1191"/>
      <c r="AE57" s="1191"/>
      <c r="AF57" s="1191"/>
      <c r="AV57" s="1191"/>
      <c r="AW57" s="1191"/>
      <c r="AX57" s="1191"/>
      <c r="AY57" s="1191"/>
      <c r="AZ57" s="1191"/>
      <c r="BA57" s="1191"/>
      <c r="BC57" s="1191"/>
      <c r="BE57" s="1191"/>
      <c r="BF57" s="1191"/>
      <c r="BG57" s="1191"/>
    </row>
    <row r="58" spans="18:59" x14ac:dyDescent="0.25">
      <c r="R58" s="1191"/>
      <c r="S58" s="1191"/>
      <c r="W58" s="1191"/>
      <c r="X58" s="1191"/>
      <c r="AE58" s="1191"/>
      <c r="AF58" s="1191"/>
      <c r="AV58" s="1191"/>
      <c r="AW58" s="1191"/>
      <c r="AX58" s="1191"/>
      <c r="AY58" s="1191"/>
      <c r="AZ58" s="1191"/>
      <c r="BA58" s="1191"/>
      <c r="BC58" s="1191"/>
      <c r="BE58" s="1191"/>
      <c r="BF58" s="1191"/>
      <c r="BG58" s="1191"/>
    </row>
    <row r="59" spans="18:59" x14ac:dyDescent="0.25">
      <c r="R59" s="1191"/>
      <c r="S59" s="1191"/>
      <c r="W59" s="1191"/>
      <c r="X59" s="1191"/>
      <c r="AE59" s="1191"/>
      <c r="AF59" s="1191"/>
      <c r="AV59" s="1191"/>
      <c r="AW59" s="1191"/>
      <c r="AX59" s="1191"/>
      <c r="AY59" s="1191"/>
      <c r="AZ59" s="1191"/>
      <c r="BA59" s="1191"/>
      <c r="BC59" s="1191"/>
      <c r="BE59" s="1191"/>
      <c r="BF59" s="1191"/>
      <c r="BG59" s="1191"/>
    </row>
    <row r="60" spans="18:59" x14ac:dyDescent="0.25">
      <c r="R60" s="1191"/>
      <c r="S60" s="1191"/>
      <c r="W60" s="1191"/>
      <c r="X60" s="1191"/>
      <c r="AE60" s="1191"/>
      <c r="AF60" s="1191"/>
      <c r="AV60" s="1191"/>
      <c r="AW60" s="1191"/>
      <c r="AX60" s="1191"/>
      <c r="AY60" s="1191"/>
      <c r="AZ60" s="1191"/>
      <c r="BA60" s="1191"/>
      <c r="BC60" s="1191"/>
      <c r="BE60" s="1191"/>
      <c r="BF60" s="1191"/>
      <c r="BG60" s="1191"/>
    </row>
    <row r="61" spans="18:59" x14ac:dyDescent="0.25">
      <c r="R61" s="1191"/>
      <c r="S61" s="1191"/>
      <c r="W61" s="1191"/>
      <c r="X61" s="1191"/>
      <c r="AE61" s="1191"/>
      <c r="AF61" s="1191"/>
      <c r="AV61" s="1191"/>
      <c r="AW61" s="1191"/>
      <c r="AX61" s="1191"/>
      <c r="AY61" s="1191"/>
      <c r="AZ61" s="1191"/>
      <c r="BA61" s="1191"/>
      <c r="BC61" s="1191"/>
      <c r="BE61" s="1191"/>
      <c r="BF61" s="1191"/>
      <c r="BG61" s="1191"/>
    </row>
    <row r="62" spans="18:59" x14ac:dyDescent="0.25">
      <c r="R62" s="1191"/>
      <c r="S62" s="1191"/>
      <c r="W62" s="1191"/>
      <c r="X62" s="1191"/>
      <c r="AE62" s="1191"/>
      <c r="AF62" s="1191"/>
      <c r="AV62" s="1191"/>
      <c r="AW62" s="1191"/>
      <c r="AX62" s="1191"/>
      <c r="AY62" s="1191"/>
      <c r="AZ62" s="1191"/>
      <c r="BA62" s="1191"/>
      <c r="BC62" s="1191"/>
      <c r="BE62" s="1191"/>
      <c r="BF62" s="1191"/>
      <c r="BG62" s="1191"/>
    </row>
    <row r="63" spans="18:59" x14ac:dyDescent="0.25">
      <c r="R63" s="1191"/>
      <c r="S63" s="1191"/>
      <c r="W63" s="1191"/>
      <c r="X63" s="1191"/>
      <c r="AE63" s="1191"/>
      <c r="AF63" s="1191"/>
      <c r="AV63" s="1191"/>
      <c r="AW63" s="1191"/>
      <c r="AX63" s="1191"/>
      <c r="AY63" s="1191"/>
      <c r="AZ63" s="1191"/>
      <c r="BA63" s="1191"/>
      <c r="BC63" s="1191"/>
      <c r="BE63" s="1191"/>
      <c r="BF63" s="1191"/>
      <c r="BG63" s="1191"/>
    </row>
    <row r="64" spans="18:59" x14ac:dyDescent="0.25">
      <c r="R64" s="1191"/>
      <c r="S64" s="1191"/>
      <c r="W64" s="1191"/>
      <c r="X64" s="1191"/>
      <c r="AE64" s="1191"/>
      <c r="AF64" s="1191"/>
      <c r="AV64" s="1191"/>
      <c r="AW64" s="1191"/>
      <c r="AX64" s="1191"/>
      <c r="AY64" s="1191"/>
      <c r="AZ64" s="1191"/>
      <c r="BA64" s="1191"/>
      <c r="BC64" s="1191"/>
      <c r="BE64" s="1191"/>
      <c r="BF64" s="1191"/>
      <c r="BG64" s="1191"/>
    </row>
    <row r="65" spans="18:59" x14ac:dyDescent="0.25">
      <c r="R65" s="1191"/>
      <c r="S65" s="1191"/>
      <c r="W65" s="1191"/>
      <c r="X65" s="1191"/>
      <c r="AE65" s="1191"/>
      <c r="AF65" s="1191"/>
      <c r="AV65" s="1191"/>
      <c r="AW65" s="1191"/>
      <c r="AX65" s="1191"/>
      <c r="AY65" s="1191"/>
      <c r="AZ65" s="1191"/>
      <c r="BA65" s="1191"/>
      <c r="BC65" s="1191"/>
      <c r="BE65" s="1191"/>
      <c r="BF65" s="1191"/>
      <c r="BG65" s="1191"/>
    </row>
    <row r="66" spans="18:59" x14ac:dyDescent="0.25">
      <c r="R66" s="1191"/>
      <c r="S66" s="1191"/>
      <c r="W66" s="1191"/>
      <c r="X66" s="1191"/>
      <c r="AE66" s="1191"/>
      <c r="AF66" s="1191"/>
      <c r="AV66" s="1191"/>
      <c r="AW66" s="1191"/>
      <c r="AX66" s="1191"/>
      <c r="AY66" s="1191"/>
      <c r="AZ66" s="1191"/>
      <c r="BA66" s="1191"/>
      <c r="BC66" s="1191"/>
      <c r="BE66" s="1191"/>
      <c r="BF66" s="1191"/>
      <c r="BG66" s="1191"/>
    </row>
    <row r="67" spans="18:59" x14ac:dyDescent="0.25">
      <c r="R67" s="1191"/>
      <c r="S67" s="1191"/>
      <c r="W67" s="1191"/>
      <c r="X67" s="1191"/>
      <c r="AE67" s="1191"/>
      <c r="AF67" s="1191"/>
      <c r="AV67" s="1191"/>
      <c r="AW67" s="1191"/>
      <c r="AX67" s="1191"/>
      <c r="AY67" s="1191"/>
      <c r="AZ67" s="1191"/>
      <c r="BA67" s="1191"/>
      <c r="BC67" s="1191"/>
      <c r="BE67" s="1191"/>
      <c r="BF67" s="1191"/>
      <c r="BG67" s="1191"/>
    </row>
    <row r="68" spans="18:59" x14ac:dyDescent="0.25">
      <c r="R68" s="1191"/>
      <c r="S68" s="1191"/>
      <c r="W68" s="1191"/>
      <c r="X68" s="1191"/>
      <c r="AE68" s="1191"/>
      <c r="AF68" s="1191"/>
      <c r="AV68" s="1191"/>
      <c r="AW68" s="1191"/>
      <c r="AX68" s="1191"/>
      <c r="AY68" s="1191"/>
      <c r="AZ68" s="1191"/>
      <c r="BA68" s="1191"/>
      <c r="BC68" s="1191"/>
      <c r="BE68" s="1191"/>
      <c r="BF68" s="1191"/>
      <c r="BG68" s="1191"/>
    </row>
    <row r="69" spans="18:59" x14ac:dyDescent="0.25">
      <c r="R69" s="1191"/>
      <c r="S69" s="1191"/>
      <c r="W69" s="1191"/>
      <c r="X69" s="1191"/>
      <c r="AE69" s="1191"/>
      <c r="AF69" s="1191"/>
      <c r="AV69" s="1191"/>
      <c r="AW69" s="1191"/>
      <c r="AX69" s="1191"/>
      <c r="AY69" s="1191"/>
      <c r="AZ69" s="1191"/>
      <c r="BA69" s="1191"/>
      <c r="BC69" s="1191"/>
      <c r="BE69" s="1191"/>
      <c r="BF69" s="1191"/>
      <c r="BG69" s="1191"/>
    </row>
    <row r="70" spans="18:59" x14ac:dyDescent="0.25">
      <c r="R70" s="1191"/>
      <c r="S70" s="1191"/>
      <c r="W70" s="1191"/>
      <c r="X70" s="1191"/>
      <c r="AE70" s="1191"/>
      <c r="AF70" s="1191"/>
      <c r="AV70" s="1191"/>
      <c r="AW70" s="1191"/>
      <c r="AX70" s="1191"/>
      <c r="AY70" s="1191"/>
      <c r="AZ70" s="1191"/>
      <c r="BA70" s="1191"/>
      <c r="BC70" s="1191"/>
      <c r="BE70" s="1191"/>
      <c r="BF70" s="1191"/>
      <c r="BG70" s="1191"/>
    </row>
    <row r="71" spans="18:59" x14ac:dyDescent="0.25">
      <c r="R71" s="1191"/>
      <c r="S71" s="1191"/>
      <c r="W71" s="1191"/>
      <c r="X71" s="1191"/>
      <c r="AE71" s="1191"/>
      <c r="AF71" s="1191"/>
      <c r="AV71" s="1191"/>
      <c r="AW71" s="1191"/>
      <c r="AX71" s="1191"/>
      <c r="AY71" s="1191"/>
      <c r="AZ71" s="1191"/>
      <c r="BA71" s="1191"/>
      <c r="BC71" s="1191"/>
      <c r="BE71" s="1191"/>
      <c r="BF71" s="1191"/>
      <c r="BG71" s="1191"/>
    </row>
    <row r="72" spans="18:59" x14ac:dyDescent="0.25">
      <c r="R72" s="1191"/>
      <c r="S72" s="1191"/>
      <c r="W72" s="1191"/>
      <c r="X72" s="1191"/>
      <c r="AE72" s="1191"/>
      <c r="AF72" s="1191"/>
      <c r="AV72" s="1191"/>
      <c r="AW72" s="1191"/>
      <c r="AX72" s="1191"/>
      <c r="AY72" s="1191"/>
      <c r="AZ72" s="1191"/>
      <c r="BA72" s="1191"/>
      <c r="BC72" s="1191"/>
      <c r="BE72" s="1191"/>
      <c r="BF72" s="1191"/>
      <c r="BG72" s="1191"/>
    </row>
    <row r="73" spans="18:59" x14ac:dyDescent="0.25">
      <c r="R73" s="1191"/>
      <c r="S73" s="1191"/>
      <c r="W73" s="1191"/>
      <c r="X73" s="1191"/>
      <c r="AE73" s="1191"/>
      <c r="AF73" s="1191"/>
      <c r="AV73" s="1191"/>
      <c r="AW73" s="1191"/>
      <c r="AX73" s="1191"/>
      <c r="AY73" s="1191"/>
      <c r="AZ73" s="1191"/>
      <c r="BA73" s="1191"/>
      <c r="BC73" s="1191"/>
      <c r="BE73" s="1191"/>
      <c r="BF73" s="1191"/>
      <c r="BG73" s="1191"/>
    </row>
    <row r="74" spans="18:59" x14ac:dyDescent="0.25">
      <c r="R74" s="1191"/>
      <c r="S74" s="1191"/>
      <c r="W74" s="1191"/>
      <c r="X74" s="1191"/>
      <c r="AE74" s="1191"/>
      <c r="AF74" s="1191"/>
      <c r="AV74" s="1191"/>
      <c r="AW74" s="1191"/>
      <c r="AX74" s="1191"/>
      <c r="AY74" s="1191"/>
      <c r="AZ74" s="1191"/>
      <c r="BA74" s="1191"/>
      <c r="BC74" s="1191"/>
      <c r="BE74" s="1191"/>
      <c r="BF74" s="1191"/>
      <c r="BG74" s="1191"/>
    </row>
    <row r="75" spans="18:59" x14ac:dyDescent="0.25">
      <c r="R75" s="1191"/>
      <c r="S75" s="1191"/>
      <c r="W75" s="1191"/>
      <c r="X75" s="1191"/>
      <c r="AE75" s="1191"/>
      <c r="AF75" s="1191"/>
      <c r="AV75" s="1191"/>
      <c r="AW75" s="1191"/>
      <c r="AX75" s="1191"/>
      <c r="AY75" s="1191"/>
      <c r="AZ75" s="1191"/>
      <c r="BA75" s="1191"/>
      <c r="BC75" s="1191"/>
      <c r="BE75" s="1191"/>
      <c r="BF75" s="1191"/>
      <c r="BG75" s="1191"/>
    </row>
    <row r="76" spans="18:59" x14ac:dyDescent="0.25">
      <c r="R76" s="1191"/>
      <c r="S76" s="1191"/>
      <c r="W76" s="1191"/>
      <c r="X76" s="1191"/>
      <c r="AE76" s="1191"/>
      <c r="AF76" s="1191"/>
      <c r="AV76" s="1191"/>
      <c r="AW76" s="1191"/>
      <c r="AX76" s="1191"/>
      <c r="AY76" s="1191"/>
      <c r="AZ76" s="1191"/>
      <c r="BA76" s="1191"/>
      <c r="BC76" s="1191"/>
      <c r="BE76" s="1191"/>
      <c r="BF76" s="1191"/>
      <c r="BG76" s="1191"/>
    </row>
    <row r="77" spans="18:59" x14ac:dyDescent="0.25">
      <c r="R77" s="1191"/>
      <c r="S77" s="1191"/>
      <c r="W77" s="1191"/>
      <c r="X77" s="1191"/>
      <c r="AE77" s="1191"/>
      <c r="AF77" s="1191"/>
      <c r="AV77" s="1191"/>
      <c r="AW77" s="1191"/>
      <c r="AX77" s="1191"/>
      <c r="AY77" s="1191"/>
      <c r="AZ77" s="1191"/>
      <c r="BA77" s="1191"/>
      <c r="BC77" s="1191"/>
      <c r="BE77" s="1191"/>
      <c r="BF77" s="1191"/>
      <c r="BG77" s="1191"/>
    </row>
    <row r="78" spans="18:59" x14ac:dyDescent="0.25">
      <c r="R78" s="1191"/>
      <c r="S78" s="1191"/>
      <c r="W78" s="1191"/>
      <c r="X78" s="1191"/>
      <c r="AE78" s="1191"/>
      <c r="AF78" s="1191"/>
      <c r="AV78" s="1191"/>
      <c r="AW78" s="1191"/>
      <c r="AX78" s="1191"/>
      <c r="AY78" s="1191"/>
      <c r="AZ78" s="1191"/>
      <c r="BA78" s="1191"/>
      <c r="BC78" s="1191"/>
      <c r="BE78" s="1191"/>
      <c r="BF78" s="1191"/>
      <c r="BG78" s="1191"/>
    </row>
    <row r="79" spans="18:59" x14ac:dyDescent="0.25">
      <c r="R79" s="1191"/>
      <c r="S79" s="1191"/>
      <c r="W79" s="1191"/>
      <c r="X79" s="1191"/>
      <c r="AE79" s="1191"/>
      <c r="AF79" s="1191"/>
      <c r="AV79" s="1191"/>
      <c r="AW79" s="1191"/>
      <c r="AX79" s="1191"/>
      <c r="AY79" s="1191"/>
      <c r="AZ79" s="1191"/>
      <c r="BA79" s="1191"/>
      <c r="BC79" s="1191"/>
      <c r="BE79" s="1191"/>
      <c r="BF79" s="1191"/>
      <c r="BG79" s="1191"/>
    </row>
    <row r="80" spans="18:59" x14ac:dyDescent="0.25">
      <c r="R80" s="1191"/>
      <c r="S80" s="1191"/>
      <c r="W80" s="1191"/>
      <c r="X80" s="1191"/>
      <c r="AE80" s="1191"/>
      <c r="AF80" s="1191"/>
      <c r="AV80" s="1191"/>
      <c r="AW80" s="1191"/>
      <c r="AX80" s="1191"/>
      <c r="AY80" s="1191"/>
      <c r="AZ80" s="1191"/>
      <c r="BA80" s="1191"/>
      <c r="BC80" s="1191"/>
      <c r="BE80" s="1191"/>
      <c r="BF80" s="1191"/>
      <c r="BG80" s="1191"/>
    </row>
    <row r="81" spans="18:59" x14ac:dyDescent="0.25">
      <c r="R81" s="1191"/>
      <c r="S81" s="1191"/>
      <c r="W81" s="1191"/>
      <c r="X81" s="1191"/>
      <c r="AE81" s="1191"/>
      <c r="AF81" s="1191"/>
      <c r="AV81" s="1191"/>
      <c r="AW81" s="1191"/>
      <c r="AX81" s="1191"/>
      <c r="AY81" s="1191"/>
      <c r="AZ81" s="1191"/>
      <c r="BA81" s="1191"/>
      <c r="BC81" s="1191"/>
      <c r="BE81" s="1191"/>
      <c r="BF81" s="1191"/>
      <c r="BG81" s="1191"/>
    </row>
    <row r="82" spans="18:59" x14ac:dyDescent="0.25">
      <c r="R82" s="1191"/>
      <c r="S82" s="1191"/>
      <c r="W82" s="1191"/>
      <c r="X82" s="1191"/>
      <c r="AE82" s="1191"/>
      <c r="AF82" s="1191"/>
      <c r="AV82" s="1191"/>
      <c r="AW82" s="1191"/>
      <c r="AX82" s="1191"/>
      <c r="AY82" s="1191"/>
      <c r="AZ82" s="1191"/>
      <c r="BA82" s="1191"/>
      <c r="BC82" s="1191"/>
      <c r="BE82" s="1191"/>
      <c r="BF82" s="1191"/>
      <c r="BG82" s="1191"/>
    </row>
    <row r="83" spans="18:59" x14ac:dyDescent="0.25">
      <c r="R83" s="1191"/>
      <c r="S83" s="1191"/>
      <c r="W83" s="1191"/>
      <c r="X83" s="1191"/>
      <c r="AE83" s="1191"/>
      <c r="AF83" s="1191"/>
      <c r="AV83" s="1191"/>
      <c r="AW83" s="1191"/>
      <c r="AX83" s="1191"/>
      <c r="AY83" s="1191"/>
      <c r="AZ83" s="1191"/>
      <c r="BA83" s="1191"/>
      <c r="BC83" s="1191"/>
      <c r="BE83" s="1191"/>
      <c r="BF83" s="1191"/>
      <c r="BG83" s="1191"/>
    </row>
    <row r="84" spans="18:59" x14ac:dyDescent="0.25">
      <c r="R84" s="1191"/>
      <c r="S84" s="1191"/>
      <c r="W84" s="1191"/>
      <c r="X84" s="1191"/>
      <c r="AE84" s="1191"/>
      <c r="AF84" s="1191"/>
      <c r="AV84" s="1191"/>
      <c r="AW84" s="1191"/>
      <c r="AX84" s="1191"/>
      <c r="AY84" s="1191"/>
      <c r="AZ84" s="1191"/>
      <c r="BA84" s="1191"/>
      <c r="BC84" s="1191"/>
      <c r="BE84" s="1191"/>
      <c r="BF84" s="1191"/>
      <c r="BG84" s="1191"/>
    </row>
    <row r="85" spans="18:59" x14ac:dyDescent="0.25">
      <c r="R85" s="1191"/>
      <c r="S85" s="1191"/>
      <c r="W85" s="1191"/>
      <c r="X85" s="1191"/>
      <c r="AE85" s="1191"/>
      <c r="AF85" s="1191"/>
      <c r="AV85" s="1191"/>
      <c r="AW85" s="1191"/>
      <c r="AX85" s="1191"/>
      <c r="AY85" s="1191"/>
      <c r="AZ85" s="1191"/>
      <c r="BA85" s="1191"/>
      <c r="BC85" s="1191"/>
      <c r="BE85" s="1191"/>
      <c r="BF85" s="1191"/>
      <c r="BG85" s="1191"/>
    </row>
    <row r="86" spans="18:59" x14ac:dyDescent="0.25">
      <c r="R86" s="1191"/>
      <c r="S86" s="1191"/>
      <c r="W86" s="1191"/>
      <c r="X86" s="1191"/>
      <c r="AE86" s="1191"/>
      <c r="AF86" s="1191"/>
      <c r="AV86" s="1191"/>
      <c r="AW86" s="1191"/>
      <c r="AX86" s="1191"/>
      <c r="AY86" s="1191"/>
      <c r="AZ86" s="1191"/>
      <c r="BA86" s="1191"/>
      <c r="BC86" s="1191"/>
      <c r="BE86" s="1191"/>
      <c r="BF86" s="1191"/>
      <c r="BG86" s="1191"/>
    </row>
    <row r="87" spans="18:59" x14ac:dyDescent="0.25">
      <c r="R87" s="1191"/>
      <c r="S87" s="1191"/>
      <c r="W87" s="1191"/>
      <c r="X87" s="1191"/>
      <c r="AE87" s="1191"/>
      <c r="AF87" s="1191"/>
      <c r="AV87" s="1191"/>
      <c r="AW87" s="1191"/>
      <c r="AX87" s="1191"/>
      <c r="AY87" s="1191"/>
      <c r="AZ87" s="1191"/>
      <c r="BA87" s="1191"/>
      <c r="BC87" s="1191"/>
      <c r="BE87" s="1191"/>
      <c r="BF87" s="1191"/>
      <c r="BG87" s="1191"/>
    </row>
    <row r="88" spans="18:59" x14ac:dyDescent="0.25">
      <c r="R88" s="1191"/>
      <c r="S88" s="1191"/>
      <c r="W88" s="1191"/>
      <c r="X88" s="1191"/>
      <c r="AE88" s="1191"/>
      <c r="AF88" s="1191"/>
      <c r="AV88" s="1191"/>
      <c r="AW88" s="1191"/>
      <c r="AX88" s="1191"/>
      <c r="AY88" s="1191"/>
      <c r="AZ88" s="1191"/>
      <c r="BA88" s="1191"/>
      <c r="BC88" s="1191"/>
      <c r="BE88" s="1191"/>
      <c r="BF88" s="1191"/>
      <c r="BG88" s="1191"/>
    </row>
    <row r="89" spans="18:59" x14ac:dyDescent="0.25">
      <c r="R89" s="1191"/>
      <c r="S89" s="1191"/>
      <c r="W89" s="1191"/>
      <c r="X89" s="1191"/>
      <c r="AE89" s="1191"/>
      <c r="AF89" s="1191"/>
      <c r="AV89" s="1191"/>
      <c r="AW89" s="1191"/>
      <c r="AX89" s="1191"/>
      <c r="AY89" s="1191"/>
      <c r="AZ89" s="1191"/>
      <c r="BA89" s="1191"/>
      <c r="BC89" s="1191"/>
      <c r="BE89" s="1191"/>
      <c r="BF89" s="1191"/>
      <c r="BG89" s="1191"/>
    </row>
    <row r="90" spans="18:59" x14ac:dyDescent="0.25">
      <c r="R90" s="1191"/>
      <c r="S90" s="1191"/>
      <c r="W90" s="1191"/>
      <c r="X90" s="1191"/>
      <c r="AE90" s="1191"/>
      <c r="AF90" s="1191"/>
      <c r="AV90" s="1191"/>
      <c r="AW90" s="1191"/>
      <c r="AX90" s="1191"/>
      <c r="AY90" s="1191"/>
      <c r="AZ90" s="1191"/>
      <c r="BA90" s="1191"/>
      <c r="BC90" s="1191"/>
      <c r="BE90" s="1191"/>
      <c r="BF90" s="1191"/>
      <c r="BG90" s="1191"/>
    </row>
    <row r="91" spans="18:59" x14ac:dyDescent="0.25">
      <c r="R91" s="1191"/>
      <c r="S91" s="1191"/>
      <c r="W91" s="1191"/>
      <c r="X91" s="1191"/>
      <c r="AE91" s="1191"/>
      <c r="AF91" s="1191"/>
      <c r="AV91" s="1191"/>
      <c r="AW91" s="1191"/>
      <c r="AX91" s="1191"/>
      <c r="AY91" s="1191"/>
      <c r="AZ91" s="1191"/>
      <c r="BA91" s="1191"/>
      <c r="BC91" s="1191"/>
      <c r="BE91" s="1191"/>
      <c r="BF91" s="1191"/>
      <c r="BG91" s="1191"/>
    </row>
    <row r="92" spans="18:59" x14ac:dyDescent="0.25">
      <c r="R92" s="1191"/>
      <c r="S92" s="1191"/>
      <c r="W92" s="1191"/>
      <c r="X92" s="1191"/>
      <c r="AE92" s="1191"/>
      <c r="AF92" s="1191"/>
      <c r="AV92" s="1191"/>
      <c r="AW92" s="1191"/>
      <c r="AX92" s="1191"/>
      <c r="AY92" s="1191"/>
      <c r="AZ92" s="1191"/>
      <c r="BA92" s="1191"/>
      <c r="BC92" s="1191"/>
      <c r="BE92" s="1191"/>
      <c r="BF92" s="1191"/>
      <c r="BG92" s="1191"/>
    </row>
    <row r="93" spans="18:59" x14ac:dyDescent="0.25">
      <c r="R93" s="1191"/>
      <c r="S93" s="1191"/>
      <c r="W93" s="1191"/>
      <c r="X93" s="1191"/>
      <c r="AE93" s="1191"/>
      <c r="AF93" s="1191"/>
      <c r="AV93" s="1191"/>
      <c r="AW93" s="1191"/>
      <c r="AX93" s="1191"/>
      <c r="AY93" s="1191"/>
      <c r="AZ93" s="1191"/>
      <c r="BA93" s="1191"/>
      <c r="BC93" s="1191"/>
      <c r="BE93" s="1191"/>
      <c r="BF93" s="1191"/>
      <c r="BG93" s="1191"/>
    </row>
    <row r="94" spans="18:59" x14ac:dyDescent="0.25">
      <c r="R94" s="1191"/>
      <c r="S94" s="1191"/>
      <c r="W94" s="1191"/>
      <c r="X94" s="1191"/>
      <c r="AE94" s="1191"/>
      <c r="AF94" s="1191"/>
      <c r="AV94" s="1191"/>
      <c r="AW94" s="1191"/>
      <c r="AX94" s="1191"/>
      <c r="AY94" s="1191"/>
      <c r="AZ94" s="1191"/>
      <c r="BA94" s="1191"/>
      <c r="BC94" s="1191"/>
      <c r="BE94" s="1191"/>
      <c r="BF94" s="1191"/>
      <c r="BG94" s="1191"/>
    </row>
    <row r="95" spans="18:59" x14ac:dyDescent="0.25">
      <c r="R95" s="1191"/>
      <c r="S95" s="1191"/>
      <c r="W95" s="1191"/>
      <c r="X95" s="1191"/>
      <c r="AE95" s="1191"/>
      <c r="AF95" s="1191"/>
      <c r="AV95" s="1191"/>
      <c r="AW95" s="1191"/>
      <c r="AX95" s="1191"/>
      <c r="AY95" s="1191"/>
      <c r="AZ95" s="1191"/>
      <c r="BA95" s="1191"/>
      <c r="BC95" s="1191"/>
      <c r="BE95" s="1191"/>
      <c r="BF95" s="1191"/>
      <c r="BG95" s="1191"/>
    </row>
    <row r="96" spans="18:59" x14ac:dyDescent="0.25">
      <c r="R96" s="1191"/>
      <c r="S96" s="1191"/>
      <c r="W96" s="1191"/>
      <c r="X96" s="1191"/>
      <c r="AE96" s="1191"/>
      <c r="AF96" s="1191"/>
      <c r="AV96" s="1191"/>
      <c r="AW96" s="1191"/>
      <c r="AX96" s="1191"/>
      <c r="AY96" s="1191"/>
      <c r="AZ96" s="1191"/>
      <c r="BA96" s="1191"/>
      <c r="BC96" s="1191"/>
      <c r="BE96" s="1191"/>
      <c r="BF96" s="1191"/>
      <c r="BG96" s="1191"/>
    </row>
    <row r="97" spans="18:59" x14ac:dyDescent="0.25">
      <c r="R97" s="1191"/>
      <c r="S97" s="1191"/>
      <c r="W97" s="1191"/>
      <c r="X97" s="1191"/>
      <c r="AE97" s="1191"/>
      <c r="AF97" s="1191"/>
      <c r="AV97" s="1191"/>
      <c r="AW97" s="1191"/>
      <c r="AX97" s="1191"/>
      <c r="AY97" s="1191"/>
      <c r="AZ97" s="1191"/>
      <c r="BA97" s="1191"/>
      <c r="BC97" s="1191"/>
      <c r="BE97" s="1191"/>
      <c r="BF97" s="1191"/>
      <c r="BG97" s="1191"/>
    </row>
    <row r="98" spans="18:59" x14ac:dyDescent="0.25">
      <c r="R98" s="1191"/>
      <c r="S98" s="1191"/>
      <c r="W98" s="1191"/>
      <c r="X98" s="1191"/>
      <c r="AE98" s="1191"/>
      <c r="AF98" s="1191"/>
      <c r="AV98" s="1191"/>
      <c r="AW98" s="1191"/>
      <c r="AX98" s="1191"/>
      <c r="AY98" s="1191"/>
      <c r="AZ98" s="1191"/>
      <c r="BA98" s="1191"/>
      <c r="BC98" s="1191"/>
      <c r="BE98" s="1191"/>
      <c r="BF98" s="1191"/>
      <c r="BG98" s="1191"/>
    </row>
    <row r="99" spans="18:59" x14ac:dyDescent="0.25">
      <c r="R99" s="1191"/>
      <c r="S99" s="1191"/>
      <c r="W99" s="1191"/>
      <c r="X99" s="1191"/>
      <c r="AE99" s="1191"/>
      <c r="AF99" s="1191"/>
      <c r="AV99" s="1191"/>
      <c r="AW99" s="1191"/>
      <c r="AX99" s="1191"/>
      <c r="AY99" s="1191"/>
      <c r="AZ99" s="1191"/>
      <c r="BA99" s="1191"/>
      <c r="BC99" s="1191"/>
      <c r="BE99" s="1191"/>
      <c r="BF99" s="1191"/>
      <c r="BG99" s="1191"/>
    </row>
    <row r="100" spans="18:59" x14ac:dyDescent="0.25">
      <c r="R100" s="1191"/>
      <c r="S100" s="1191"/>
      <c r="W100" s="1191"/>
      <c r="X100" s="1191"/>
      <c r="AE100" s="1191"/>
      <c r="AF100" s="1191"/>
      <c r="AV100" s="1191"/>
      <c r="AW100" s="1191"/>
      <c r="AX100" s="1191"/>
      <c r="AY100" s="1191"/>
      <c r="AZ100" s="1191"/>
      <c r="BA100" s="1191"/>
      <c r="BC100" s="1191"/>
      <c r="BE100" s="1191"/>
      <c r="BF100" s="1191"/>
      <c r="BG100" s="1191"/>
    </row>
    <row r="101" spans="18:59" x14ac:dyDescent="0.25">
      <c r="R101" s="1191"/>
      <c r="S101" s="1191"/>
      <c r="W101" s="1191"/>
      <c r="X101" s="1191"/>
      <c r="AE101" s="1191"/>
      <c r="AF101" s="1191"/>
      <c r="AV101" s="1191"/>
      <c r="AW101" s="1191"/>
      <c r="AX101" s="1191"/>
      <c r="AY101" s="1191"/>
      <c r="AZ101" s="1191"/>
      <c r="BA101" s="1191"/>
      <c r="BC101" s="1191"/>
      <c r="BE101" s="1191"/>
      <c r="BF101" s="1191"/>
      <c r="BG101" s="1191"/>
    </row>
    <row r="102" spans="18:59" x14ac:dyDescent="0.25">
      <c r="R102" s="1191"/>
      <c r="S102" s="1191"/>
      <c r="W102" s="1191"/>
      <c r="X102" s="1191"/>
      <c r="AE102" s="1191"/>
      <c r="AF102" s="1191"/>
      <c r="AV102" s="1191"/>
      <c r="AW102" s="1191"/>
      <c r="AX102" s="1191"/>
      <c r="AY102" s="1191"/>
      <c r="AZ102" s="1191"/>
      <c r="BA102" s="1191"/>
      <c r="BC102" s="1191"/>
      <c r="BE102" s="1191"/>
      <c r="BF102" s="1191"/>
      <c r="BG102" s="1191"/>
    </row>
    <row r="103" spans="18:59" x14ac:dyDescent="0.25">
      <c r="R103" s="1191"/>
      <c r="S103" s="1191"/>
      <c r="W103" s="1191"/>
      <c r="X103" s="1191"/>
      <c r="AE103" s="1191"/>
      <c r="AF103" s="1191"/>
      <c r="AV103" s="1191"/>
      <c r="AW103" s="1191"/>
      <c r="AX103" s="1191"/>
      <c r="AY103" s="1191"/>
      <c r="AZ103" s="1191"/>
      <c r="BA103" s="1191"/>
      <c r="BC103" s="1191"/>
      <c r="BE103" s="1191"/>
      <c r="BF103" s="1191"/>
      <c r="BG103" s="1191"/>
    </row>
    <row r="104" spans="18:59" x14ac:dyDescent="0.25">
      <c r="R104" s="1191"/>
      <c r="S104" s="1191"/>
      <c r="W104" s="1191"/>
      <c r="X104" s="1191"/>
      <c r="AE104" s="1191"/>
      <c r="AF104" s="1191"/>
      <c r="AV104" s="1191"/>
      <c r="AW104" s="1191"/>
      <c r="AX104" s="1191"/>
      <c r="AY104" s="1191"/>
      <c r="AZ104" s="1191"/>
      <c r="BA104" s="1191"/>
      <c r="BC104" s="1191"/>
      <c r="BE104" s="1191"/>
      <c r="BF104" s="1191"/>
      <c r="BG104" s="1191"/>
    </row>
    <row r="105" spans="18:59" x14ac:dyDescent="0.25">
      <c r="R105" s="1191"/>
      <c r="S105" s="1191"/>
      <c r="W105" s="1191"/>
      <c r="X105" s="1191"/>
      <c r="AE105" s="1191"/>
      <c r="AF105" s="1191"/>
      <c r="AV105" s="1191"/>
      <c r="AW105" s="1191"/>
      <c r="AX105" s="1191"/>
      <c r="AY105" s="1191"/>
      <c r="AZ105" s="1191"/>
      <c r="BA105" s="1191"/>
      <c r="BC105" s="1191"/>
      <c r="BE105" s="1191"/>
      <c r="BF105" s="1191"/>
      <c r="BG105" s="1191"/>
    </row>
    <row r="106" spans="18:59" x14ac:dyDescent="0.25">
      <c r="R106" s="1191"/>
      <c r="S106" s="1191"/>
      <c r="W106" s="1191"/>
      <c r="X106" s="1191"/>
      <c r="AE106" s="1191"/>
      <c r="AF106" s="1191"/>
      <c r="AV106" s="1191"/>
      <c r="AW106" s="1191"/>
      <c r="AX106" s="1191"/>
      <c r="AY106" s="1191"/>
      <c r="AZ106" s="1191"/>
      <c r="BA106" s="1191"/>
      <c r="BC106" s="1191"/>
      <c r="BE106" s="1191"/>
      <c r="BF106" s="1191"/>
      <c r="BG106" s="1191"/>
    </row>
    <row r="107" spans="18:59" x14ac:dyDescent="0.25">
      <c r="R107" s="1191"/>
      <c r="S107" s="1191"/>
      <c r="W107" s="1191"/>
      <c r="X107" s="1191"/>
      <c r="AE107" s="1191"/>
      <c r="AF107" s="1191"/>
      <c r="AV107" s="1191"/>
      <c r="AW107" s="1191"/>
      <c r="AX107" s="1191"/>
      <c r="AY107" s="1191"/>
      <c r="AZ107" s="1191"/>
      <c r="BA107" s="1191"/>
      <c r="BC107" s="1191"/>
      <c r="BE107" s="1191"/>
      <c r="BF107" s="1191"/>
      <c r="BG107" s="1191"/>
    </row>
    <row r="108" spans="18:59" x14ac:dyDescent="0.25">
      <c r="R108" s="1191"/>
      <c r="S108" s="1191"/>
      <c r="W108" s="1191"/>
      <c r="X108" s="1191"/>
      <c r="AE108" s="1191"/>
      <c r="AF108" s="1191"/>
      <c r="AV108" s="1191"/>
      <c r="AW108" s="1191"/>
      <c r="AX108" s="1191"/>
      <c r="AY108" s="1191"/>
      <c r="AZ108" s="1191"/>
      <c r="BA108" s="1191"/>
      <c r="BC108" s="1191"/>
      <c r="BE108" s="1191"/>
      <c r="BF108" s="1191"/>
      <c r="BG108" s="1191"/>
    </row>
    <row r="109" spans="18:59" x14ac:dyDescent="0.25">
      <c r="R109" s="1191"/>
      <c r="S109" s="1191"/>
      <c r="W109" s="1191"/>
      <c r="X109" s="1191"/>
      <c r="AE109" s="1191"/>
      <c r="AF109" s="1191"/>
      <c r="AV109" s="1191"/>
      <c r="AW109" s="1191"/>
      <c r="AX109" s="1191"/>
      <c r="AY109" s="1191"/>
      <c r="AZ109" s="1191"/>
      <c r="BA109" s="1191"/>
      <c r="BC109" s="1191"/>
      <c r="BE109" s="1191"/>
      <c r="BF109" s="1191"/>
      <c r="BG109" s="1191"/>
    </row>
    <row r="110" spans="18:59" x14ac:dyDescent="0.25">
      <c r="R110" s="1191"/>
      <c r="S110" s="1191"/>
      <c r="W110" s="1191"/>
      <c r="X110" s="1191"/>
      <c r="AE110" s="1191"/>
      <c r="AF110" s="1191"/>
      <c r="AV110" s="1191"/>
      <c r="AW110" s="1191"/>
      <c r="AX110" s="1191"/>
      <c r="AY110" s="1191"/>
      <c r="AZ110" s="1191"/>
      <c r="BA110" s="1191"/>
      <c r="BC110" s="1191"/>
      <c r="BE110" s="1191"/>
      <c r="BF110" s="1191"/>
      <c r="BG110" s="1191"/>
    </row>
    <row r="111" spans="18:59" x14ac:dyDescent="0.25">
      <c r="R111" s="1191"/>
      <c r="S111" s="1191"/>
      <c r="W111" s="1191"/>
      <c r="X111" s="1191"/>
      <c r="AE111" s="1191"/>
      <c r="AF111" s="1191"/>
      <c r="AV111" s="1191"/>
      <c r="AW111" s="1191"/>
      <c r="AX111" s="1191"/>
      <c r="AY111" s="1191"/>
      <c r="AZ111" s="1191"/>
      <c r="BA111" s="1191"/>
      <c r="BC111" s="1191"/>
      <c r="BE111" s="1191"/>
      <c r="BF111" s="1191"/>
      <c r="BG111" s="1191"/>
    </row>
    <row r="112" spans="18:59" x14ac:dyDescent="0.25">
      <c r="R112" s="1191"/>
      <c r="S112" s="1191"/>
      <c r="W112" s="1191"/>
      <c r="X112" s="1191"/>
      <c r="AE112" s="1191"/>
      <c r="AF112" s="1191"/>
      <c r="AV112" s="1191"/>
      <c r="AW112" s="1191"/>
      <c r="AX112" s="1191"/>
      <c r="AY112" s="1191"/>
      <c r="AZ112" s="1191"/>
      <c r="BA112" s="1191"/>
      <c r="BC112" s="1191"/>
      <c r="BE112" s="1191"/>
      <c r="BF112" s="1191"/>
      <c r="BG112" s="1191"/>
    </row>
    <row r="113" spans="18:59" x14ac:dyDescent="0.25">
      <c r="R113" s="1191"/>
      <c r="S113" s="1191"/>
      <c r="W113" s="1191"/>
      <c r="X113" s="1191"/>
      <c r="AE113" s="1191"/>
      <c r="AF113" s="1191"/>
      <c r="AV113" s="1191"/>
      <c r="AW113" s="1191"/>
      <c r="AX113" s="1191"/>
      <c r="AY113" s="1191"/>
      <c r="AZ113" s="1191"/>
      <c r="BA113" s="1191"/>
      <c r="BC113" s="1191"/>
      <c r="BE113" s="1191"/>
      <c r="BF113" s="1191"/>
      <c r="BG113" s="1191"/>
    </row>
    <row r="114" spans="18:59" x14ac:dyDescent="0.25">
      <c r="R114" s="1191"/>
      <c r="S114" s="1191"/>
      <c r="W114" s="1191"/>
      <c r="X114" s="1191"/>
      <c r="AE114" s="1191"/>
      <c r="AF114" s="1191"/>
      <c r="AV114" s="1191"/>
      <c r="AW114" s="1191"/>
      <c r="AX114" s="1191"/>
      <c r="AY114" s="1191"/>
      <c r="AZ114" s="1191"/>
      <c r="BA114" s="1191"/>
      <c r="BC114" s="1191"/>
      <c r="BE114" s="1191"/>
      <c r="BF114" s="1191"/>
      <c r="BG114" s="1191"/>
    </row>
    <row r="115" spans="18:59" x14ac:dyDescent="0.25">
      <c r="R115" s="1191"/>
      <c r="S115" s="1191"/>
      <c r="W115" s="1191"/>
      <c r="X115" s="1191"/>
      <c r="AE115" s="1191"/>
      <c r="AF115" s="1191"/>
      <c r="AV115" s="1191"/>
      <c r="AW115" s="1191"/>
      <c r="AX115" s="1191"/>
      <c r="AY115" s="1191"/>
      <c r="AZ115" s="1191"/>
      <c r="BA115" s="1191"/>
      <c r="BC115" s="1191"/>
      <c r="BE115" s="1191"/>
      <c r="BF115" s="1191"/>
      <c r="BG115" s="1191"/>
    </row>
    <row r="116" spans="18:59" x14ac:dyDescent="0.25">
      <c r="R116" s="1191"/>
      <c r="S116" s="1191"/>
      <c r="W116" s="1191"/>
      <c r="X116" s="1191"/>
      <c r="AE116" s="1191"/>
      <c r="AF116" s="1191"/>
      <c r="AV116" s="1191"/>
      <c r="AW116" s="1191"/>
      <c r="AX116" s="1191"/>
      <c r="AY116" s="1191"/>
      <c r="AZ116" s="1191"/>
      <c r="BA116" s="1191"/>
      <c r="BC116" s="1191"/>
      <c r="BE116" s="1191"/>
      <c r="BF116" s="1191"/>
      <c r="BG116" s="1191"/>
    </row>
    <row r="117" spans="18:59" x14ac:dyDescent="0.25">
      <c r="R117" s="1191"/>
      <c r="S117" s="1191"/>
      <c r="W117" s="1191"/>
      <c r="X117" s="1191"/>
      <c r="AE117" s="1191"/>
      <c r="AF117" s="1191"/>
      <c r="AV117" s="1191"/>
      <c r="AW117" s="1191"/>
      <c r="AX117" s="1191"/>
      <c r="AY117" s="1191"/>
      <c r="AZ117" s="1191"/>
      <c r="BA117" s="1191"/>
      <c r="BC117" s="1191"/>
      <c r="BE117" s="1191"/>
      <c r="BF117" s="1191"/>
      <c r="BG117" s="1191"/>
    </row>
    <row r="118" spans="18:59" x14ac:dyDescent="0.25">
      <c r="R118" s="1191"/>
      <c r="S118" s="1191"/>
      <c r="W118" s="1191"/>
      <c r="X118" s="1191"/>
      <c r="AE118" s="1191"/>
      <c r="AF118" s="1191"/>
      <c r="AV118" s="1191"/>
      <c r="AW118" s="1191"/>
      <c r="AX118" s="1191"/>
      <c r="AY118" s="1191"/>
      <c r="AZ118" s="1191"/>
      <c r="BA118" s="1191"/>
      <c r="BC118" s="1191"/>
      <c r="BE118" s="1191"/>
      <c r="BF118" s="1191"/>
      <c r="BG118" s="1191"/>
    </row>
    <row r="119" spans="18:59" x14ac:dyDescent="0.25">
      <c r="R119" s="1191"/>
      <c r="S119" s="1191"/>
      <c r="W119" s="1191"/>
      <c r="X119" s="1191"/>
      <c r="AE119" s="1191"/>
      <c r="AF119" s="1191"/>
      <c r="AV119" s="1191"/>
      <c r="AW119" s="1191"/>
      <c r="AX119" s="1191"/>
      <c r="AY119" s="1191"/>
      <c r="AZ119" s="1191"/>
      <c r="BA119" s="1191"/>
      <c r="BC119" s="1191"/>
      <c r="BE119" s="1191"/>
      <c r="BF119" s="1191"/>
      <c r="BG119" s="1191"/>
    </row>
    <row r="120" spans="18:59" x14ac:dyDescent="0.25">
      <c r="R120" s="1191"/>
      <c r="S120" s="1191"/>
      <c r="W120" s="1191"/>
      <c r="X120" s="1191"/>
      <c r="AE120" s="1191"/>
      <c r="AF120" s="1191"/>
      <c r="AV120" s="1191"/>
      <c r="AW120" s="1191"/>
      <c r="AX120" s="1191"/>
      <c r="AY120" s="1191"/>
      <c r="AZ120" s="1191"/>
      <c r="BA120" s="1191"/>
      <c r="BC120" s="1191"/>
      <c r="BE120" s="1191"/>
      <c r="BF120" s="1191"/>
      <c r="BG120" s="1191"/>
    </row>
    <row r="121" spans="18:59" x14ac:dyDescent="0.25">
      <c r="R121" s="1191"/>
      <c r="S121" s="1191"/>
      <c r="W121" s="1191"/>
      <c r="X121" s="1191"/>
      <c r="AE121" s="1191"/>
      <c r="AF121" s="1191"/>
      <c r="AV121" s="1191"/>
      <c r="AW121" s="1191"/>
      <c r="AX121" s="1191"/>
      <c r="AY121" s="1191"/>
      <c r="AZ121" s="1191"/>
      <c r="BA121" s="1191"/>
      <c r="BC121" s="1191"/>
      <c r="BE121" s="1191"/>
      <c r="BF121" s="1191"/>
      <c r="BG121" s="1191"/>
    </row>
    <row r="122" spans="18:59" x14ac:dyDescent="0.25">
      <c r="R122" s="1191"/>
      <c r="S122" s="1191"/>
      <c r="W122" s="1191"/>
      <c r="X122" s="1191"/>
      <c r="AE122" s="1191"/>
      <c r="AF122" s="1191"/>
      <c r="AV122" s="1191"/>
      <c r="AW122" s="1191"/>
      <c r="AX122" s="1191"/>
      <c r="AY122" s="1191"/>
      <c r="AZ122" s="1191"/>
      <c r="BA122" s="1191"/>
      <c r="BC122" s="1191"/>
      <c r="BE122" s="1191"/>
      <c r="BF122" s="1191"/>
      <c r="BG122" s="1191"/>
    </row>
    <row r="123" spans="18:59" x14ac:dyDescent="0.25">
      <c r="R123" s="1191"/>
      <c r="S123" s="1191"/>
      <c r="W123" s="1191"/>
      <c r="X123" s="1191"/>
      <c r="AE123" s="1191"/>
      <c r="AF123" s="1191"/>
      <c r="AV123" s="1191"/>
      <c r="AW123" s="1191"/>
      <c r="AX123" s="1191"/>
      <c r="AY123" s="1191"/>
      <c r="AZ123" s="1191"/>
      <c r="BA123" s="1191"/>
      <c r="BC123" s="1191"/>
      <c r="BE123" s="1191"/>
      <c r="BF123" s="1191"/>
      <c r="BG123" s="1191"/>
    </row>
    <row r="124" spans="18:59" x14ac:dyDescent="0.25">
      <c r="R124" s="1191"/>
      <c r="S124" s="1191"/>
      <c r="W124" s="1191"/>
      <c r="X124" s="1191"/>
      <c r="AE124" s="1191"/>
      <c r="AF124" s="1191"/>
      <c r="AV124" s="1191"/>
      <c r="AW124" s="1191"/>
      <c r="AX124" s="1191"/>
      <c r="AY124" s="1191"/>
      <c r="AZ124" s="1191"/>
      <c r="BA124" s="1191"/>
      <c r="BC124" s="1191"/>
      <c r="BE124" s="1191"/>
      <c r="BF124" s="1191"/>
      <c r="BG124" s="1191"/>
    </row>
    <row r="125" spans="18:59" x14ac:dyDescent="0.25">
      <c r="R125" s="1191"/>
      <c r="S125" s="1191"/>
      <c r="W125" s="1191"/>
      <c r="X125" s="1191"/>
      <c r="AE125" s="1191"/>
      <c r="AF125" s="1191"/>
      <c r="AV125" s="1191"/>
      <c r="AW125" s="1191"/>
      <c r="AX125" s="1191"/>
      <c r="AY125" s="1191"/>
      <c r="AZ125" s="1191"/>
      <c r="BA125" s="1191"/>
      <c r="BC125" s="1191"/>
      <c r="BE125" s="1191"/>
      <c r="BF125" s="1191"/>
      <c r="BG125" s="1191"/>
    </row>
    <row r="126" spans="18:59" x14ac:dyDescent="0.25">
      <c r="R126" s="1191"/>
      <c r="S126" s="1191"/>
      <c r="W126" s="1191"/>
      <c r="X126" s="1191"/>
      <c r="AE126" s="1191"/>
      <c r="AF126" s="1191"/>
      <c r="AV126" s="1191"/>
      <c r="AW126" s="1191"/>
      <c r="AX126" s="1191"/>
      <c r="AY126" s="1191"/>
      <c r="AZ126" s="1191"/>
      <c r="BA126" s="1191"/>
      <c r="BC126" s="1191"/>
      <c r="BE126" s="1191"/>
      <c r="BF126" s="1191"/>
      <c r="BG126" s="1191"/>
    </row>
    <row r="127" spans="18:59" x14ac:dyDescent="0.25">
      <c r="R127" s="1191"/>
      <c r="S127" s="1191"/>
      <c r="W127" s="1191"/>
      <c r="X127" s="1191"/>
      <c r="AE127" s="1191"/>
      <c r="AF127" s="1191"/>
      <c r="AV127" s="1191"/>
      <c r="AW127" s="1191"/>
      <c r="AX127" s="1191"/>
      <c r="AY127" s="1191"/>
      <c r="AZ127" s="1191"/>
      <c r="BA127" s="1191"/>
      <c r="BC127" s="1191"/>
      <c r="BE127" s="1191"/>
      <c r="BF127" s="1191"/>
      <c r="BG127" s="1191"/>
    </row>
    <row r="128" spans="18:59" x14ac:dyDescent="0.25">
      <c r="R128" s="1191"/>
      <c r="S128" s="1191"/>
      <c r="W128" s="1191"/>
      <c r="X128" s="1191"/>
      <c r="AE128" s="1191"/>
      <c r="AF128" s="1191"/>
      <c r="AV128" s="1191"/>
      <c r="AW128" s="1191"/>
      <c r="AX128" s="1191"/>
      <c r="AY128" s="1191"/>
      <c r="AZ128" s="1191"/>
      <c r="BA128" s="1191"/>
      <c r="BC128" s="1191"/>
      <c r="BE128" s="1191"/>
      <c r="BF128" s="1191"/>
      <c r="BG128" s="1191"/>
    </row>
    <row r="129" spans="18:59" x14ac:dyDescent="0.25">
      <c r="R129" s="1191"/>
      <c r="S129" s="1191"/>
      <c r="W129" s="1191"/>
      <c r="X129" s="1191"/>
      <c r="AE129" s="1191"/>
      <c r="AF129" s="1191"/>
      <c r="AV129" s="1191"/>
      <c r="AW129" s="1191"/>
      <c r="AX129" s="1191"/>
      <c r="AY129" s="1191"/>
      <c r="AZ129" s="1191"/>
      <c r="BA129" s="1191"/>
      <c r="BC129" s="1191"/>
      <c r="BE129" s="1191"/>
      <c r="BF129" s="1191"/>
      <c r="BG129" s="1191"/>
    </row>
    <row r="130" spans="18:59" x14ac:dyDescent="0.25">
      <c r="R130" s="1191"/>
      <c r="S130" s="1191"/>
      <c r="W130" s="1191"/>
      <c r="X130" s="1191"/>
      <c r="AE130" s="1191"/>
      <c r="AF130" s="1191"/>
      <c r="AV130" s="1191"/>
      <c r="AW130" s="1191"/>
      <c r="AX130" s="1191"/>
      <c r="AY130" s="1191"/>
      <c r="AZ130" s="1191"/>
      <c r="BA130" s="1191"/>
      <c r="BC130" s="1191"/>
      <c r="BE130" s="1191"/>
      <c r="BF130" s="1191"/>
      <c r="BG130" s="1191"/>
    </row>
    <row r="131" spans="18:59" x14ac:dyDescent="0.25">
      <c r="R131" s="1191"/>
      <c r="S131" s="1191"/>
      <c r="W131" s="1191"/>
      <c r="X131" s="1191"/>
      <c r="AE131" s="1191"/>
      <c r="AF131" s="1191"/>
      <c r="AV131" s="1191"/>
      <c r="AW131" s="1191"/>
      <c r="AX131" s="1191"/>
      <c r="AY131" s="1191"/>
      <c r="AZ131" s="1191"/>
      <c r="BA131" s="1191"/>
      <c r="BC131" s="1191"/>
      <c r="BE131" s="1191"/>
      <c r="BF131" s="1191"/>
      <c r="BG131" s="1191"/>
    </row>
    <row r="132" spans="18:59" x14ac:dyDescent="0.25">
      <c r="R132" s="1191"/>
      <c r="S132" s="1191"/>
      <c r="W132" s="1191"/>
      <c r="X132" s="1191"/>
      <c r="AE132" s="1191"/>
      <c r="AF132" s="1191"/>
      <c r="AV132" s="1191"/>
      <c r="AW132" s="1191"/>
      <c r="AX132" s="1191"/>
      <c r="AY132" s="1191"/>
      <c r="AZ132" s="1191"/>
      <c r="BA132" s="1191"/>
      <c r="BC132" s="1191"/>
      <c r="BE132" s="1191"/>
      <c r="BF132" s="1191"/>
      <c r="BG132" s="1191"/>
    </row>
    <row r="133" spans="18:59" x14ac:dyDescent="0.25">
      <c r="R133" s="1191"/>
      <c r="S133" s="1191"/>
      <c r="W133" s="1191"/>
      <c r="X133" s="1191"/>
      <c r="AE133" s="1191"/>
      <c r="AF133" s="1191"/>
      <c r="AV133" s="1191"/>
      <c r="AW133" s="1191"/>
      <c r="AX133" s="1191"/>
      <c r="AY133" s="1191"/>
      <c r="AZ133" s="1191"/>
      <c r="BA133" s="1191"/>
      <c r="BC133" s="1191"/>
      <c r="BE133" s="1191"/>
      <c r="BF133" s="1191"/>
      <c r="BG133" s="1191"/>
    </row>
    <row r="134" spans="18:59" x14ac:dyDescent="0.25">
      <c r="R134" s="1191"/>
      <c r="S134" s="1191"/>
      <c r="W134" s="1191"/>
      <c r="X134" s="1191"/>
      <c r="AE134" s="1191"/>
      <c r="AF134" s="1191"/>
      <c r="AV134" s="1191"/>
      <c r="AW134" s="1191"/>
      <c r="AX134" s="1191"/>
      <c r="AY134" s="1191"/>
      <c r="AZ134" s="1191"/>
      <c r="BA134" s="1191"/>
      <c r="BC134" s="1191"/>
      <c r="BE134" s="1191"/>
      <c r="BF134" s="1191"/>
      <c r="BG134" s="1191"/>
    </row>
    <row r="135" spans="18:59" x14ac:dyDescent="0.25">
      <c r="R135" s="1191"/>
      <c r="S135" s="1191"/>
      <c r="W135" s="1191"/>
      <c r="X135" s="1191"/>
      <c r="AE135" s="1191"/>
      <c r="AF135" s="1191"/>
      <c r="AV135" s="1191"/>
      <c r="AW135" s="1191"/>
      <c r="AX135" s="1191"/>
      <c r="AY135" s="1191"/>
      <c r="AZ135" s="1191"/>
      <c r="BA135" s="1191"/>
      <c r="BC135" s="1191"/>
      <c r="BE135" s="1191"/>
      <c r="BF135" s="1191"/>
      <c r="BG135" s="1191"/>
    </row>
    <row r="136" spans="18:59" x14ac:dyDescent="0.25">
      <c r="R136" s="1191"/>
      <c r="S136" s="1191"/>
      <c r="W136" s="1191"/>
      <c r="X136" s="1191"/>
      <c r="AE136" s="1191"/>
      <c r="AF136" s="1191"/>
      <c r="AV136" s="1191"/>
      <c r="AW136" s="1191"/>
      <c r="AX136" s="1191"/>
      <c r="AY136" s="1191"/>
      <c r="AZ136" s="1191"/>
      <c r="BA136" s="1191"/>
      <c r="BC136" s="1191"/>
      <c r="BE136" s="1191"/>
      <c r="BF136" s="1191"/>
      <c r="BG136" s="1191"/>
    </row>
    <row r="137" spans="18:59" x14ac:dyDescent="0.25">
      <c r="R137" s="1191"/>
      <c r="S137" s="1191"/>
      <c r="W137" s="1191"/>
      <c r="X137" s="1191"/>
      <c r="AE137" s="1191"/>
      <c r="AF137" s="1191"/>
      <c r="AV137" s="1191"/>
      <c r="AW137" s="1191"/>
      <c r="AX137" s="1191"/>
      <c r="AY137" s="1191"/>
      <c r="AZ137" s="1191"/>
      <c r="BA137" s="1191"/>
      <c r="BC137" s="1191"/>
      <c r="BE137" s="1191"/>
      <c r="BF137" s="1191"/>
      <c r="BG137" s="1191"/>
    </row>
    <row r="138" spans="18:59" x14ac:dyDescent="0.25">
      <c r="R138" s="1191"/>
      <c r="S138" s="1191"/>
      <c r="W138" s="1191"/>
      <c r="X138" s="1191"/>
      <c r="AE138" s="1191"/>
      <c r="AF138" s="1191"/>
      <c r="AV138" s="1191"/>
      <c r="AW138" s="1191"/>
      <c r="AX138" s="1191"/>
      <c r="AY138" s="1191"/>
      <c r="AZ138" s="1191"/>
      <c r="BA138" s="1191"/>
      <c r="BC138" s="1191"/>
      <c r="BE138" s="1191"/>
      <c r="BF138" s="1191"/>
      <c r="BG138" s="1191"/>
    </row>
    <row r="139" spans="18:59" x14ac:dyDescent="0.25">
      <c r="R139" s="1191"/>
      <c r="S139" s="1191"/>
      <c r="W139" s="1191"/>
      <c r="X139" s="1191"/>
      <c r="AE139" s="1191"/>
      <c r="AF139" s="1191"/>
      <c r="AV139" s="1191"/>
      <c r="AW139" s="1191"/>
      <c r="AX139" s="1191"/>
      <c r="AY139" s="1191"/>
      <c r="AZ139" s="1191"/>
      <c r="BA139" s="1191"/>
      <c r="BC139" s="1191"/>
      <c r="BE139" s="1191"/>
      <c r="BF139" s="1191"/>
      <c r="BG139" s="1191"/>
    </row>
    <row r="140" spans="18:59" x14ac:dyDescent="0.25">
      <c r="R140" s="1191"/>
      <c r="S140" s="1191"/>
      <c r="W140" s="1191"/>
      <c r="X140" s="1191"/>
      <c r="AE140" s="1191"/>
      <c r="AF140" s="1191"/>
      <c r="AV140" s="1191"/>
      <c r="AW140" s="1191"/>
      <c r="AX140" s="1191"/>
      <c r="AY140" s="1191"/>
      <c r="AZ140" s="1191"/>
      <c r="BA140" s="1191"/>
      <c r="BC140" s="1191"/>
      <c r="BE140" s="1191"/>
      <c r="BF140" s="1191"/>
      <c r="BG140" s="1191"/>
    </row>
    <row r="141" spans="18:59" x14ac:dyDescent="0.25">
      <c r="R141" s="1191"/>
      <c r="S141" s="1191"/>
      <c r="W141" s="1191"/>
      <c r="X141" s="1191"/>
      <c r="AE141" s="1191"/>
      <c r="AF141" s="1191"/>
      <c r="AV141" s="1191"/>
      <c r="AW141" s="1191"/>
      <c r="AX141" s="1191"/>
      <c r="AY141" s="1191"/>
      <c r="AZ141" s="1191"/>
      <c r="BA141" s="1191"/>
      <c r="BC141" s="1191"/>
      <c r="BE141" s="1191"/>
      <c r="BF141" s="1191"/>
      <c r="BG141" s="1191"/>
    </row>
    <row r="142" spans="18:59" x14ac:dyDescent="0.25">
      <c r="R142" s="1191"/>
      <c r="S142" s="1191"/>
      <c r="W142" s="1191"/>
      <c r="X142" s="1191"/>
      <c r="AE142" s="1191"/>
      <c r="AF142" s="1191"/>
      <c r="AV142" s="1191"/>
      <c r="AW142" s="1191"/>
      <c r="AX142" s="1191"/>
      <c r="AY142" s="1191"/>
      <c r="AZ142" s="1191"/>
      <c r="BA142" s="1191"/>
      <c r="BC142" s="1191"/>
      <c r="BE142" s="1191"/>
      <c r="BF142" s="1191"/>
      <c r="BG142" s="1191"/>
    </row>
    <row r="143" spans="18:59" x14ac:dyDescent="0.25">
      <c r="R143" s="1191"/>
      <c r="S143" s="1191"/>
      <c r="W143" s="1191"/>
      <c r="X143" s="1191"/>
      <c r="AE143" s="1191"/>
      <c r="AF143" s="1191"/>
      <c r="AV143" s="1191"/>
      <c r="AW143" s="1191"/>
      <c r="AX143" s="1191"/>
      <c r="AY143" s="1191"/>
      <c r="AZ143" s="1191"/>
      <c r="BA143" s="1191"/>
      <c r="BC143" s="1191"/>
      <c r="BE143" s="1191"/>
      <c r="BF143" s="1191"/>
      <c r="BG143" s="1191"/>
    </row>
    <row r="144" spans="18:59" x14ac:dyDescent="0.25">
      <c r="R144" s="1191"/>
      <c r="S144" s="1191"/>
      <c r="W144" s="1191"/>
      <c r="X144" s="1191"/>
      <c r="AE144" s="1191"/>
      <c r="AF144" s="1191"/>
      <c r="AV144" s="1191"/>
      <c r="AW144" s="1191"/>
      <c r="AX144" s="1191"/>
      <c r="AY144" s="1191"/>
      <c r="AZ144" s="1191"/>
      <c r="BA144" s="1191"/>
      <c r="BC144" s="1191"/>
      <c r="BE144" s="1191"/>
      <c r="BF144" s="1191"/>
      <c r="BG144" s="1191"/>
    </row>
    <row r="145" spans="18:59" x14ac:dyDescent="0.25">
      <c r="R145" s="1191"/>
      <c r="S145" s="1191"/>
      <c r="W145" s="1191"/>
      <c r="X145" s="1191"/>
      <c r="AE145" s="1191"/>
      <c r="AF145" s="1191"/>
      <c r="AV145" s="1191"/>
      <c r="AW145" s="1191"/>
      <c r="AX145" s="1191"/>
      <c r="AY145" s="1191"/>
      <c r="AZ145" s="1191"/>
      <c r="BA145" s="1191"/>
      <c r="BC145" s="1191"/>
      <c r="BE145" s="1191"/>
      <c r="BF145" s="1191"/>
      <c r="BG145" s="1191"/>
    </row>
    <row r="146" spans="18:59" x14ac:dyDescent="0.25">
      <c r="R146" s="1191"/>
      <c r="S146" s="1191"/>
      <c r="W146" s="1191"/>
      <c r="X146" s="1191"/>
      <c r="AE146" s="1191"/>
      <c r="AF146" s="1191"/>
      <c r="AV146" s="1191"/>
      <c r="AW146" s="1191"/>
      <c r="AX146" s="1191"/>
      <c r="AY146" s="1191"/>
      <c r="AZ146" s="1191"/>
      <c r="BA146" s="1191"/>
      <c r="BC146" s="1191"/>
      <c r="BE146" s="1191"/>
      <c r="BF146" s="1191"/>
      <c r="BG146" s="1191"/>
    </row>
    <row r="147" spans="18:59" x14ac:dyDescent="0.25">
      <c r="R147" s="1191"/>
      <c r="S147" s="1191"/>
      <c r="W147" s="1191"/>
      <c r="X147" s="1191"/>
      <c r="AE147" s="1191"/>
      <c r="AF147" s="1191"/>
      <c r="AV147" s="1191"/>
      <c r="AW147" s="1191"/>
      <c r="AX147" s="1191"/>
      <c r="AY147" s="1191"/>
      <c r="AZ147" s="1191"/>
      <c r="BA147" s="1191"/>
      <c r="BC147" s="1191"/>
      <c r="BE147" s="1191"/>
      <c r="BF147" s="1191"/>
      <c r="BG147" s="1191"/>
    </row>
    <row r="148" spans="18:59" x14ac:dyDescent="0.25">
      <c r="R148" s="1191"/>
      <c r="S148" s="1191"/>
      <c r="W148" s="1191"/>
      <c r="X148" s="1191"/>
      <c r="AE148" s="1191"/>
      <c r="AF148" s="1191"/>
      <c r="AV148" s="1191"/>
      <c r="AW148" s="1191"/>
      <c r="AX148" s="1191"/>
      <c r="AY148" s="1191"/>
      <c r="AZ148" s="1191"/>
      <c r="BA148" s="1191"/>
      <c r="BC148" s="1191"/>
      <c r="BE148" s="1191"/>
      <c r="BF148" s="1191"/>
      <c r="BG148" s="1191"/>
    </row>
    <row r="149" spans="18:59" x14ac:dyDescent="0.25">
      <c r="R149" s="1191"/>
      <c r="S149" s="1191"/>
      <c r="W149" s="1191"/>
      <c r="X149" s="1191"/>
      <c r="AE149" s="1191"/>
      <c r="AF149" s="1191"/>
      <c r="AV149" s="1191"/>
      <c r="AW149" s="1191"/>
      <c r="AX149" s="1191"/>
      <c r="AY149" s="1191"/>
      <c r="AZ149" s="1191"/>
      <c r="BA149" s="1191"/>
      <c r="BC149" s="1191"/>
      <c r="BE149" s="1191"/>
      <c r="BF149" s="1191"/>
      <c r="BG149" s="1191"/>
    </row>
    <row r="150" spans="18:59" x14ac:dyDescent="0.25">
      <c r="R150" s="1191"/>
      <c r="S150" s="1191"/>
      <c r="W150" s="1191"/>
      <c r="X150" s="1191"/>
      <c r="AE150" s="1191"/>
      <c r="AF150" s="1191"/>
      <c r="AV150" s="1191"/>
      <c r="AW150" s="1191"/>
      <c r="AX150" s="1191"/>
      <c r="AY150" s="1191"/>
      <c r="AZ150" s="1191"/>
      <c r="BA150" s="1191"/>
      <c r="BC150" s="1191"/>
      <c r="BE150" s="1191"/>
      <c r="BF150" s="1191"/>
      <c r="BG150" s="1191"/>
    </row>
    <row r="151" spans="18:59" x14ac:dyDescent="0.25">
      <c r="R151" s="1191"/>
      <c r="S151" s="1191"/>
      <c r="W151" s="1191"/>
      <c r="X151" s="1191"/>
      <c r="AE151" s="1191"/>
      <c r="AF151" s="1191"/>
      <c r="AV151" s="1191"/>
      <c r="AW151" s="1191"/>
      <c r="AX151" s="1191"/>
      <c r="AY151" s="1191"/>
      <c r="AZ151" s="1191"/>
      <c r="BA151" s="1191"/>
      <c r="BC151" s="1191"/>
      <c r="BE151" s="1191"/>
      <c r="BF151" s="1191"/>
      <c r="BG151" s="1191"/>
    </row>
    <row r="152" spans="18:59" x14ac:dyDescent="0.25">
      <c r="R152" s="1191"/>
      <c r="S152" s="1191"/>
      <c r="W152" s="1191"/>
      <c r="X152" s="1191"/>
      <c r="AE152" s="1191"/>
      <c r="AF152" s="1191"/>
      <c r="AV152" s="1191"/>
      <c r="AW152" s="1191"/>
      <c r="AX152" s="1191"/>
      <c r="AY152" s="1191"/>
      <c r="AZ152" s="1191"/>
      <c r="BA152" s="1191"/>
      <c r="BC152" s="1191"/>
      <c r="BE152" s="1191"/>
      <c r="BF152" s="1191"/>
      <c r="BG152" s="1191"/>
    </row>
    <row r="153" spans="18:59" x14ac:dyDescent="0.25">
      <c r="R153" s="1191"/>
      <c r="S153" s="1191"/>
      <c r="W153" s="1191"/>
      <c r="X153" s="1191"/>
      <c r="AE153" s="1191"/>
      <c r="AF153" s="1191"/>
      <c r="AV153" s="1191"/>
      <c r="AW153" s="1191"/>
      <c r="AX153" s="1191"/>
      <c r="AY153" s="1191"/>
      <c r="AZ153" s="1191"/>
      <c r="BA153" s="1191"/>
      <c r="BC153" s="1191"/>
      <c r="BE153" s="1191"/>
      <c r="BF153" s="1191"/>
      <c r="BG153" s="1191"/>
    </row>
    <row r="154" spans="18:59" x14ac:dyDescent="0.25">
      <c r="R154" s="1191"/>
      <c r="S154" s="1191"/>
      <c r="W154" s="1191"/>
      <c r="X154" s="1191"/>
      <c r="AE154" s="1191"/>
      <c r="AF154" s="1191"/>
      <c r="AV154" s="1191"/>
      <c r="AW154" s="1191"/>
      <c r="AX154" s="1191"/>
      <c r="AY154" s="1191"/>
      <c r="AZ154" s="1191"/>
      <c r="BA154" s="1191"/>
      <c r="BC154" s="1191"/>
      <c r="BE154" s="1191"/>
      <c r="BF154" s="1191"/>
      <c r="BG154" s="1191"/>
    </row>
    <row r="155" spans="18:59" x14ac:dyDescent="0.25">
      <c r="R155" s="1191"/>
      <c r="S155" s="1191"/>
      <c r="W155" s="1191"/>
      <c r="X155" s="1191"/>
      <c r="AE155" s="1191"/>
      <c r="AF155" s="1191"/>
      <c r="AV155" s="1191"/>
      <c r="AW155" s="1191"/>
      <c r="AX155" s="1191"/>
      <c r="AY155" s="1191"/>
      <c r="AZ155" s="1191"/>
      <c r="BA155" s="1191"/>
      <c r="BC155" s="1191"/>
      <c r="BE155" s="1191"/>
      <c r="BF155" s="1191"/>
      <c r="BG155" s="1191"/>
    </row>
    <row r="156" spans="18:59" x14ac:dyDescent="0.25">
      <c r="R156" s="1191"/>
      <c r="S156" s="1191"/>
      <c r="W156" s="1191"/>
      <c r="X156" s="1191"/>
      <c r="AE156" s="1191"/>
      <c r="AF156" s="1191"/>
      <c r="AV156" s="1191"/>
      <c r="AW156" s="1191"/>
      <c r="AX156" s="1191"/>
      <c r="AY156" s="1191"/>
      <c r="AZ156" s="1191"/>
      <c r="BA156" s="1191"/>
      <c r="BC156" s="1191"/>
      <c r="BE156" s="1191"/>
      <c r="BF156" s="1191"/>
      <c r="BG156" s="1191"/>
    </row>
    <row r="157" spans="18:59" x14ac:dyDescent="0.25">
      <c r="R157" s="1191"/>
      <c r="S157" s="1191"/>
      <c r="W157" s="1191"/>
      <c r="X157" s="1191"/>
      <c r="AE157" s="1191"/>
      <c r="AF157" s="1191"/>
      <c r="AV157" s="1191"/>
      <c r="AW157" s="1191"/>
      <c r="AX157" s="1191"/>
      <c r="AY157" s="1191"/>
      <c r="AZ157" s="1191"/>
      <c r="BA157" s="1191"/>
      <c r="BC157" s="1191"/>
      <c r="BE157" s="1191"/>
      <c r="BF157" s="1191"/>
      <c r="BG157" s="1191"/>
    </row>
    <row r="158" spans="18:59" x14ac:dyDescent="0.25">
      <c r="R158" s="1191"/>
      <c r="S158" s="1191"/>
      <c r="W158" s="1191"/>
      <c r="X158" s="1191"/>
      <c r="AE158" s="1191"/>
      <c r="AF158" s="1191"/>
      <c r="AV158" s="1191"/>
      <c r="AW158" s="1191"/>
      <c r="AX158" s="1191"/>
      <c r="AY158" s="1191"/>
      <c r="AZ158" s="1191"/>
      <c r="BA158" s="1191"/>
      <c r="BC158" s="1191"/>
      <c r="BE158" s="1191"/>
      <c r="BF158" s="1191"/>
      <c r="BG158" s="1191"/>
    </row>
    <row r="159" spans="18:59" x14ac:dyDescent="0.25">
      <c r="R159" s="1191"/>
      <c r="S159" s="1191"/>
      <c r="W159" s="1191"/>
      <c r="X159" s="1191"/>
      <c r="AE159" s="1191"/>
      <c r="AF159" s="1191"/>
      <c r="AV159" s="1191"/>
      <c r="AW159" s="1191"/>
      <c r="AX159" s="1191"/>
      <c r="AY159" s="1191"/>
      <c r="AZ159" s="1191"/>
      <c r="BA159" s="1191"/>
      <c r="BC159" s="1191"/>
      <c r="BE159" s="1191"/>
      <c r="BF159" s="1191"/>
      <c r="BG159" s="1191"/>
    </row>
    <row r="160" spans="18:59" x14ac:dyDescent="0.25">
      <c r="R160" s="1191"/>
      <c r="S160" s="1191"/>
      <c r="W160" s="1191"/>
      <c r="X160" s="1191"/>
      <c r="AE160" s="1191"/>
      <c r="AF160" s="1191"/>
      <c r="AV160" s="1191"/>
      <c r="AW160" s="1191"/>
      <c r="AX160" s="1191"/>
      <c r="AY160" s="1191"/>
      <c r="AZ160" s="1191"/>
      <c r="BA160" s="1191"/>
      <c r="BC160" s="1191"/>
      <c r="BE160" s="1191"/>
      <c r="BF160" s="1191"/>
      <c r="BG160" s="1191"/>
    </row>
    <row r="161" spans="18:59" x14ac:dyDescent="0.25">
      <c r="R161" s="1191"/>
      <c r="S161" s="1191"/>
      <c r="W161" s="1191"/>
      <c r="X161" s="1191"/>
      <c r="AE161" s="1191"/>
      <c r="AF161" s="1191"/>
      <c r="AV161" s="1191"/>
      <c r="AW161" s="1191"/>
      <c r="AX161" s="1191"/>
      <c r="AY161" s="1191"/>
      <c r="AZ161" s="1191"/>
      <c r="BA161" s="1191"/>
      <c r="BC161" s="1191"/>
      <c r="BE161" s="1191"/>
      <c r="BF161" s="1191"/>
      <c r="BG161" s="1191"/>
    </row>
    <row r="162" spans="18:59" x14ac:dyDescent="0.25">
      <c r="R162" s="1191"/>
      <c r="S162" s="1191"/>
      <c r="W162" s="1191"/>
      <c r="X162" s="1191"/>
      <c r="AE162" s="1191"/>
      <c r="AF162" s="1191"/>
      <c r="AV162" s="1191"/>
      <c r="AW162" s="1191"/>
      <c r="AX162" s="1191"/>
      <c r="AY162" s="1191"/>
      <c r="AZ162" s="1191"/>
      <c r="BA162" s="1191"/>
      <c r="BC162" s="1191"/>
      <c r="BE162" s="1191"/>
      <c r="BF162" s="1191"/>
      <c r="BG162" s="1191"/>
    </row>
    <row r="163" spans="18:59" x14ac:dyDescent="0.25">
      <c r="R163" s="1191"/>
      <c r="S163" s="1191"/>
      <c r="W163" s="1191"/>
      <c r="X163" s="1191"/>
      <c r="AE163" s="1191"/>
      <c r="AF163" s="1191"/>
      <c r="AV163" s="1191"/>
      <c r="AW163" s="1191"/>
      <c r="AX163" s="1191"/>
      <c r="AY163" s="1191"/>
      <c r="AZ163" s="1191"/>
      <c r="BA163" s="1191"/>
      <c r="BC163" s="1191"/>
      <c r="BE163" s="1191"/>
      <c r="BF163" s="1191"/>
      <c r="BG163" s="1191"/>
    </row>
    <row r="164" spans="18:59" x14ac:dyDescent="0.25">
      <c r="R164" s="1191"/>
      <c r="S164" s="1191"/>
      <c r="W164" s="1191"/>
      <c r="X164" s="1191"/>
      <c r="AE164" s="1191"/>
      <c r="AF164" s="1191"/>
      <c r="AV164" s="1191"/>
      <c r="AW164" s="1191"/>
      <c r="AX164" s="1191"/>
      <c r="AY164" s="1191"/>
      <c r="AZ164" s="1191"/>
      <c r="BA164" s="1191"/>
      <c r="BC164" s="1191"/>
      <c r="BE164" s="1191"/>
      <c r="BF164" s="1191"/>
      <c r="BG164" s="1191"/>
    </row>
    <row r="165" spans="18:59" x14ac:dyDescent="0.25">
      <c r="R165" s="1191"/>
      <c r="S165" s="1191"/>
      <c r="W165" s="1191"/>
      <c r="X165" s="1191"/>
      <c r="AE165" s="1191"/>
      <c r="AF165" s="1191"/>
      <c r="AV165" s="1191"/>
      <c r="AW165" s="1191"/>
      <c r="AX165" s="1191"/>
      <c r="AY165" s="1191"/>
      <c r="AZ165" s="1191"/>
      <c r="BA165" s="1191"/>
      <c r="BC165" s="1191"/>
      <c r="BE165" s="1191"/>
      <c r="BF165" s="1191"/>
      <c r="BG165" s="1191"/>
    </row>
    <row r="166" spans="18:59" x14ac:dyDescent="0.25">
      <c r="R166" s="1191"/>
      <c r="S166" s="1191"/>
      <c r="W166" s="1191"/>
      <c r="X166" s="1191"/>
      <c r="AE166" s="1191"/>
      <c r="AF166" s="1191"/>
      <c r="AV166" s="1191"/>
      <c r="AW166" s="1191"/>
      <c r="AX166" s="1191"/>
      <c r="AY166" s="1191"/>
      <c r="AZ166" s="1191"/>
      <c r="BA166" s="1191"/>
      <c r="BC166" s="1191"/>
      <c r="BE166" s="1191"/>
      <c r="BF166" s="1191"/>
      <c r="BG166" s="1191"/>
    </row>
    <row r="167" spans="18:59" x14ac:dyDescent="0.25">
      <c r="R167" s="1191"/>
      <c r="S167" s="1191"/>
      <c r="W167" s="1191"/>
      <c r="X167" s="1191"/>
      <c r="AE167" s="1191"/>
      <c r="AF167" s="1191"/>
      <c r="AV167" s="1191"/>
      <c r="AW167" s="1191"/>
      <c r="AX167" s="1191"/>
      <c r="AY167" s="1191"/>
      <c r="AZ167" s="1191"/>
      <c r="BA167" s="1191"/>
      <c r="BC167" s="1191"/>
      <c r="BE167" s="1191"/>
      <c r="BF167" s="1191"/>
      <c r="BG167" s="1191"/>
    </row>
    <row r="168" spans="18:59" x14ac:dyDescent="0.25">
      <c r="R168" s="1191"/>
      <c r="S168" s="1191"/>
      <c r="W168" s="1191"/>
      <c r="X168" s="1191"/>
      <c r="AE168" s="1191"/>
      <c r="AF168" s="1191"/>
      <c r="AV168" s="1191"/>
      <c r="AW168" s="1191"/>
      <c r="AX168" s="1191"/>
      <c r="AY168" s="1191"/>
      <c r="AZ168" s="1191"/>
      <c r="BA168" s="1191"/>
      <c r="BC168" s="1191"/>
      <c r="BE168" s="1191"/>
      <c r="BF168" s="1191"/>
      <c r="BG168" s="1191"/>
    </row>
    <row r="169" spans="18:59" x14ac:dyDescent="0.25">
      <c r="R169" s="1191"/>
      <c r="S169" s="1191"/>
      <c r="W169" s="1191"/>
      <c r="X169" s="1191"/>
      <c r="AE169" s="1191"/>
      <c r="AF169" s="1191"/>
      <c r="AV169" s="1191"/>
      <c r="AW169" s="1191"/>
      <c r="AX169" s="1191"/>
      <c r="AY169" s="1191"/>
      <c r="AZ169" s="1191"/>
      <c r="BA169" s="1191"/>
      <c r="BC169" s="1191"/>
      <c r="BE169" s="1191"/>
      <c r="BF169" s="1191"/>
      <c r="BG169" s="1191"/>
    </row>
    <row r="170" spans="18:59" x14ac:dyDescent="0.25">
      <c r="R170" s="1191"/>
      <c r="S170" s="1191"/>
      <c r="W170" s="1191"/>
      <c r="X170" s="1191"/>
      <c r="AE170" s="1191"/>
      <c r="AF170" s="1191"/>
      <c r="AV170" s="1191"/>
      <c r="AW170" s="1191"/>
      <c r="AX170" s="1191"/>
      <c r="AY170" s="1191"/>
      <c r="AZ170" s="1191"/>
      <c r="BA170" s="1191"/>
      <c r="BC170" s="1191"/>
      <c r="BE170" s="1191"/>
      <c r="BF170" s="1191"/>
      <c r="BG170" s="1191"/>
    </row>
    <row r="171" spans="18:59" x14ac:dyDescent="0.25">
      <c r="R171" s="1191"/>
      <c r="S171" s="1191"/>
      <c r="W171" s="1191"/>
      <c r="X171" s="1191"/>
      <c r="AE171" s="1191"/>
      <c r="AF171" s="1191"/>
      <c r="AV171" s="1191"/>
      <c r="AW171" s="1191"/>
      <c r="AX171" s="1191"/>
      <c r="AY171" s="1191"/>
      <c r="AZ171" s="1191"/>
      <c r="BA171" s="1191"/>
      <c r="BC171" s="1191"/>
      <c r="BE171" s="1191"/>
      <c r="BF171" s="1191"/>
      <c r="BG171" s="1191"/>
    </row>
    <row r="172" spans="18:59" x14ac:dyDescent="0.25">
      <c r="R172" s="1191"/>
      <c r="S172" s="1191"/>
      <c r="W172" s="1191"/>
      <c r="X172" s="1191"/>
      <c r="AE172" s="1191"/>
      <c r="AF172" s="1191"/>
      <c r="AV172" s="1191"/>
      <c r="AW172" s="1191"/>
      <c r="AX172" s="1191"/>
      <c r="AY172" s="1191"/>
      <c r="AZ172" s="1191"/>
      <c r="BA172" s="1191"/>
      <c r="BC172" s="1191"/>
      <c r="BE172" s="1191"/>
      <c r="BF172" s="1191"/>
      <c r="BG172" s="1191"/>
    </row>
    <row r="173" spans="18:59" x14ac:dyDescent="0.25">
      <c r="R173" s="1191"/>
      <c r="S173" s="1191"/>
      <c r="W173" s="1191"/>
      <c r="X173" s="1191"/>
      <c r="AE173" s="1191"/>
      <c r="AF173" s="1191"/>
      <c r="AV173" s="1191"/>
      <c r="AW173" s="1191"/>
      <c r="AX173" s="1191"/>
      <c r="AY173" s="1191"/>
      <c r="AZ173" s="1191"/>
      <c r="BA173" s="1191"/>
      <c r="BC173" s="1191"/>
      <c r="BE173" s="1191"/>
      <c r="BF173" s="1191"/>
      <c r="BG173" s="1191"/>
    </row>
    <row r="174" spans="18:59" x14ac:dyDescent="0.25">
      <c r="R174" s="1191"/>
      <c r="S174" s="1191"/>
      <c r="W174" s="1191"/>
      <c r="X174" s="1191"/>
      <c r="AE174" s="1191"/>
      <c r="AF174" s="1191"/>
      <c r="AV174" s="1191"/>
      <c r="AW174" s="1191"/>
      <c r="AX174" s="1191"/>
      <c r="AY174" s="1191"/>
      <c r="AZ174" s="1191"/>
      <c r="BA174" s="1191"/>
      <c r="BC174" s="1191"/>
      <c r="BE174" s="1191"/>
      <c r="BF174" s="1191"/>
      <c r="BG174" s="1191"/>
    </row>
    <row r="175" spans="18:59" x14ac:dyDescent="0.25">
      <c r="R175" s="1191"/>
      <c r="S175" s="1191"/>
      <c r="W175" s="1191"/>
      <c r="X175" s="1191"/>
      <c r="AE175" s="1191"/>
      <c r="AF175" s="1191"/>
      <c r="AV175" s="1191"/>
      <c r="AW175" s="1191"/>
      <c r="AX175" s="1191"/>
      <c r="AY175" s="1191"/>
      <c r="AZ175" s="1191"/>
      <c r="BA175" s="1191"/>
      <c r="BC175" s="1191"/>
      <c r="BE175" s="1191"/>
      <c r="BF175" s="1191"/>
      <c r="BG175" s="1191"/>
    </row>
    <row r="176" spans="18:59" x14ac:dyDescent="0.25">
      <c r="R176" s="1191"/>
      <c r="S176" s="1191"/>
      <c r="W176" s="1191"/>
      <c r="X176" s="1191"/>
      <c r="AE176" s="1191"/>
      <c r="AF176" s="1191"/>
      <c r="AV176" s="1191"/>
      <c r="AW176" s="1191"/>
      <c r="AX176" s="1191"/>
      <c r="AY176" s="1191"/>
      <c r="AZ176" s="1191"/>
      <c r="BA176" s="1191"/>
      <c r="BC176" s="1191"/>
      <c r="BE176" s="1191"/>
      <c r="BF176" s="1191"/>
      <c r="BG176" s="1191"/>
    </row>
    <row r="177" spans="18:59" x14ac:dyDescent="0.25">
      <c r="R177" s="1191"/>
      <c r="S177" s="1191"/>
      <c r="W177" s="1191"/>
      <c r="X177" s="1191"/>
      <c r="AE177" s="1191"/>
      <c r="AF177" s="1191"/>
      <c r="AV177" s="1191"/>
      <c r="AW177" s="1191"/>
      <c r="AX177" s="1191"/>
      <c r="AY177" s="1191"/>
      <c r="AZ177" s="1191"/>
      <c r="BA177" s="1191"/>
      <c r="BC177" s="1191"/>
      <c r="BE177" s="1191"/>
      <c r="BF177" s="1191"/>
      <c r="BG177" s="1191"/>
    </row>
    <row r="178" spans="18:59" x14ac:dyDescent="0.25">
      <c r="R178" s="1191"/>
      <c r="S178" s="1191"/>
      <c r="W178" s="1191"/>
      <c r="X178" s="1191"/>
      <c r="AE178" s="1191"/>
      <c r="AF178" s="1191"/>
      <c r="AV178" s="1191"/>
      <c r="AW178" s="1191"/>
      <c r="AX178" s="1191"/>
      <c r="AY178" s="1191"/>
      <c r="AZ178" s="1191"/>
      <c r="BA178" s="1191"/>
      <c r="BC178" s="1191"/>
      <c r="BE178" s="1191"/>
      <c r="BF178" s="1191"/>
      <c r="BG178" s="1191"/>
    </row>
    <row r="179" spans="18:59" x14ac:dyDescent="0.25">
      <c r="R179" s="1191"/>
      <c r="S179" s="1191"/>
      <c r="W179" s="1191"/>
      <c r="X179" s="1191"/>
      <c r="AE179" s="1191"/>
      <c r="AF179" s="1191"/>
      <c r="AV179" s="1191"/>
      <c r="AW179" s="1191"/>
      <c r="AX179" s="1191"/>
      <c r="AY179" s="1191"/>
      <c r="AZ179" s="1191"/>
      <c r="BA179" s="1191"/>
      <c r="BC179" s="1191"/>
      <c r="BE179" s="1191"/>
      <c r="BF179" s="1191"/>
      <c r="BG179" s="1191"/>
    </row>
    <row r="180" spans="18:59" x14ac:dyDescent="0.25">
      <c r="R180" s="1191"/>
      <c r="S180" s="1191"/>
      <c r="W180" s="1191"/>
      <c r="X180" s="1191"/>
      <c r="AE180" s="1191"/>
      <c r="AF180" s="1191"/>
      <c r="AV180" s="1191"/>
      <c r="AW180" s="1191"/>
      <c r="AX180" s="1191"/>
      <c r="AY180" s="1191"/>
      <c r="AZ180" s="1191"/>
      <c r="BA180" s="1191"/>
      <c r="BC180" s="1191"/>
      <c r="BE180" s="1191"/>
      <c r="BF180" s="1191"/>
      <c r="BG180" s="1191"/>
    </row>
    <row r="181" spans="18:59" x14ac:dyDescent="0.25">
      <c r="R181" s="1191"/>
      <c r="S181" s="1191"/>
      <c r="W181" s="1191"/>
      <c r="X181" s="1191"/>
      <c r="AE181" s="1191"/>
      <c r="AF181" s="1191"/>
      <c r="AV181" s="1191"/>
      <c r="AW181" s="1191"/>
      <c r="AX181" s="1191"/>
      <c r="AY181" s="1191"/>
      <c r="AZ181" s="1191"/>
      <c r="BA181" s="1191"/>
      <c r="BC181" s="1191"/>
      <c r="BE181" s="1191"/>
      <c r="BF181" s="1191"/>
      <c r="BG181" s="1191"/>
    </row>
    <row r="182" spans="18:59" x14ac:dyDescent="0.25">
      <c r="R182" s="1191"/>
      <c r="S182" s="1191"/>
      <c r="W182" s="1191"/>
      <c r="X182" s="1191"/>
      <c r="AE182" s="1191"/>
      <c r="AF182" s="1191"/>
      <c r="AV182" s="1191"/>
      <c r="AW182" s="1191"/>
      <c r="AX182" s="1191"/>
      <c r="AY182" s="1191"/>
      <c r="AZ182" s="1191"/>
      <c r="BA182" s="1191"/>
      <c r="BC182" s="1191"/>
      <c r="BE182" s="1191"/>
      <c r="BF182" s="1191"/>
      <c r="BG182" s="1191"/>
    </row>
    <row r="183" spans="18:59" x14ac:dyDescent="0.25">
      <c r="R183" s="1191"/>
      <c r="S183" s="1191"/>
      <c r="W183" s="1191"/>
      <c r="X183" s="1191"/>
      <c r="AE183" s="1191"/>
      <c r="AF183" s="1191"/>
      <c r="AV183" s="1191"/>
      <c r="AW183" s="1191"/>
      <c r="AX183" s="1191"/>
      <c r="AY183" s="1191"/>
      <c r="AZ183" s="1191"/>
      <c r="BA183" s="1191"/>
      <c r="BC183" s="1191"/>
      <c r="BE183" s="1191"/>
      <c r="BF183" s="1191"/>
      <c r="BG183" s="1191"/>
    </row>
    <row r="184" spans="18:59" x14ac:dyDescent="0.25">
      <c r="R184" s="1191"/>
      <c r="S184" s="1191"/>
      <c r="W184" s="1191"/>
      <c r="X184" s="1191"/>
      <c r="AE184" s="1191"/>
      <c r="AF184" s="1191"/>
      <c r="AV184" s="1191"/>
      <c r="AW184" s="1191"/>
      <c r="AX184" s="1191"/>
      <c r="AY184" s="1191"/>
      <c r="AZ184" s="1191"/>
      <c r="BA184" s="1191"/>
      <c r="BC184" s="1191"/>
      <c r="BE184" s="1191"/>
      <c r="BF184" s="1191"/>
      <c r="BG184" s="1191"/>
    </row>
    <row r="185" spans="18:59" x14ac:dyDescent="0.25">
      <c r="R185" s="1191"/>
      <c r="S185" s="1191"/>
      <c r="W185" s="1191"/>
      <c r="X185" s="1191"/>
      <c r="AE185" s="1191"/>
      <c r="AF185" s="1191"/>
      <c r="AV185" s="1191"/>
      <c r="AW185" s="1191"/>
      <c r="AX185" s="1191"/>
      <c r="AY185" s="1191"/>
      <c r="AZ185" s="1191"/>
      <c r="BA185" s="1191"/>
      <c r="BC185" s="1191"/>
      <c r="BE185" s="1191"/>
      <c r="BF185" s="1191"/>
      <c r="BG185" s="1191"/>
    </row>
    <row r="186" spans="18:59" x14ac:dyDescent="0.25">
      <c r="R186" s="1191"/>
      <c r="S186" s="1191"/>
      <c r="W186" s="1191"/>
      <c r="X186" s="1191"/>
      <c r="AE186" s="1191"/>
      <c r="AF186" s="1191"/>
      <c r="AV186" s="1191"/>
      <c r="AW186" s="1191"/>
      <c r="AX186" s="1191"/>
      <c r="AY186" s="1191"/>
      <c r="AZ186" s="1191"/>
      <c r="BA186" s="1191"/>
      <c r="BC186" s="1191"/>
      <c r="BE186" s="1191"/>
      <c r="BF186" s="1191"/>
      <c r="BG186" s="1191"/>
    </row>
    <row r="187" spans="18:59" x14ac:dyDescent="0.25">
      <c r="R187" s="1191"/>
      <c r="S187" s="1191"/>
      <c r="W187" s="1191"/>
      <c r="X187" s="1191"/>
      <c r="AE187" s="1191"/>
      <c r="AF187" s="1191"/>
      <c r="AV187" s="1191"/>
      <c r="AW187" s="1191"/>
      <c r="AX187" s="1191"/>
      <c r="AY187" s="1191"/>
      <c r="AZ187" s="1191"/>
      <c r="BA187" s="1191"/>
      <c r="BC187" s="1191"/>
      <c r="BE187" s="1191"/>
      <c r="BF187" s="1191"/>
      <c r="BG187" s="1191"/>
    </row>
    <row r="188" spans="18:59" x14ac:dyDescent="0.25">
      <c r="R188" s="1191"/>
      <c r="S188" s="1191"/>
      <c r="W188" s="1191"/>
      <c r="X188" s="1191"/>
      <c r="AE188" s="1191"/>
      <c r="AF188" s="1191"/>
      <c r="AV188" s="1191"/>
      <c r="AW188" s="1191"/>
      <c r="AX188" s="1191"/>
      <c r="AY188" s="1191"/>
      <c r="AZ188" s="1191"/>
      <c r="BA188" s="1191"/>
      <c r="BC188" s="1191"/>
      <c r="BE188" s="1191"/>
      <c r="BF188" s="1191"/>
      <c r="BG188" s="1191"/>
    </row>
    <row r="189" spans="18:59" x14ac:dyDescent="0.25">
      <c r="R189" s="1191"/>
      <c r="S189" s="1191"/>
      <c r="W189" s="1191"/>
      <c r="X189" s="1191"/>
      <c r="AE189" s="1191"/>
      <c r="AF189" s="1191"/>
      <c r="AV189" s="1191"/>
      <c r="AW189" s="1191"/>
      <c r="AX189" s="1191"/>
      <c r="AY189" s="1191"/>
      <c r="AZ189" s="1191"/>
      <c r="BA189" s="1191"/>
      <c r="BC189" s="1191"/>
      <c r="BE189" s="1191"/>
      <c r="BF189" s="1191"/>
      <c r="BG189" s="1191"/>
    </row>
    <row r="190" spans="18:59" x14ac:dyDescent="0.25">
      <c r="R190" s="1191"/>
      <c r="S190" s="1191"/>
      <c r="W190" s="1191"/>
      <c r="X190" s="1191"/>
      <c r="AE190" s="1191"/>
      <c r="AF190" s="1191"/>
      <c r="AV190" s="1191"/>
      <c r="AW190" s="1191"/>
      <c r="AX190" s="1191"/>
      <c r="AY190" s="1191"/>
      <c r="AZ190" s="1191"/>
      <c r="BA190" s="1191"/>
      <c r="BC190" s="1191"/>
      <c r="BE190" s="1191"/>
      <c r="BF190" s="1191"/>
      <c r="BG190" s="1191"/>
    </row>
    <row r="191" spans="18:59" x14ac:dyDescent="0.25">
      <c r="R191" s="1191"/>
      <c r="S191" s="1191"/>
      <c r="W191" s="1191"/>
      <c r="X191" s="1191"/>
      <c r="AE191" s="1191"/>
      <c r="AF191" s="1191"/>
      <c r="AV191" s="1191"/>
      <c r="AW191" s="1191"/>
      <c r="AX191" s="1191"/>
      <c r="AY191" s="1191"/>
      <c r="AZ191" s="1191"/>
      <c r="BA191" s="1191"/>
      <c r="BC191" s="1191"/>
      <c r="BE191" s="1191"/>
      <c r="BF191" s="1191"/>
      <c r="BG191" s="1191"/>
    </row>
    <row r="192" spans="18:59" x14ac:dyDescent="0.25">
      <c r="R192" s="1191"/>
      <c r="S192" s="1191"/>
      <c r="W192" s="1191"/>
      <c r="X192" s="1191"/>
      <c r="AE192" s="1191"/>
      <c r="AF192" s="1191"/>
      <c r="AV192" s="1191"/>
      <c r="AW192" s="1191"/>
      <c r="AX192" s="1191"/>
      <c r="AY192" s="1191"/>
      <c r="AZ192" s="1191"/>
      <c r="BA192" s="1191"/>
      <c r="BC192" s="1191"/>
      <c r="BE192" s="1191"/>
      <c r="BF192" s="1191"/>
      <c r="BG192" s="1191"/>
    </row>
    <row r="193" spans="18:59" x14ac:dyDescent="0.25">
      <c r="R193" s="1191"/>
      <c r="S193" s="1191"/>
      <c r="W193" s="1191"/>
      <c r="X193" s="1191"/>
      <c r="AE193" s="1191"/>
      <c r="AF193" s="1191"/>
      <c r="AV193" s="1191"/>
      <c r="AW193" s="1191"/>
      <c r="AX193" s="1191"/>
      <c r="AY193" s="1191"/>
      <c r="AZ193" s="1191"/>
      <c r="BA193" s="1191"/>
      <c r="BC193" s="1191"/>
      <c r="BE193" s="1191"/>
      <c r="BF193" s="1191"/>
      <c r="BG193" s="1191"/>
    </row>
    <row r="194" spans="18:59" x14ac:dyDescent="0.25">
      <c r="R194" s="1191"/>
      <c r="S194" s="1191"/>
      <c r="W194" s="1191"/>
      <c r="X194" s="1191"/>
      <c r="AE194" s="1191"/>
      <c r="AF194" s="1191"/>
      <c r="AV194" s="1191"/>
      <c r="AW194" s="1191"/>
      <c r="AX194" s="1191"/>
      <c r="AY194" s="1191"/>
      <c r="AZ194" s="1191"/>
      <c r="BA194" s="1191"/>
      <c r="BC194" s="1191"/>
      <c r="BE194" s="1191"/>
      <c r="BF194" s="1191"/>
      <c r="BG194" s="1191"/>
    </row>
    <row r="195" spans="18:59" x14ac:dyDescent="0.25">
      <c r="R195" s="1191"/>
      <c r="S195" s="1191"/>
      <c r="W195" s="1191"/>
      <c r="X195" s="1191"/>
      <c r="AE195" s="1191"/>
      <c r="AF195" s="1191"/>
      <c r="AV195" s="1191"/>
      <c r="AW195" s="1191"/>
      <c r="AX195" s="1191"/>
      <c r="AY195" s="1191"/>
      <c r="AZ195" s="1191"/>
      <c r="BA195" s="1191"/>
      <c r="BC195" s="1191"/>
      <c r="BE195" s="1191"/>
      <c r="BF195" s="1191"/>
      <c r="BG195" s="1191"/>
    </row>
    <row r="196" spans="18:59" x14ac:dyDescent="0.25">
      <c r="R196" s="1191"/>
      <c r="S196" s="1191"/>
      <c r="W196" s="1191"/>
      <c r="X196" s="1191"/>
      <c r="AE196" s="1191"/>
      <c r="AF196" s="1191"/>
      <c r="AV196" s="1191"/>
      <c r="AW196" s="1191"/>
      <c r="AX196" s="1191"/>
      <c r="AY196" s="1191"/>
      <c r="AZ196" s="1191"/>
      <c r="BA196" s="1191"/>
      <c r="BC196" s="1191"/>
      <c r="BE196" s="1191"/>
      <c r="BF196" s="1191"/>
      <c r="BG196" s="1191"/>
    </row>
    <row r="197" spans="18:59" x14ac:dyDescent="0.25">
      <c r="R197" s="1191"/>
      <c r="S197" s="1191"/>
      <c r="W197" s="1191"/>
      <c r="X197" s="1191"/>
      <c r="AE197" s="1191"/>
      <c r="AF197" s="1191"/>
      <c r="AV197" s="1191"/>
      <c r="AW197" s="1191"/>
      <c r="AX197" s="1191"/>
      <c r="AY197" s="1191"/>
      <c r="AZ197" s="1191"/>
      <c r="BA197" s="1191"/>
      <c r="BC197" s="1191"/>
      <c r="BE197" s="1191"/>
      <c r="BF197" s="1191"/>
      <c r="BG197" s="1191"/>
    </row>
    <row r="198" spans="18:59" x14ac:dyDescent="0.25">
      <c r="R198" s="1191"/>
      <c r="S198" s="1191"/>
      <c r="W198" s="1191"/>
      <c r="X198" s="1191"/>
      <c r="AE198" s="1191"/>
      <c r="AF198" s="1191"/>
      <c r="AV198" s="1191"/>
      <c r="AW198" s="1191"/>
      <c r="AX198" s="1191"/>
      <c r="AY198" s="1191"/>
      <c r="AZ198" s="1191"/>
      <c r="BA198" s="1191"/>
      <c r="BC198" s="1191"/>
      <c r="BE198" s="1191"/>
      <c r="BF198" s="1191"/>
      <c r="BG198" s="1191"/>
    </row>
    <row r="199" spans="18:59" x14ac:dyDescent="0.25">
      <c r="R199" s="1191"/>
      <c r="S199" s="1191"/>
      <c r="W199" s="1191"/>
      <c r="X199" s="1191"/>
      <c r="AE199" s="1191"/>
      <c r="AF199" s="1191"/>
      <c r="AV199" s="1191"/>
      <c r="AW199" s="1191"/>
      <c r="AX199" s="1191"/>
      <c r="AY199" s="1191"/>
      <c r="AZ199" s="1191"/>
      <c r="BA199" s="1191"/>
      <c r="BC199" s="1191"/>
      <c r="BE199" s="1191"/>
      <c r="BF199" s="1191"/>
      <c r="BG199" s="1191"/>
    </row>
    <row r="200" spans="18:59" x14ac:dyDescent="0.25">
      <c r="R200" s="1191"/>
      <c r="S200" s="1191"/>
      <c r="W200" s="1191"/>
      <c r="X200" s="1191"/>
      <c r="AE200" s="1191"/>
      <c r="AF200" s="1191"/>
      <c r="AV200" s="1191"/>
      <c r="AW200" s="1191"/>
      <c r="AX200" s="1191"/>
      <c r="AY200" s="1191"/>
      <c r="AZ200" s="1191"/>
      <c r="BA200" s="1191"/>
      <c r="BC200" s="1191"/>
      <c r="BE200" s="1191"/>
      <c r="BF200" s="1191"/>
      <c r="BG200" s="1191"/>
    </row>
    <row r="201" spans="18:59" x14ac:dyDescent="0.25">
      <c r="R201" s="1191"/>
      <c r="S201" s="1191"/>
      <c r="W201" s="1191"/>
      <c r="X201" s="1191"/>
      <c r="AE201" s="1191"/>
      <c r="AF201" s="1191"/>
      <c r="AV201" s="1191"/>
      <c r="AW201" s="1191"/>
      <c r="AX201" s="1191"/>
      <c r="AY201" s="1191"/>
      <c r="AZ201" s="1191"/>
      <c r="BA201" s="1191"/>
      <c r="BC201" s="1191"/>
      <c r="BE201" s="1191"/>
      <c r="BF201" s="1191"/>
      <c r="BG201" s="1191"/>
    </row>
    <row r="202" spans="18:59" x14ac:dyDescent="0.25">
      <c r="R202" s="1191"/>
      <c r="S202" s="1191"/>
      <c r="W202" s="1191"/>
      <c r="X202" s="1191"/>
      <c r="AE202" s="1191"/>
      <c r="AF202" s="1191"/>
      <c r="AV202" s="1191"/>
      <c r="AW202" s="1191"/>
      <c r="AX202" s="1191"/>
      <c r="AY202" s="1191"/>
      <c r="AZ202" s="1191"/>
      <c r="BA202" s="1191"/>
      <c r="BC202" s="1191"/>
      <c r="BE202" s="1191"/>
      <c r="BF202" s="1191"/>
      <c r="BG202" s="1191"/>
    </row>
    <row r="203" spans="18:59" x14ac:dyDescent="0.25">
      <c r="R203" s="1191"/>
      <c r="S203" s="1191"/>
      <c r="W203" s="1191"/>
      <c r="X203" s="1191"/>
      <c r="AE203" s="1191"/>
      <c r="AF203" s="1191"/>
      <c r="AV203" s="1191"/>
      <c r="AW203" s="1191"/>
      <c r="AX203" s="1191"/>
      <c r="AY203" s="1191"/>
      <c r="AZ203" s="1191"/>
      <c r="BA203" s="1191"/>
      <c r="BC203" s="1191"/>
      <c r="BE203" s="1191"/>
      <c r="BF203" s="1191"/>
      <c r="BG203" s="1191"/>
    </row>
    <row r="204" spans="18:59" x14ac:dyDescent="0.25">
      <c r="R204" s="1191"/>
      <c r="S204" s="1191"/>
      <c r="W204" s="1191"/>
      <c r="X204" s="1191"/>
      <c r="AE204" s="1191"/>
      <c r="AF204" s="1191"/>
      <c r="AV204" s="1191"/>
      <c r="AW204" s="1191"/>
      <c r="AX204" s="1191"/>
      <c r="AY204" s="1191"/>
      <c r="AZ204" s="1191"/>
      <c r="BA204" s="1191"/>
      <c r="BC204" s="1191"/>
      <c r="BE204" s="1191"/>
      <c r="BF204" s="1191"/>
      <c r="BG204" s="1191"/>
    </row>
    <row r="205" spans="18:59" x14ac:dyDescent="0.25">
      <c r="R205" s="1191"/>
      <c r="S205" s="1191"/>
      <c r="W205" s="1191"/>
      <c r="X205" s="1191"/>
      <c r="AE205" s="1191"/>
      <c r="AF205" s="1191"/>
      <c r="AV205" s="1191"/>
      <c r="AW205" s="1191"/>
      <c r="AX205" s="1191"/>
      <c r="AY205" s="1191"/>
      <c r="AZ205" s="1191"/>
      <c r="BA205" s="1191"/>
      <c r="BC205" s="1191"/>
      <c r="BE205" s="1191"/>
      <c r="BF205" s="1191"/>
      <c r="BG205" s="1191"/>
    </row>
    <row r="206" spans="18:59" x14ac:dyDescent="0.25">
      <c r="R206" s="1191"/>
      <c r="S206" s="1191"/>
      <c r="W206" s="1191"/>
      <c r="X206" s="1191"/>
      <c r="AE206" s="1191"/>
      <c r="AF206" s="1191"/>
      <c r="AV206" s="1191"/>
      <c r="AW206" s="1191"/>
      <c r="AX206" s="1191"/>
      <c r="AY206" s="1191"/>
      <c r="AZ206" s="1191"/>
      <c r="BA206" s="1191"/>
      <c r="BC206" s="1191"/>
      <c r="BE206" s="1191"/>
      <c r="BF206" s="1191"/>
      <c r="BG206" s="1191"/>
    </row>
    <row r="207" spans="18:59" x14ac:dyDescent="0.25">
      <c r="R207" s="1191"/>
      <c r="S207" s="1191"/>
      <c r="W207" s="1191"/>
      <c r="X207" s="1191"/>
      <c r="AE207" s="1191"/>
      <c r="AF207" s="1191"/>
      <c r="AV207" s="1191"/>
      <c r="AW207" s="1191"/>
      <c r="AX207" s="1191"/>
      <c r="AY207" s="1191"/>
      <c r="AZ207" s="1191"/>
      <c r="BA207" s="1191"/>
      <c r="BC207" s="1191"/>
      <c r="BE207" s="1191"/>
      <c r="BF207" s="1191"/>
      <c r="BG207" s="1191"/>
    </row>
    <row r="208" spans="18:59" x14ac:dyDescent="0.25">
      <c r="R208" s="1191"/>
      <c r="S208" s="1191"/>
      <c r="W208" s="1191"/>
      <c r="X208" s="1191"/>
      <c r="AE208" s="1191"/>
      <c r="AF208" s="1191"/>
      <c r="AV208" s="1191"/>
      <c r="AW208" s="1191"/>
      <c r="AX208" s="1191"/>
      <c r="AY208" s="1191"/>
      <c r="AZ208" s="1191"/>
      <c r="BA208" s="1191"/>
      <c r="BC208" s="1191"/>
      <c r="BE208" s="1191"/>
      <c r="BF208" s="1191"/>
      <c r="BG208" s="1191"/>
    </row>
    <row r="209" spans="18:59" x14ac:dyDescent="0.25">
      <c r="R209" s="1191"/>
      <c r="S209" s="1191"/>
      <c r="W209" s="1191"/>
      <c r="X209" s="1191"/>
      <c r="AE209" s="1191"/>
      <c r="AF209" s="1191"/>
      <c r="AV209" s="1191"/>
      <c r="AW209" s="1191"/>
      <c r="AX209" s="1191"/>
      <c r="AY209" s="1191"/>
      <c r="AZ209" s="1191"/>
      <c r="BA209" s="1191"/>
      <c r="BC209" s="1191"/>
      <c r="BE209" s="1191"/>
      <c r="BF209" s="1191"/>
      <c r="BG209" s="1191"/>
    </row>
    <row r="210" spans="18:59" x14ac:dyDescent="0.25">
      <c r="R210" s="1191"/>
      <c r="S210" s="1191"/>
      <c r="W210" s="1191"/>
      <c r="X210" s="1191"/>
      <c r="AE210" s="1191"/>
      <c r="AF210" s="1191"/>
      <c r="AV210" s="1191"/>
      <c r="AW210" s="1191"/>
      <c r="AX210" s="1191"/>
      <c r="AY210" s="1191"/>
      <c r="AZ210" s="1191"/>
      <c r="BA210" s="1191"/>
      <c r="BC210" s="1191"/>
      <c r="BE210" s="1191"/>
      <c r="BF210" s="1191"/>
      <c r="BG210" s="1191"/>
    </row>
    <row r="211" spans="18:59" x14ac:dyDescent="0.25">
      <c r="R211" s="1191"/>
      <c r="S211" s="1191"/>
      <c r="W211" s="1191"/>
      <c r="X211" s="1191"/>
      <c r="AE211" s="1191"/>
      <c r="AF211" s="1191"/>
      <c r="AV211" s="1191"/>
      <c r="AW211" s="1191"/>
      <c r="AX211" s="1191"/>
      <c r="AY211" s="1191"/>
      <c r="AZ211" s="1191"/>
      <c r="BA211" s="1191"/>
      <c r="BC211" s="1191"/>
      <c r="BE211" s="1191"/>
      <c r="BF211" s="1191"/>
      <c r="BG211" s="1191"/>
    </row>
    <row r="212" spans="18:59" x14ac:dyDescent="0.25">
      <c r="R212" s="1191"/>
      <c r="S212" s="1191"/>
      <c r="W212" s="1191"/>
      <c r="X212" s="1191"/>
      <c r="AE212" s="1191"/>
      <c r="AF212" s="1191"/>
      <c r="AV212" s="1191"/>
      <c r="AW212" s="1191"/>
      <c r="AX212" s="1191"/>
      <c r="AY212" s="1191"/>
      <c r="AZ212" s="1191"/>
      <c r="BA212" s="1191"/>
      <c r="BC212" s="1191"/>
      <c r="BE212" s="1191"/>
      <c r="BF212" s="1191"/>
      <c r="BG212" s="1191"/>
    </row>
    <row r="213" spans="18:59" x14ac:dyDescent="0.25">
      <c r="R213" s="1191"/>
      <c r="S213" s="1191"/>
      <c r="W213" s="1191"/>
      <c r="X213" s="1191"/>
      <c r="AE213" s="1191"/>
      <c r="AF213" s="1191"/>
      <c r="AV213" s="1191"/>
      <c r="AW213" s="1191"/>
      <c r="AX213" s="1191"/>
      <c r="AY213" s="1191"/>
      <c r="AZ213" s="1191"/>
      <c r="BA213" s="1191"/>
      <c r="BC213" s="1191"/>
      <c r="BE213" s="1191"/>
      <c r="BF213" s="1191"/>
      <c r="BG213" s="1191"/>
    </row>
    <row r="214" spans="18:59" x14ac:dyDescent="0.25">
      <c r="R214" s="1191"/>
      <c r="S214" s="1191"/>
      <c r="W214" s="1191"/>
      <c r="X214" s="1191"/>
      <c r="AE214" s="1191"/>
      <c r="AF214" s="1191"/>
      <c r="AV214" s="1191"/>
      <c r="AW214" s="1191"/>
      <c r="AX214" s="1191"/>
      <c r="AY214" s="1191"/>
      <c r="AZ214" s="1191"/>
      <c r="BA214" s="1191"/>
      <c r="BC214" s="1191"/>
      <c r="BE214" s="1191"/>
      <c r="BF214" s="1191"/>
      <c r="BG214" s="1191"/>
    </row>
    <row r="215" spans="18:59" x14ac:dyDescent="0.25">
      <c r="R215" s="1191"/>
      <c r="S215" s="1191"/>
      <c r="W215" s="1191"/>
      <c r="X215" s="1191"/>
      <c r="AE215" s="1191"/>
      <c r="AF215" s="1191"/>
      <c r="AV215" s="1191"/>
      <c r="AW215" s="1191"/>
      <c r="AX215" s="1191"/>
      <c r="AY215" s="1191"/>
      <c r="AZ215" s="1191"/>
      <c r="BA215" s="1191"/>
      <c r="BC215" s="1191"/>
      <c r="BE215" s="1191"/>
      <c r="BF215" s="1191"/>
      <c r="BG215" s="1191"/>
    </row>
    <row r="216" spans="18:59" x14ac:dyDescent="0.25">
      <c r="R216" s="1191"/>
      <c r="S216" s="1191"/>
      <c r="W216" s="1191"/>
      <c r="X216" s="1191"/>
      <c r="AE216" s="1191"/>
      <c r="AF216" s="1191"/>
      <c r="AV216" s="1191"/>
      <c r="AW216" s="1191"/>
      <c r="AX216" s="1191"/>
      <c r="AY216" s="1191"/>
      <c r="AZ216" s="1191"/>
      <c r="BA216" s="1191"/>
      <c r="BC216" s="1191"/>
      <c r="BE216" s="1191"/>
      <c r="BF216" s="1191"/>
      <c r="BG216" s="1191"/>
    </row>
    <row r="217" spans="18:59" x14ac:dyDescent="0.25">
      <c r="R217" s="1191"/>
      <c r="S217" s="1191"/>
      <c r="W217" s="1191"/>
      <c r="X217" s="1191"/>
      <c r="AE217" s="1191"/>
      <c r="AF217" s="1191"/>
      <c r="AV217" s="1191"/>
      <c r="AW217" s="1191"/>
      <c r="AX217" s="1191"/>
      <c r="AY217" s="1191"/>
      <c r="AZ217" s="1191"/>
      <c r="BA217" s="1191"/>
      <c r="BC217" s="1191"/>
      <c r="BE217" s="1191"/>
      <c r="BF217" s="1191"/>
      <c r="BG217" s="1191"/>
    </row>
    <row r="218" spans="18:59" x14ac:dyDescent="0.25">
      <c r="R218" s="1191"/>
      <c r="S218" s="1191"/>
      <c r="W218" s="1191"/>
      <c r="X218" s="1191"/>
      <c r="AE218" s="1191"/>
      <c r="AF218" s="1191"/>
      <c r="AV218" s="1191"/>
      <c r="AW218" s="1191"/>
      <c r="AX218" s="1191"/>
      <c r="AY218" s="1191"/>
      <c r="AZ218" s="1191"/>
      <c r="BA218" s="1191"/>
      <c r="BC218" s="1191"/>
      <c r="BE218" s="1191"/>
      <c r="BF218" s="1191"/>
      <c r="BG218" s="1191"/>
    </row>
    <row r="219" spans="18:59" x14ac:dyDescent="0.25">
      <c r="R219" s="1191"/>
      <c r="S219" s="1191"/>
      <c r="W219" s="1191"/>
      <c r="X219" s="1191"/>
      <c r="AE219" s="1191"/>
      <c r="AF219" s="1191"/>
      <c r="AV219" s="1191"/>
      <c r="AW219" s="1191"/>
      <c r="AX219" s="1191"/>
      <c r="AY219" s="1191"/>
      <c r="AZ219" s="1191"/>
      <c r="BA219" s="1191"/>
      <c r="BC219" s="1191"/>
      <c r="BE219" s="1191"/>
      <c r="BF219" s="1191"/>
      <c r="BG219" s="1191"/>
    </row>
    <row r="220" spans="18:59" x14ac:dyDescent="0.25">
      <c r="R220" s="1191"/>
      <c r="S220" s="1191"/>
      <c r="W220" s="1191"/>
      <c r="X220" s="1191"/>
      <c r="AE220" s="1191"/>
      <c r="AF220" s="1191"/>
      <c r="AV220" s="1191"/>
      <c r="AW220" s="1191"/>
      <c r="AX220" s="1191"/>
      <c r="AY220" s="1191"/>
      <c r="AZ220" s="1191"/>
      <c r="BA220" s="1191"/>
      <c r="BC220" s="1191"/>
      <c r="BE220" s="1191"/>
      <c r="BF220" s="1191"/>
      <c r="BG220" s="1191"/>
    </row>
    <row r="221" spans="18:59" x14ac:dyDescent="0.25">
      <c r="R221" s="1191"/>
      <c r="S221" s="1191"/>
      <c r="W221" s="1191"/>
      <c r="X221" s="1191"/>
      <c r="AE221" s="1191"/>
      <c r="AF221" s="1191"/>
      <c r="AV221" s="1191"/>
      <c r="AW221" s="1191"/>
      <c r="AX221" s="1191"/>
      <c r="AY221" s="1191"/>
      <c r="AZ221" s="1191"/>
      <c r="BA221" s="1191"/>
      <c r="BC221" s="1191"/>
      <c r="BE221" s="1191"/>
      <c r="BF221" s="1191"/>
      <c r="BG221" s="1191"/>
    </row>
    <row r="222" spans="18:59" x14ac:dyDescent="0.25">
      <c r="R222" s="1191"/>
      <c r="S222" s="1191"/>
      <c r="W222" s="1191"/>
      <c r="X222" s="1191"/>
      <c r="AE222" s="1191"/>
      <c r="AF222" s="1191"/>
      <c r="AV222" s="1191"/>
      <c r="AW222" s="1191"/>
      <c r="AX222" s="1191"/>
      <c r="AY222" s="1191"/>
      <c r="AZ222" s="1191"/>
      <c r="BA222" s="1191"/>
      <c r="BC222" s="1191"/>
      <c r="BE222" s="1191"/>
      <c r="BF222" s="1191"/>
      <c r="BG222" s="1191"/>
    </row>
    <row r="223" spans="18:59" x14ac:dyDescent="0.25">
      <c r="R223" s="1191"/>
      <c r="S223" s="1191"/>
      <c r="W223" s="1191"/>
      <c r="X223" s="1191"/>
      <c r="AE223" s="1191"/>
      <c r="AF223" s="1191"/>
      <c r="AV223" s="1191"/>
      <c r="AW223" s="1191"/>
      <c r="AX223" s="1191"/>
      <c r="AY223" s="1191"/>
      <c r="AZ223" s="1191"/>
      <c r="BA223" s="1191"/>
      <c r="BC223" s="1191"/>
      <c r="BE223" s="1191"/>
      <c r="BF223" s="1191"/>
      <c r="BG223" s="1191"/>
    </row>
    <row r="224" spans="18:59" x14ac:dyDescent="0.25">
      <c r="R224" s="1191"/>
      <c r="S224" s="1191"/>
      <c r="W224" s="1191"/>
      <c r="X224" s="1191"/>
      <c r="AE224" s="1191"/>
      <c r="AF224" s="1191"/>
      <c r="AV224" s="1191"/>
      <c r="AW224" s="1191"/>
      <c r="AX224" s="1191"/>
      <c r="AY224" s="1191"/>
      <c r="AZ224" s="1191"/>
      <c r="BA224" s="1191"/>
      <c r="BC224" s="1191"/>
      <c r="BE224" s="1191"/>
      <c r="BF224" s="1191"/>
      <c r="BG224" s="1191"/>
    </row>
    <row r="225" spans="18:59" x14ac:dyDescent="0.25">
      <c r="R225" s="1191"/>
      <c r="S225" s="1191"/>
      <c r="W225" s="1191"/>
      <c r="X225" s="1191"/>
      <c r="AE225" s="1191"/>
      <c r="AF225" s="1191"/>
      <c r="AV225" s="1191"/>
      <c r="AW225" s="1191"/>
      <c r="AX225" s="1191"/>
      <c r="AY225" s="1191"/>
      <c r="AZ225" s="1191"/>
      <c r="BA225" s="1191"/>
      <c r="BC225" s="1191"/>
      <c r="BE225" s="1191"/>
      <c r="BF225" s="1191"/>
      <c r="BG225" s="1191"/>
    </row>
    <row r="226" spans="18:59" x14ac:dyDescent="0.25">
      <c r="R226" s="1191"/>
      <c r="S226" s="1191"/>
      <c r="W226" s="1191"/>
      <c r="X226" s="1191"/>
      <c r="AE226" s="1191"/>
      <c r="AF226" s="1191"/>
      <c r="AV226" s="1191"/>
      <c r="AW226" s="1191"/>
      <c r="AX226" s="1191"/>
      <c r="AY226" s="1191"/>
      <c r="AZ226" s="1191"/>
      <c r="BA226" s="1191"/>
      <c r="BC226" s="1191"/>
      <c r="BE226" s="1191"/>
      <c r="BF226" s="1191"/>
      <c r="BG226" s="1191"/>
    </row>
    <row r="227" spans="18:59" x14ac:dyDescent="0.25">
      <c r="R227" s="1191"/>
      <c r="S227" s="1191"/>
      <c r="W227" s="1191"/>
      <c r="X227" s="1191"/>
      <c r="AE227" s="1191"/>
      <c r="AF227" s="1191"/>
      <c r="AV227" s="1191"/>
      <c r="AW227" s="1191"/>
      <c r="AX227" s="1191"/>
      <c r="AY227" s="1191"/>
      <c r="AZ227" s="1191"/>
      <c r="BA227" s="1191"/>
      <c r="BC227" s="1191"/>
      <c r="BE227" s="1191"/>
      <c r="BF227" s="1191"/>
      <c r="BG227" s="1191"/>
    </row>
    <row r="228" spans="18:59" x14ac:dyDescent="0.25">
      <c r="R228" s="1191"/>
      <c r="S228" s="1191"/>
      <c r="W228" s="1191"/>
      <c r="X228" s="1191"/>
      <c r="AE228" s="1191"/>
      <c r="AF228" s="1191"/>
      <c r="AV228" s="1191"/>
      <c r="AW228" s="1191"/>
      <c r="AX228" s="1191"/>
      <c r="AY228" s="1191"/>
      <c r="AZ228" s="1191"/>
      <c r="BA228" s="1191"/>
      <c r="BC228" s="1191"/>
      <c r="BE228" s="1191"/>
      <c r="BF228" s="1191"/>
      <c r="BG228" s="1191"/>
    </row>
    <row r="229" spans="18:59" x14ac:dyDescent="0.25">
      <c r="R229" s="1191"/>
      <c r="S229" s="1191"/>
      <c r="W229" s="1191"/>
      <c r="X229" s="1191"/>
      <c r="AE229" s="1191"/>
      <c r="AF229" s="1191"/>
      <c r="AV229" s="1191"/>
      <c r="AW229" s="1191"/>
      <c r="AX229" s="1191"/>
      <c r="AY229" s="1191"/>
      <c r="AZ229" s="1191"/>
      <c r="BA229" s="1191"/>
      <c r="BC229" s="1191"/>
      <c r="BE229" s="1191"/>
      <c r="BF229" s="1191"/>
      <c r="BG229" s="1191"/>
    </row>
    <row r="230" spans="18:59" x14ac:dyDescent="0.25">
      <c r="R230" s="1191"/>
      <c r="S230" s="1191"/>
      <c r="W230" s="1191"/>
      <c r="X230" s="1191"/>
      <c r="AE230" s="1191"/>
      <c r="AF230" s="1191"/>
      <c r="AV230" s="1191"/>
      <c r="AW230" s="1191"/>
      <c r="AX230" s="1191"/>
      <c r="AY230" s="1191"/>
      <c r="AZ230" s="1191"/>
      <c r="BA230" s="1191"/>
      <c r="BC230" s="1191"/>
      <c r="BE230" s="1191"/>
      <c r="BF230" s="1191"/>
      <c r="BG230" s="1191"/>
    </row>
    <row r="231" spans="18:59" x14ac:dyDescent="0.25">
      <c r="R231" s="1191"/>
      <c r="S231" s="1191"/>
      <c r="W231" s="1191"/>
      <c r="X231" s="1191"/>
      <c r="AE231" s="1191"/>
      <c r="AF231" s="1191"/>
      <c r="AV231" s="1191"/>
      <c r="AW231" s="1191"/>
      <c r="AX231" s="1191"/>
      <c r="AY231" s="1191"/>
      <c r="AZ231" s="1191"/>
      <c r="BA231" s="1191"/>
      <c r="BC231" s="1191"/>
      <c r="BE231" s="1191"/>
      <c r="BF231" s="1191"/>
      <c r="BG231" s="1191"/>
    </row>
    <row r="232" spans="18:59" x14ac:dyDescent="0.25">
      <c r="R232" s="1191"/>
      <c r="S232" s="1191"/>
      <c r="W232" s="1191"/>
      <c r="X232" s="1191"/>
      <c r="AE232" s="1191"/>
      <c r="AF232" s="1191"/>
      <c r="AV232" s="1191"/>
      <c r="AW232" s="1191"/>
      <c r="AX232" s="1191"/>
      <c r="AY232" s="1191"/>
      <c r="AZ232" s="1191"/>
      <c r="BA232" s="1191"/>
      <c r="BC232" s="1191"/>
      <c r="BE232" s="1191"/>
      <c r="BF232" s="1191"/>
      <c r="BG232" s="1191"/>
    </row>
    <row r="233" spans="18:59" x14ac:dyDescent="0.25">
      <c r="R233" s="1191"/>
      <c r="S233" s="1191"/>
      <c r="W233" s="1191"/>
      <c r="X233" s="1191"/>
      <c r="AE233" s="1191"/>
      <c r="AF233" s="1191"/>
      <c r="AV233" s="1191"/>
      <c r="AW233" s="1191"/>
      <c r="AX233" s="1191"/>
      <c r="AY233" s="1191"/>
      <c r="AZ233" s="1191"/>
      <c r="BA233" s="1191"/>
      <c r="BC233" s="1191"/>
      <c r="BE233" s="1191"/>
      <c r="BF233" s="1191"/>
      <c r="BG233" s="1191"/>
    </row>
    <row r="234" spans="18:59" x14ac:dyDescent="0.25">
      <c r="R234" s="1191"/>
      <c r="S234" s="1191"/>
      <c r="W234" s="1191"/>
      <c r="X234" s="1191"/>
      <c r="AE234" s="1191"/>
      <c r="AF234" s="1191"/>
      <c r="AV234" s="1191"/>
      <c r="AW234" s="1191"/>
      <c r="AX234" s="1191"/>
      <c r="AY234" s="1191"/>
      <c r="AZ234" s="1191"/>
      <c r="BA234" s="1191"/>
      <c r="BC234" s="1191"/>
      <c r="BE234" s="1191"/>
      <c r="BF234" s="1191"/>
      <c r="BG234" s="1191"/>
    </row>
    <row r="235" spans="18:59" x14ac:dyDescent="0.25">
      <c r="R235" s="1191"/>
      <c r="S235" s="1191"/>
      <c r="W235" s="1191"/>
      <c r="X235" s="1191"/>
      <c r="AE235" s="1191"/>
      <c r="AF235" s="1191"/>
      <c r="AV235" s="1191"/>
      <c r="AW235" s="1191"/>
      <c r="AX235" s="1191"/>
      <c r="AY235" s="1191"/>
      <c r="AZ235" s="1191"/>
      <c r="BA235" s="1191"/>
      <c r="BC235" s="1191"/>
      <c r="BE235" s="1191"/>
      <c r="BF235" s="1191"/>
      <c r="BG235" s="1191"/>
    </row>
    <row r="236" spans="18:59" x14ac:dyDescent="0.25">
      <c r="R236" s="1191"/>
      <c r="S236" s="1191"/>
      <c r="W236" s="1191"/>
      <c r="X236" s="1191"/>
      <c r="AE236" s="1191"/>
      <c r="AF236" s="1191"/>
      <c r="AV236" s="1191"/>
      <c r="AW236" s="1191"/>
      <c r="AX236" s="1191"/>
      <c r="AY236" s="1191"/>
      <c r="AZ236" s="1191"/>
      <c r="BA236" s="1191"/>
      <c r="BC236" s="1191"/>
      <c r="BE236" s="1191"/>
      <c r="BF236" s="1191"/>
      <c r="BG236" s="1191"/>
    </row>
    <row r="237" spans="18:59" x14ac:dyDescent="0.25">
      <c r="R237" s="1191"/>
      <c r="S237" s="1191"/>
      <c r="W237" s="1191"/>
      <c r="X237" s="1191"/>
      <c r="AE237" s="1191"/>
      <c r="AF237" s="1191"/>
      <c r="AV237" s="1191"/>
      <c r="AW237" s="1191"/>
      <c r="AX237" s="1191"/>
      <c r="AY237" s="1191"/>
      <c r="AZ237" s="1191"/>
      <c r="BA237" s="1191"/>
      <c r="BC237" s="1191"/>
      <c r="BE237" s="1191"/>
      <c r="BF237" s="1191"/>
      <c r="BG237" s="1191"/>
    </row>
    <row r="238" spans="18:59" x14ac:dyDescent="0.25">
      <c r="R238" s="1191"/>
      <c r="S238" s="1191"/>
      <c r="W238" s="1191"/>
      <c r="X238" s="1191"/>
      <c r="AE238" s="1191"/>
      <c r="AF238" s="1191"/>
      <c r="AV238" s="1191"/>
      <c r="AW238" s="1191"/>
      <c r="AX238" s="1191"/>
      <c r="AY238" s="1191"/>
      <c r="AZ238" s="1191"/>
      <c r="BA238" s="1191"/>
      <c r="BC238" s="1191"/>
      <c r="BE238" s="1191"/>
      <c r="BF238" s="1191"/>
      <c r="BG238" s="1191"/>
    </row>
    <row r="239" spans="18:59" x14ac:dyDescent="0.25">
      <c r="R239" s="1191"/>
      <c r="S239" s="1191"/>
      <c r="W239" s="1191"/>
      <c r="X239" s="1191"/>
      <c r="AE239" s="1191"/>
      <c r="AF239" s="1191"/>
      <c r="AV239" s="1191"/>
      <c r="AW239" s="1191"/>
      <c r="AX239" s="1191"/>
      <c r="AY239" s="1191"/>
      <c r="AZ239" s="1191"/>
      <c r="BA239" s="1191"/>
      <c r="BC239" s="1191"/>
      <c r="BE239" s="1191"/>
      <c r="BF239" s="1191"/>
      <c r="BG239" s="1191"/>
    </row>
    <row r="240" spans="18:59" x14ac:dyDescent="0.25">
      <c r="R240" s="1191"/>
      <c r="S240" s="1191"/>
      <c r="W240" s="1191"/>
      <c r="X240" s="1191"/>
      <c r="AE240" s="1191"/>
      <c r="AF240" s="1191"/>
      <c r="AV240" s="1191"/>
      <c r="AW240" s="1191"/>
      <c r="AX240" s="1191"/>
      <c r="AY240" s="1191"/>
      <c r="AZ240" s="1191"/>
      <c r="BA240" s="1191"/>
      <c r="BC240" s="1191"/>
      <c r="BE240" s="1191"/>
      <c r="BF240" s="1191"/>
      <c r="BG240" s="1191"/>
    </row>
    <row r="241" spans="18:59" x14ac:dyDescent="0.25">
      <c r="R241" s="1191"/>
      <c r="S241" s="1191"/>
      <c r="W241" s="1191"/>
      <c r="X241" s="1191"/>
      <c r="AE241" s="1191"/>
      <c r="AF241" s="1191"/>
      <c r="AV241" s="1191"/>
      <c r="AW241" s="1191"/>
      <c r="AX241" s="1191"/>
      <c r="AY241" s="1191"/>
      <c r="AZ241" s="1191"/>
      <c r="BA241" s="1191"/>
      <c r="BC241" s="1191"/>
      <c r="BE241" s="1191"/>
      <c r="BF241" s="1191"/>
      <c r="BG241" s="1191"/>
    </row>
    <row r="242" spans="18:59" x14ac:dyDescent="0.25">
      <c r="R242" s="1191"/>
      <c r="S242" s="1191"/>
      <c r="W242" s="1191"/>
      <c r="X242" s="1191"/>
      <c r="AE242" s="1191"/>
      <c r="AF242" s="1191"/>
      <c r="AV242" s="1191"/>
      <c r="AW242" s="1191"/>
      <c r="AX242" s="1191"/>
      <c r="AY242" s="1191"/>
      <c r="AZ242" s="1191"/>
      <c r="BA242" s="1191"/>
      <c r="BC242" s="1191"/>
      <c r="BE242" s="1191"/>
      <c r="BF242" s="1191"/>
      <c r="BG242" s="1191"/>
    </row>
    <row r="243" spans="18:59" x14ac:dyDescent="0.25">
      <c r="R243" s="1191"/>
      <c r="S243" s="1191"/>
      <c r="W243" s="1191"/>
      <c r="X243" s="1191"/>
      <c r="AE243" s="1191"/>
      <c r="AF243" s="1191"/>
      <c r="AV243" s="1191"/>
      <c r="AW243" s="1191"/>
      <c r="AX243" s="1191"/>
      <c r="AY243" s="1191"/>
      <c r="AZ243" s="1191"/>
      <c r="BA243" s="1191"/>
      <c r="BC243" s="1191"/>
      <c r="BE243" s="1191"/>
      <c r="BF243" s="1191"/>
      <c r="BG243" s="1191"/>
    </row>
    <row r="244" spans="18:59" x14ac:dyDescent="0.25">
      <c r="R244" s="1191"/>
      <c r="S244" s="1191"/>
      <c r="W244" s="1191"/>
      <c r="X244" s="1191"/>
      <c r="AE244" s="1191"/>
      <c r="AF244" s="1191"/>
      <c r="AV244" s="1191"/>
      <c r="AW244" s="1191"/>
      <c r="AX244" s="1191"/>
      <c r="AY244" s="1191"/>
      <c r="AZ244" s="1191"/>
      <c r="BA244" s="1191"/>
      <c r="BC244" s="1191"/>
      <c r="BE244" s="1191"/>
      <c r="BF244" s="1191"/>
      <c r="BG244" s="1191"/>
    </row>
    <row r="245" spans="18:59" x14ac:dyDescent="0.25">
      <c r="R245" s="1191"/>
      <c r="S245" s="1191"/>
      <c r="W245" s="1191"/>
      <c r="X245" s="1191"/>
      <c r="AE245" s="1191"/>
      <c r="AF245" s="1191"/>
      <c r="AV245" s="1191"/>
      <c r="AW245" s="1191"/>
      <c r="AX245" s="1191"/>
      <c r="AY245" s="1191"/>
      <c r="AZ245" s="1191"/>
      <c r="BA245" s="1191"/>
      <c r="BC245" s="1191"/>
      <c r="BE245" s="1191"/>
      <c r="BF245" s="1191"/>
      <c r="BG245" s="1191"/>
    </row>
    <row r="246" spans="18:59" x14ac:dyDescent="0.25">
      <c r="R246" s="1191"/>
      <c r="S246" s="1191"/>
      <c r="W246" s="1191"/>
      <c r="X246" s="1191"/>
      <c r="AE246" s="1191"/>
      <c r="AF246" s="1191"/>
      <c r="AV246" s="1191"/>
      <c r="AW246" s="1191"/>
      <c r="AX246" s="1191"/>
      <c r="AY246" s="1191"/>
      <c r="AZ246" s="1191"/>
      <c r="BA246" s="1191"/>
      <c r="BC246" s="1191"/>
      <c r="BE246" s="1191"/>
      <c r="BF246" s="1191"/>
      <c r="BG246" s="1191"/>
    </row>
    <row r="247" spans="18:59" x14ac:dyDescent="0.25">
      <c r="R247" s="1191"/>
      <c r="S247" s="1191"/>
      <c r="W247" s="1191"/>
      <c r="X247" s="1191"/>
      <c r="AE247" s="1191"/>
      <c r="AF247" s="1191"/>
      <c r="AV247" s="1191"/>
      <c r="AW247" s="1191"/>
      <c r="AX247" s="1191"/>
      <c r="AY247" s="1191"/>
      <c r="AZ247" s="1191"/>
      <c r="BA247" s="1191"/>
      <c r="BC247" s="1191"/>
      <c r="BE247" s="1191"/>
      <c r="BF247" s="1191"/>
      <c r="BG247" s="1191"/>
    </row>
    <row r="248" spans="18:59" x14ac:dyDescent="0.25">
      <c r="R248" s="1191"/>
      <c r="S248" s="1191"/>
      <c r="W248" s="1191"/>
      <c r="X248" s="1191"/>
      <c r="AE248" s="1191"/>
      <c r="AF248" s="1191"/>
      <c r="AV248" s="1191"/>
      <c r="AW248" s="1191"/>
      <c r="AX248" s="1191"/>
      <c r="AY248" s="1191"/>
      <c r="AZ248" s="1191"/>
      <c r="BA248" s="1191"/>
      <c r="BC248" s="1191"/>
      <c r="BE248" s="1191"/>
      <c r="BF248" s="1191"/>
      <c r="BG248" s="1191"/>
    </row>
    <row r="249" spans="18:59" x14ac:dyDescent="0.25">
      <c r="R249" s="1191"/>
      <c r="S249" s="1191"/>
      <c r="W249" s="1191"/>
      <c r="X249" s="1191"/>
      <c r="AE249" s="1191"/>
      <c r="AF249" s="1191"/>
      <c r="AV249" s="1191"/>
      <c r="AW249" s="1191"/>
      <c r="AX249" s="1191"/>
      <c r="AY249" s="1191"/>
      <c r="AZ249" s="1191"/>
      <c r="BA249" s="1191"/>
      <c r="BC249" s="1191"/>
      <c r="BE249" s="1191"/>
      <c r="BF249" s="1191"/>
      <c r="BG249" s="1191"/>
    </row>
    <row r="250" spans="18:59" x14ac:dyDescent="0.25">
      <c r="R250" s="1191"/>
      <c r="S250" s="1191"/>
      <c r="W250" s="1191"/>
      <c r="X250" s="1191"/>
      <c r="AE250" s="1191"/>
      <c r="AF250" s="1191"/>
      <c r="AV250" s="1191"/>
      <c r="AW250" s="1191"/>
      <c r="AX250" s="1191"/>
      <c r="AY250" s="1191"/>
      <c r="AZ250" s="1191"/>
      <c r="BA250" s="1191"/>
      <c r="BC250" s="1191"/>
      <c r="BE250" s="1191"/>
      <c r="BF250" s="1191"/>
      <c r="BG250" s="1191"/>
    </row>
    <row r="251" spans="18:59" x14ac:dyDescent="0.25">
      <c r="R251" s="1191"/>
      <c r="S251" s="1191"/>
      <c r="W251" s="1191"/>
      <c r="X251" s="1191"/>
      <c r="AE251" s="1191"/>
      <c r="AF251" s="1191"/>
      <c r="AV251" s="1191"/>
      <c r="AW251" s="1191"/>
      <c r="AX251" s="1191"/>
      <c r="AY251" s="1191"/>
      <c r="AZ251" s="1191"/>
      <c r="BA251" s="1191"/>
      <c r="BC251" s="1191"/>
      <c r="BE251" s="1191"/>
      <c r="BF251" s="1191"/>
      <c r="BG251" s="1191"/>
    </row>
    <row r="252" spans="18:59" x14ac:dyDescent="0.25">
      <c r="R252" s="1191"/>
      <c r="S252" s="1191"/>
      <c r="W252" s="1191"/>
      <c r="X252" s="1191"/>
      <c r="AE252" s="1191"/>
      <c r="AF252" s="1191"/>
      <c r="AV252" s="1191"/>
      <c r="AW252" s="1191"/>
      <c r="AX252" s="1191"/>
      <c r="AY252" s="1191"/>
      <c r="AZ252" s="1191"/>
      <c r="BA252" s="1191"/>
      <c r="BC252" s="1191"/>
      <c r="BE252" s="1191"/>
      <c r="BF252" s="1191"/>
      <c r="BG252" s="1191"/>
    </row>
    <row r="253" spans="18:59" x14ac:dyDescent="0.25">
      <c r="R253" s="1191"/>
      <c r="S253" s="1191"/>
      <c r="W253" s="1191"/>
      <c r="X253" s="1191"/>
      <c r="AE253" s="1191"/>
      <c r="AF253" s="1191"/>
      <c r="AV253" s="1191"/>
      <c r="AW253" s="1191"/>
      <c r="AX253" s="1191"/>
      <c r="AY253" s="1191"/>
      <c r="AZ253" s="1191"/>
      <c r="BA253" s="1191"/>
      <c r="BC253" s="1191"/>
      <c r="BE253" s="1191"/>
      <c r="BF253" s="1191"/>
      <c r="BG253" s="1191"/>
    </row>
    <row r="254" spans="18:59" x14ac:dyDescent="0.25">
      <c r="R254" s="1191"/>
      <c r="S254" s="1191"/>
      <c r="W254" s="1191"/>
      <c r="X254" s="1191"/>
      <c r="AE254" s="1191"/>
      <c r="AF254" s="1191"/>
      <c r="AV254" s="1191"/>
      <c r="AW254" s="1191"/>
      <c r="AX254" s="1191"/>
      <c r="AY254" s="1191"/>
      <c r="AZ254" s="1191"/>
      <c r="BA254" s="1191"/>
      <c r="BC254" s="1191"/>
      <c r="BE254" s="1191"/>
      <c r="BF254" s="1191"/>
      <c r="BG254" s="1191"/>
    </row>
    <row r="255" spans="18:59" x14ac:dyDescent="0.25">
      <c r="R255" s="1191"/>
      <c r="S255" s="1191"/>
      <c r="W255" s="1191"/>
      <c r="X255" s="1191"/>
      <c r="AE255" s="1191"/>
      <c r="AF255" s="1191"/>
      <c r="AV255" s="1191"/>
      <c r="AW255" s="1191"/>
      <c r="AX255" s="1191"/>
      <c r="AY255" s="1191"/>
      <c r="AZ255" s="1191"/>
      <c r="BA255" s="1191"/>
      <c r="BC255" s="1191"/>
      <c r="BE255" s="1191"/>
      <c r="BF255" s="1191"/>
      <c r="BG255" s="1191"/>
    </row>
    <row r="256" spans="18:59" x14ac:dyDescent="0.25">
      <c r="R256" s="1191"/>
      <c r="S256" s="1191"/>
      <c r="W256" s="1191"/>
      <c r="X256" s="1191"/>
      <c r="AE256" s="1191"/>
      <c r="AF256" s="1191"/>
      <c r="AV256" s="1191"/>
      <c r="AW256" s="1191"/>
      <c r="AX256" s="1191"/>
      <c r="AY256" s="1191"/>
      <c r="AZ256" s="1191"/>
      <c r="BA256" s="1191"/>
      <c r="BC256" s="1191"/>
      <c r="BE256" s="1191"/>
      <c r="BF256" s="1191"/>
      <c r="BG256" s="1191"/>
    </row>
    <row r="257" spans="18:59" x14ac:dyDescent="0.25">
      <c r="R257" s="1191"/>
      <c r="S257" s="1191"/>
      <c r="W257" s="1191"/>
      <c r="X257" s="1191"/>
      <c r="AE257" s="1191"/>
      <c r="AF257" s="1191"/>
      <c r="AV257" s="1191"/>
      <c r="AW257" s="1191"/>
      <c r="AX257" s="1191"/>
      <c r="AY257" s="1191"/>
      <c r="AZ257" s="1191"/>
      <c r="BA257" s="1191"/>
      <c r="BC257" s="1191"/>
      <c r="BE257" s="1191"/>
      <c r="BF257" s="1191"/>
      <c r="BG257" s="1191"/>
    </row>
    <row r="258" spans="18:59" x14ac:dyDescent="0.25">
      <c r="R258" s="1191"/>
      <c r="S258" s="1191"/>
      <c r="W258" s="1191"/>
      <c r="X258" s="1191"/>
      <c r="AE258" s="1191"/>
      <c r="AF258" s="1191"/>
      <c r="AV258" s="1191"/>
      <c r="AW258" s="1191"/>
      <c r="AX258" s="1191"/>
      <c r="AY258" s="1191"/>
      <c r="AZ258" s="1191"/>
      <c r="BA258" s="1191"/>
      <c r="BC258" s="1191"/>
      <c r="BE258" s="1191"/>
      <c r="BF258" s="1191"/>
      <c r="BG258" s="1191"/>
    </row>
    <row r="259" spans="18:59" x14ac:dyDescent="0.25">
      <c r="R259" s="1191"/>
      <c r="S259" s="1191"/>
      <c r="W259" s="1191"/>
      <c r="X259" s="1191"/>
      <c r="AE259" s="1191"/>
      <c r="AF259" s="1191"/>
      <c r="AV259" s="1191"/>
      <c r="AW259" s="1191"/>
      <c r="AX259" s="1191"/>
      <c r="AY259" s="1191"/>
      <c r="AZ259" s="1191"/>
      <c r="BA259" s="1191"/>
      <c r="BC259" s="1191"/>
      <c r="BE259" s="1191"/>
      <c r="BF259" s="1191"/>
      <c r="BG259" s="1191"/>
    </row>
    <row r="260" spans="18:59" x14ac:dyDescent="0.25">
      <c r="R260" s="1191"/>
      <c r="S260" s="1191"/>
      <c r="W260" s="1191"/>
      <c r="X260" s="1191"/>
      <c r="AE260" s="1191"/>
      <c r="AF260" s="1191"/>
      <c r="AV260" s="1191"/>
      <c r="AW260" s="1191"/>
      <c r="AX260" s="1191"/>
      <c r="AY260" s="1191"/>
      <c r="AZ260" s="1191"/>
      <c r="BA260" s="1191"/>
      <c r="BC260" s="1191"/>
      <c r="BE260" s="1191"/>
      <c r="BF260" s="1191"/>
      <c r="BG260" s="1191"/>
    </row>
    <row r="261" spans="18:59" x14ac:dyDescent="0.25">
      <c r="R261" s="1191"/>
      <c r="S261" s="1191"/>
      <c r="W261" s="1191"/>
      <c r="X261" s="1191"/>
      <c r="AE261" s="1191"/>
      <c r="AF261" s="1191"/>
      <c r="AV261" s="1191"/>
      <c r="AW261" s="1191"/>
      <c r="AX261" s="1191"/>
      <c r="AY261" s="1191"/>
      <c r="AZ261" s="1191"/>
      <c r="BA261" s="1191"/>
      <c r="BC261" s="1191"/>
      <c r="BE261" s="1191"/>
      <c r="BF261" s="1191"/>
      <c r="BG261" s="1191"/>
    </row>
    <row r="262" spans="18:59" x14ac:dyDescent="0.25">
      <c r="R262" s="1191"/>
      <c r="S262" s="1191"/>
      <c r="W262" s="1191"/>
      <c r="X262" s="1191"/>
      <c r="AE262" s="1191"/>
      <c r="AF262" s="1191"/>
      <c r="AV262" s="1191"/>
      <c r="AW262" s="1191"/>
      <c r="AX262" s="1191"/>
      <c r="AY262" s="1191"/>
      <c r="AZ262" s="1191"/>
      <c r="BA262" s="1191"/>
      <c r="BC262" s="1191"/>
      <c r="BE262" s="1191"/>
      <c r="BF262" s="1191"/>
      <c r="BG262" s="1191"/>
    </row>
    <row r="263" spans="18:59" x14ac:dyDescent="0.25">
      <c r="R263" s="1191"/>
      <c r="S263" s="1191"/>
      <c r="W263" s="1191"/>
      <c r="X263" s="1191"/>
      <c r="AE263" s="1191"/>
      <c r="AF263" s="1191"/>
      <c r="AV263" s="1191"/>
      <c r="AW263" s="1191"/>
      <c r="AX263" s="1191"/>
      <c r="AY263" s="1191"/>
      <c r="AZ263" s="1191"/>
      <c r="BA263" s="1191"/>
      <c r="BC263" s="1191"/>
      <c r="BE263" s="1191"/>
      <c r="BF263" s="1191"/>
      <c r="BG263" s="1191"/>
    </row>
    <row r="264" spans="18:59" x14ac:dyDescent="0.25">
      <c r="R264" s="1191"/>
      <c r="S264" s="1191"/>
      <c r="W264" s="1191"/>
      <c r="X264" s="1191"/>
      <c r="AE264" s="1191"/>
      <c r="AF264" s="1191"/>
      <c r="AV264" s="1191"/>
      <c r="AW264" s="1191"/>
      <c r="AX264" s="1191"/>
      <c r="AY264" s="1191"/>
      <c r="AZ264" s="1191"/>
      <c r="BA264" s="1191"/>
      <c r="BC264" s="1191"/>
      <c r="BE264" s="1191"/>
      <c r="BF264" s="1191"/>
      <c r="BG264" s="1191"/>
    </row>
    <row r="265" spans="18:59" x14ac:dyDescent="0.25">
      <c r="R265" s="1191"/>
      <c r="S265" s="1191"/>
      <c r="W265" s="1191"/>
      <c r="X265" s="1191"/>
      <c r="AE265" s="1191"/>
      <c r="AF265" s="1191"/>
      <c r="AV265" s="1191"/>
      <c r="AW265" s="1191"/>
      <c r="AX265" s="1191"/>
      <c r="AY265" s="1191"/>
      <c r="AZ265" s="1191"/>
      <c r="BA265" s="1191"/>
      <c r="BC265" s="1191"/>
      <c r="BE265" s="1191"/>
      <c r="BF265" s="1191"/>
      <c r="BG265" s="1191"/>
    </row>
    <row r="266" spans="18:59" x14ac:dyDescent="0.25">
      <c r="R266" s="1191"/>
      <c r="S266" s="1191"/>
      <c r="W266" s="1191"/>
      <c r="X266" s="1191"/>
      <c r="AE266" s="1191"/>
      <c r="AF266" s="1191"/>
      <c r="AV266" s="1191"/>
      <c r="AW266" s="1191"/>
      <c r="AX266" s="1191"/>
      <c r="AY266" s="1191"/>
      <c r="AZ266" s="1191"/>
      <c r="BA266" s="1191"/>
      <c r="BC266" s="1191"/>
      <c r="BE266" s="1191"/>
      <c r="BF266" s="1191"/>
      <c r="BG266" s="1191"/>
    </row>
    <row r="267" spans="18:59" x14ac:dyDescent="0.25">
      <c r="R267" s="1191"/>
      <c r="S267" s="1191"/>
      <c r="W267" s="1191"/>
      <c r="X267" s="1191"/>
      <c r="AE267" s="1191"/>
      <c r="AF267" s="1191"/>
      <c r="AV267" s="1191"/>
      <c r="AW267" s="1191"/>
      <c r="AX267" s="1191"/>
      <c r="AY267" s="1191"/>
      <c r="AZ267" s="1191"/>
      <c r="BA267" s="1191"/>
      <c r="BC267" s="1191"/>
      <c r="BE267" s="1191"/>
      <c r="BF267" s="1191"/>
      <c r="BG267" s="1191"/>
    </row>
    <row r="268" spans="18:59" x14ac:dyDescent="0.25">
      <c r="R268" s="1191"/>
      <c r="S268" s="1191"/>
      <c r="W268" s="1191"/>
      <c r="X268" s="1191"/>
      <c r="AE268" s="1191"/>
      <c r="AF268" s="1191"/>
      <c r="AV268" s="1191"/>
      <c r="AW268" s="1191"/>
      <c r="AX268" s="1191"/>
      <c r="AY268" s="1191"/>
      <c r="AZ268" s="1191"/>
      <c r="BA268" s="1191"/>
      <c r="BC268" s="1191"/>
      <c r="BE268" s="1191"/>
      <c r="BF268" s="1191"/>
      <c r="BG268" s="1191"/>
    </row>
    <row r="269" spans="18:59" x14ac:dyDescent="0.25">
      <c r="R269" s="1191"/>
      <c r="S269" s="1191"/>
      <c r="W269" s="1191"/>
      <c r="X269" s="1191"/>
      <c r="AE269" s="1191"/>
      <c r="AF269" s="1191"/>
      <c r="AV269" s="1191"/>
      <c r="AW269" s="1191"/>
      <c r="AX269" s="1191"/>
      <c r="AY269" s="1191"/>
      <c r="AZ269" s="1191"/>
      <c r="BA269" s="1191"/>
      <c r="BC269" s="1191"/>
      <c r="BE269" s="1191"/>
      <c r="BF269" s="1191"/>
      <c r="BG269" s="1191"/>
    </row>
    <row r="270" spans="18:59" x14ac:dyDescent="0.25">
      <c r="R270" s="1191"/>
      <c r="S270" s="1191"/>
      <c r="W270" s="1191"/>
      <c r="X270" s="1191"/>
      <c r="AE270" s="1191"/>
      <c r="AF270" s="1191"/>
      <c r="AV270" s="1191"/>
      <c r="AW270" s="1191"/>
      <c r="AX270" s="1191"/>
      <c r="AY270" s="1191"/>
      <c r="AZ270" s="1191"/>
      <c r="BA270" s="1191"/>
      <c r="BC270" s="1191"/>
      <c r="BE270" s="1191"/>
      <c r="BF270" s="1191"/>
      <c r="BG270" s="1191"/>
    </row>
    <row r="271" spans="18:59" x14ac:dyDescent="0.25">
      <c r="R271" s="1191"/>
      <c r="S271" s="1191"/>
      <c r="W271" s="1191"/>
      <c r="X271" s="1191"/>
      <c r="AE271" s="1191"/>
      <c r="AF271" s="1191"/>
      <c r="AV271" s="1191"/>
      <c r="AW271" s="1191"/>
      <c r="AX271" s="1191"/>
      <c r="AY271" s="1191"/>
      <c r="AZ271" s="1191"/>
      <c r="BA271" s="1191"/>
      <c r="BC271" s="1191"/>
      <c r="BE271" s="1191"/>
      <c r="BF271" s="1191"/>
      <c r="BG271" s="1191"/>
    </row>
    <row r="272" spans="18:59" x14ac:dyDescent="0.25">
      <c r="R272" s="1191"/>
      <c r="S272" s="1191"/>
      <c r="W272" s="1191"/>
      <c r="X272" s="1191"/>
      <c r="AE272" s="1191"/>
      <c r="AF272" s="1191"/>
      <c r="AV272" s="1191"/>
      <c r="AW272" s="1191"/>
      <c r="AX272" s="1191"/>
      <c r="AY272" s="1191"/>
      <c r="AZ272" s="1191"/>
      <c r="BA272" s="1191"/>
      <c r="BC272" s="1191"/>
      <c r="BE272" s="1191"/>
      <c r="BF272" s="1191"/>
      <c r="BG272" s="1191"/>
    </row>
    <row r="273" spans="18:59" x14ac:dyDescent="0.25">
      <c r="R273" s="1191"/>
      <c r="S273" s="1191"/>
      <c r="W273" s="1191"/>
      <c r="X273" s="1191"/>
      <c r="AE273" s="1191"/>
      <c r="AF273" s="1191"/>
      <c r="AV273" s="1191"/>
      <c r="AW273" s="1191"/>
      <c r="AX273" s="1191"/>
      <c r="AY273" s="1191"/>
      <c r="AZ273" s="1191"/>
      <c r="BA273" s="1191"/>
      <c r="BC273" s="1191"/>
      <c r="BE273" s="1191"/>
      <c r="BF273" s="1191"/>
      <c r="BG273" s="1191"/>
    </row>
    <row r="274" spans="18:59" x14ac:dyDescent="0.25">
      <c r="R274" s="1191"/>
      <c r="S274" s="1191"/>
      <c r="W274" s="1191"/>
      <c r="X274" s="1191"/>
      <c r="AE274" s="1191"/>
      <c r="AF274" s="1191"/>
      <c r="AV274" s="1191"/>
      <c r="AW274" s="1191"/>
      <c r="AX274" s="1191"/>
      <c r="AY274" s="1191"/>
      <c r="AZ274" s="1191"/>
      <c r="BA274" s="1191"/>
      <c r="BC274" s="1191"/>
      <c r="BE274" s="1191"/>
      <c r="BF274" s="1191"/>
      <c r="BG274" s="1191"/>
    </row>
    <row r="275" spans="18:59" x14ac:dyDescent="0.25">
      <c r="R275" s="1191"/>
      <c r="S275" s="1191"/>
      <c r="W275" s="1191"/>
      <c r="X275" s="1191"/>
      <c r="AE275" s="1191"/>
      <c r="AF275" s="1191"/>
      <c r="AV275" s="1191"/>
      <c r="AW275" s="1191"/>
      <c r="AX275" s="1191"/>
      <c r="AY275" s="1191"/>
      <c r="AZ275" s="1191"/>
      <c r="BA275" s="1191"/>
      <c r="BC275" s="1191"/>
      <c r="BE275" s="1191"/>
      <c r="BF275" s="1191"/>
      <c r="BG275" s="1191"/>
    </row>
    <row r="276" spans="18:59" x14ac:dyDescent="0.25">
      <c r="R276" s="1191"/>
      <c r="S276" s="1191"/>
      <c r="W276" s="1191"/>
      <c r="X276" s="1191"/>
      <c r="AE276" s="1191"/>
      <c r="AF276" s="1191"/>
      <c r="AV276" s="1191"/>
      <c r="AW276" s="1191"/>
      <c r="AX276" s="1191"/>
      <c r="AY276" s="1191"/>
      <c r="AZ276" s="1191"/>
      <c r="BA276" s="1191"/>
      <c r="BC276" s="1191"/>
      <c r="BE276" s="1191"/>
      <c r="BF276" s="1191"/>
      <c r="BG276" s="1191"/>
    </row>
    <row r="277" spans="18:59" x14ac:dyDescent="0.25">
      <c r="R277" s="1191"/>
      <c r="S277" s="1191"/>
      <c r="W277" s="1191"/>
      <c r="X277" s="1191"/>
      <c r="AE277" s="1191"/>
      <c r="AF277" s="1191"/>
      <c r="AV277" s="1191"/>
      <c r="AW277" s="1191"/>
      <c r="AX277" s="1191"/>
      <c r="AY277" s="1191"/>
      <c r="AZ277" s="1191"/>
      <c r="BA277" s="1191"/>
      <c r="BC277" s="1191"/>
      <c r="BE277" s="1191"/>
      <c r="BF277" s="1191"/>
      <c r="BG277" s="1191"/>
    </row>
    <row r="278" spans="18:59" x14ac:dyDescent="0.25">
      <c r="R278" s="1191"/>
      <c r="S278" s="1191"/>
      <c r="W278" s="1191"/>
      <c r="X278" s="1191"/>
      <c r="AE278" s="1191"/>
      <c r="AF278" s="1191"/>
      <c r="AV278" s="1191"/>
      <c r="AW278" s="1191"/>
      <c r="AX278" s="1191"/>
      <c r="AY278" s="1191"/>
      <c r="AZ278" s="1191"/>
      <c r="BA278" s="1191"/>
      <c r="BC278" s="1191"/>
      <c r="BE278" s="1191"/>
      <c r="BF278" s="1191"/>
      <c r="BG278" s="1191"/>
    </row>
    <row r="279" spans="18:59" x14ac:dyDescent="0.25">
      <c r="R279" s="1191"/>
      <c r="S279" s="1191"/>
      <c r="W279" s="1191"/>
      <c r="X279" s="1191"/>
      <c r="AE279" s="1191"/>
      <c r="AF279" s="1191"/>
      <c r="AV279" s="1191"/>
      <c r="AW279" s="1191"/>
      <c r="AX279" s="1191"/>
      <c r="AY279" s="1191"/>
      <c r="AZ279" s="1191"/>
      <c r="BA279" s="1191"/>
      <c r="BC279" s="1191"/>
      <c r="BE279" s="1191"/>
      <c r="BF279" s="1191"/>
      <c r="BG279" s="1191"/>
    </row>
    <row r="280" spans="18:59" x14ac:dyDescent="0.25">
      <c r="R280" s="1191"/>
      <c r="S280" s="1191"/>
      <c r="W280" s="1191"/>
      <c r="X280" s="1191"/>
      <c r="AE280" s="1191"/>
      <c r="AF280" s="1191"/>
      <c r="AV280" s="1191"/>
      <c r="AW280" s="1191"/>
      <c r="AX280" s="1191"/>
      <c r="AY280" s="1191"/>
      <c r="AZ280" s="1191"/>
      <c r="BA280" s="1191"/>
      <c r="BC280" s="1191"/>
      <c r="BE280" s="1191"/>
      <c r="BF280" s="1191"/>
      <c r="BG280" s="1191"/>
    </row>
    <row r="281" spans="18:59" x14ac:dyDescent="0.25">
      <c r="R281" s="1191"/>
      <c r="S281" s="1191"/>
      <c r="W281" s="1191"/>
      <c r="X281" s="1191"/>
      <c r="AE281" s="1191"/>
      <c r="AF281" s="1191"/>
      <c r="AV281" s="1191"/>
      <c r="AW281" s="1191"/>
      <c r="AX281" s="1191"/>
      <c r="AY281" s="1191"/>
      <c r="AZ281" s="1191"/>
      <c r="BA281" s="1191"/>
      <c r="BC281" s="1191"/>
      <c r="BE281" s="1191"/>
      <c r="BF281" s="1191"/>
      <c r="BG281" s="1191"/>
    </row>
    <row r="282" spans="18:59" x14ac:dyDescent="0.25">
      <c r="R282" s="1191"/>
      <c r="S282" s="1191"/>
      <c r="W282" s="1191"/>
      <c r="X282" s="1191"/>
      <c r="AE282" s="1191"/>
      <c r="AF282" s="1191"/>
      <c r="AV282" s="1191"/>
      <c r="AW282" s="1191"/>
      <c r="AX282" s="1191"/>
      <c r="AY282" s="1191"/>
      <c r="AZ282" s="1191"/>
      <c r="BA282" s="1191"/>
      <c r="BC282" s="1191"/>
      <c r="BE282" s="1191"/>
      <c r="BF282" s="1191"/>
      <c r="BG282" s="1191"/>
    </row>
    <row r="283" spans="18:59" x14ac:dyDescent="0.25">
      <c r="R283" s="1191"/>
      <c r="S283" s="1191"/>
      <c r="W283" s="1191"/>
      <c r="X283" s="1191"/>
      <c r="AE283" s="1191"/>
      <c r="AF283" s="1191"/>
      <c r="AV283" s="1191"/>
      <c r="AW283" s="1191"/>
      <c r="AX283" s="1191"/>
      <c r="AY283" s="1191"/>
      <c r="AZ283" s="1191"/>
      <c r="BA283" s="1191"/>
      <c r="BC283" s="1191"/>
      <c r="BE283" s="1191"/>
      <c r="BF283" s="1191"/>
      <c r="BG283" s="1191"/>
    </row>
    <row r="284" spans="18:59" x14ac:dyDescent="0.25">
      <c r="R284" s="1191"/>
      <c r="S284" s="1191"/>
      <c r="W284" s="1191"/>
      <c r="X284" s="1191"/>
      <c r="AE284" s="1191"/>
      <c r="AF284" s="1191"/>
      <c r="AV284" s="1191"/>
      <c r="AW284" s="1191"/>
      <c r="AX284" s="1191"/>
      <c r="AY284" s="1191"/>
      <c r="AZ284" s="1191"/>
      <c r="BA284" s="1191"/>
      <c r="BC284" s="1191"/>
      <c r="BE284" s="1191"/>
      <c r="BF284" s="1191"/>
      <c r="BG284" s="1191"/>
    </row>
    <row r="285" spans="18:59" x14ac:dyDescent="0.25">
      <c r="R285" s="1191"/>
      <c r="S285" s="1191"/>
      <c r="W285" s="1191"/>
      <c r="X285" s="1191"/>
      <c r="AE285" s="1191"/>
      <c r="AF285" s="1191"/>
      <c r="AV285" s="1191"/>
      <c r="AW285" s="1191"/>
      <c r="AX285" s="1191"/>
      <c r="AY285" s="1191"/>
      <c r="AZ285" s="1191"/>
      <c r="BA285" s="1191"/>
      <c r="BC285" s="1191"/>
      <c r="BE285" s="1191"/>
      <c r="BF285" s="1191"/>
      <c r="BG285" s="1191"/>
    </row>
    <row r="286" spans="18:59" x14ac:dyDescent="0.25">
      <c r="R286" s="1191"/>
      <c r="S286" s="1191"/>
      <c r="W286" s="1191"/>
      <c r="X286" s="1191"/>
      <c r="AE286" s="1191"/>
      <c r="AF286" s="1191"/>
      <c r="AV286" s="1191"/>
      <c r="AW286" s="1191"/>
      <c r="AX286" s="1191"/>
      <c r="AY286" s="1191"/>
      <c r="AZ286" s="1191"/>
      <c r="BA286" s="1191"/>
      <c r="BC286" s="1191"/>
      <c r="BE286" s="1191"/>
      <c r="BF286" s="1191"/>
      <c r="BG286" s="1191"/>
    </row>
    <row r="287" spans="18:59" x14ac:dyDescent="0.25">
      <c r="R287" s="1191"/>
      <c r="S287" s="1191"/>
      <c r="W287" s="1191"/>
      <c r="X287" s="1191"/>
      <c r="AE287" s="1191"/>
      <c r="AF287" s="1191"/>
      <c r="AV287" s="1191"/>
      <c r="AW287" s="1191"/>
      <c r="AX287" s="1191"/>
      <c r="AY287" s="1191"/>
      <c r="AZ287" s="1191"/>
      <c r="BA287" s="1191"/>
      <c r="BC287" s="1191"/>
      <c r="BE287" s="1191"/>
      <c r="BF287" s="1191"/>
      <c r="BG287" s="1191"/>
    </row>
    <row r="288" spans="18:59" x14ac:dyDescent="0.25">
      <c r="R288" s="1191"/>
      <c r="S288" s="1191"/>
      <c r="W288" s="1191"/>
      <c r="X288" s="1191"/>
      <c r="AE288" s="1191"/>
      <c r="AF288" s="1191"/>
      <c r="AV288" s="1191"/>
      <c r="AW288" s="1191"/>
      <c r="AX288" s="1191"/>
      <c r="AY288" s="1191"/>
      <c r="AZ288" s="1191"/>
      <c r="BA288" s="1191"/>
      <c r="BC288" s="1191"/>
      <c r="BE288" s="1191"/>
      <c r="BF288" s="1191"/>
      <c r="BG288" s="1191"/>
    </row>
    <row r="289" spans="18:59" x14ac:dyDescent="0.25">
      <c r="R289" s="1191"/>
      <c r="S289" s="1191"/>
      <c r="W289" s="1191"/>
      <c r="X289" s="1191"/>
      <c r="AE289" s="1191"/>
      <c r="AF289" s="1191"/>
      <c r="AV289" s="1191"/>
      <c r="AW289" s="1191"/>
      <c r="AX289" s="1191"/>
      <c r="AY289" s="1191"/>
      <c r="AZ289" s="1191"/>
      <c r="BA289" s="1191"/>
      <c r="BC289" s="1191"/>
      <c r="BE289" s="1191"/>
      <c r="BF289" s="1191"/>
      <c r="BG289" s="1191"/>
    </row>
    <row r="290" spans="18:59" x14ac:dyDescent="0.25">
      <c r="R290" s="1191"/>
      <c r="S290" s="1191"/>
      <c r="W290" s="1191"/>
      <c r="X290" s="1191"/>
      <c r="AE290" s="1191"/>
      <c r="AF290" s="1191"/>
      <c r="AV290" s="1191"/>
      <c r="AW290" s="1191"/>
      <c r="AX290" s="1191"/>
      <c r="AY290" s="1191"/>
      <c r="AZ290" s="1191"/>
      <c r="BA290" s="1191"/>
      <c r="BC290" s="1191"/>
      <c r="BE290" s="1191"/>
      <c r="BF290" s="1191"/>
      <c r="BG290" s="1191"/>
    </row>
    <row r="291" spans="18:59" x14ac:dyDescent="0.25">
      <c r="R291" s="1191"/>
      <c r="S291" s="1191"/>
      <c r="W291" s="1191"/>
      <c r="X291" s="1191"/>
      <c r="AE291" s="1191"/>
      <c r="AF291" s="1191"/>
      <c r="AV291" s="1191"/>
      <c r="AW291" s="1191"/>
      <c r="AX291" s="1191"/>
      <c r="AY291" s="1191"/>
      <c r="AZ291" s="1191"/>
      <c r="BA291" s="1191"/>
      <c r="BC291" s="1191"/>
      <c r="BE291" s="1191"/>
      <c r="BF291" s="1191"/>
      <c r="BG291" s="1191"/>
    </row>
    <row r="292" spans="18:59" x14ac:dyDescent="0.25">
      <c r="R292" s="1191"/>
      <c r="S292" s="1191"/>
      <c r="W292" s="1191"/>
      <c r="X292" s="1191"/>
      <c r="AE292" s="1191"/>
      <c r="AF292" s="1191"/>
      <c r="AV292" s="1191"/>
      <c r="AW292" s="1191"/>
      <c r="AX292" s="1191"/>
      <c r="AY292" s="1191"/>
      <c r="AZ292" s="1191"/>
      <c r="BA292" s="1191"/>
      <c r="BC292" s="1191"/>
      <c r="BE292" s="1191"/>
      <c r="BF292" s="1191"/>
      <c r="BG292" s="1191"/>
    </row>
    <row r="293" spans="18:59" x14ac:dyDescent="0.25">
      <c r="R293" s="1191"/>
      <c r="S293" s="1191"/>
      <c r="W293" s="1191"/>
      <c r="X293" s="1191"/>
      <c r="AE293" s="1191"/>
      <c r="AF293" s="1191"/>
      <c r="AV293" s="1191"/>
      <c r="AW293" s="1191"/>
      <c r="AX293" s="1191"/>
      <c r="AY293" s="1191"/>
      <c r="AZ293" s="1191"/>
      <c r="BA293" s="1191"/>
      <c r="BC293" s="1191"/>
      <c r="BE293" s="1191"/>
      <c r="BF293" s="1191"/>
      <c r="BG293" s="1191"/>
    </row>
    <row r="294" spans="18:59" x14ac:dyDescent="0.25">
      <c r="R294" s="1191"/>
      <c r="S294" s="1191"/>
      <c r="W294" s="1191"/>
      <c r="X294" s="1191"/>
      <c r="AE294" s="1191"/>
      <c r="AF294" s="1191"/>
      <c r="AV294" s="1191"/>
      <c r="AW294" s="1191"/>
      <c r="AX294" s="1191"/>
      <c r="AY294" s="1191"/>
      <c r="AZ294" s="1191"/>
      <c r="BA294" s="1191"/>
      <c r="BC294" s="1191"/>
      <c r="BE294" s="1191"/>
      <c r="BF294" s="1191"/>
      <c r="BG294" s="1191"/>
    </row>
    <row r="295" spans="18:59" x14ac:dyDescent="0.25">
      <c r="R295" s="1191"/>
      <c r="S295" s="1191"/>
      <c r="W295" s="1191"/>
      <c r="X295" s="1191"/>
      <c r="AE295" s="1191"/>
      <c r="AF295" s="1191"/>
      <c r="AV295" s="1191"/>
      <c r="AW295" s="1191"/>
      <c r="AX295" s="1191"/>
      <c r="AY295" s="1191"/>
      <c r="AZ295" s="1191"/>
      <c r="BA295" s="1191"/>
      <c r="BC295" s="1191"/>
      <c r="BE295" s="1191"/>
      <c r="BF295" s="1191"/>
      <c r="BG295" s="1191"/>
    </row>
    <row r="296" spans="18:59" x14ac:dyDescent="0.25">
      <c r="R296" s="1191"/>
      <c r="S296" s="1191"/>
      <c r="W296" s="1191"/>
      <c r="X296" s="1191"/>
      <c r="AE296" s="1191"/>
      <c r="AF296" s="1191"/>
      <c r="AV296" s="1191"/>
      <c r="AW296" s="1191"/>
      <c r="AX296" s="1191"/>
      <c r="AY296" s="1191"/>
      <c r="AZ296" s="1191"/>
      <c r="BA296" s="1191"/>
      <c r="BC296" s="1191"/>
      <c r="BE296" s="1191"/>
      <c r="BF296" s="1191"/>
      <c r="BG296" s="1191"/>
    </row>
    <row r="297" spans="18:59" x14ac:dyDescent="0.25">
      <c r="R297" s="1191"/>
      <c r="S297" s="1191"/>
      <c r="W297" s="1191"/>
      <c r="X297" s="1191"/>
      <c r="AE297" s="1191"/>
      <c r="AF297" s="1191"/>
      <c r="AV297" s="1191"/>
      <c r="AW297" s="1191"/>
      <c r="AX297" s="1191"/>
      <c r="AY297" s="1191"/>
      <c r="AZ297" s="1191"/>
      <c r="BA297" s="1191"/>
      <c r="BC297" s="1191"/>
      <c r="BE297" s="1191"/>
      <c r="BF297" s="1191"/>
      <c r="BG297" s="1191"/>
    </row>
    <row r="298" spans="18:59" x14ac:dyDescent="0.25">
      <c r="R298" s="1191"/>
      <c r="S298" s="1191"/>
      <c r="W298" s="1191"/>
      <c r="X298" s="1191"/>
      <c r="AE298" s="1191"/>
      <c r="AF298" s="1191"/>
      <c r="AV298" s="1191"/>
      <c r="AW298" s="1191"/>
      <c r="AX298" s="1191"/>
      <c r="AY298" s="1191"/>
      <c r="AZ298" s="1191"/>
      <c r="BA298" s="1191"/>
      <c r="BC298" s="1191"/>
      <c r="BE298" s="1191"/>
      <c r="BF298" s="1191"/>
      <c r="BG298" s="1191"/>
    </row>
    <row r="299" spans="18:59" x14ac:dyDescent="0.25">
      <c r="R299" s="1191"/>
      <c r="S299" s="1191"/>
      <c r="W299" s="1191"/>
      <c r="X299" s="1191"/>
      <c r="AE299" s="1191"/>
      <c r="AF299" s="1191"/>
      <c r="AV299" s="1191"/>
      <c r="AW299" s="1191"/>
      <c r="AX299" s="1191"/>
      <c r="AY299" s="1191"/>
      <c r="AZ299" s="1191"/>
      <c r="BA299" s="1191"/>
      <c r="BC299" s="1191"/>
      <c r="BE299" s="1191"/>
      <c r="BF299" s="1191"/>
      <c r="BG299" s="1191"/>
    </row>
    <row r="300" spans="18:59" x14ac:dyDescent="0.25">
      <c r="R300" s="1191"/>
      <c r="S300" s="1191"/>
      <c r="W300" s="1191"/>
      <c r="X300" s="1191"/>
      <c r="AE300" s="1191"/>
      <c r="AF300" s="1191"/>
      <c r="AV300" s="1191"/>
      <c r="AW300" s="1191"/>
      <c r="AX300" s="1191"/>
      <c r="AY300" s="1191"/>
      <c r="AZ300" s="1191"/>
      <c r="BA300" s="1191"/>
      <c r="BC300" s="1191"/>
      <c r="BE300" s="1191"/>
      <c r="BF300" s="1191"/>
      <c r="BG300" s="1191"/>
    </row>
    <row r="301" spans="18:59" x14ac:dyDescent="0.25">
      <c r="R301" s="1191"/>
      <c r="S301" s="1191"/>
      <c r="W301" s="1191"/>
      <c r="X301" s="1191"/>
      <c r="AE301" s="1191"/>
      <c r="AF301" s="1191"/>
      <c r="AV301" s="1191"/>
      <c r="AW301" s="1191"/>
      <c r="AX301" s="1191"/>
      <c r="AY301" s="1191"/>
      <c r="AZ301" s="1191"/>
      <c r="BA301" s="1191"/>
      <c r="BC301" s="1191"/>
      <c r="BE301" s="1191"/>
      <c r="BF301" s="1191"/>
      <c r="BG301" s="1191"/>
    </row>
    <row r="302" spans="18:59" x14ac:dyDescent="0.25">
      <c r="R302" s="1191"/>
      <c r="S302" s="1191"/>
      <c r="W302" s="1191"/>
      <c r="X302" s="1191"/>
      <c r="AE302" s="1191"/>
      <c r="AF302" s="1191"/>
      <c r="AV302" s="1191"/>
      <c r="AW302" s="1191"/>
      <c r="AX302" s="1191"/>
      <c r="AY302" s="1191"/>
      <c r="AZ302" s="1191"/>
      <c r="BA302" s="1191"/>
      <c r="BC302" s="1191"/>
      <c r="BE302" s="1191"/>
      <c r="BF302" s="1191"/>
      <c r="BG302" s="1191"/>
    </row>
    <row r="303" spans="18:59" x14ac:dyDescent="0.25">
      <c r="R303" s="1191"/>
      <c r="S303" s="1191"/>
      <c r="W303" s="1191"/>
      <c r="X303" s="1191"/>
      <c r="AE303" s="1191"/>
      <c r="AF303" s="1191"/>
      <c r="AV303" s="1191"/>
      <c r="AW303" s="1191"/>
      <c r="AX303" s="1191"/>
      <c r="AY303" s="1191"/>
      <c r="AZ303" s="1191"/>
      <c r="BA303" s="1191"/>
      <c r="BC303" s="1191"/>
      <c r="BE303" s="1191"/>
      <c r="BF303" s="1191"/>
      <c r="BG303" s="1191"/>
    </row>
    <row r="304" spans="18:59" x14ac:dyDescent="0.25">
      <c r="R304" s="1191"/>
      <c r="S304" s="1191"/>
      <c r="W304" s="1191"/>
      <c r="X304" s="1191"/>
      <c r="AE304" s="1191"/>
      <c r="AF304" s="1191"/>
      <c r="AV304" s="1191"/>
      <c r="AW304" s="1191"/>
      <c r="AX304" s="1191"/>
      <c r="AY304" s="1191"/>
      <c r="AZ304" s="1191"/>
      <c r="BA304" s="1191"/>
      <c r="BC304" s="1191"/>
      <c r="BE304" s="1191"/>
      <c r="BF304" s="1191"/>
      <c r="BG304" s="1191"/>
    </row>
    <row r="305" spans="18:59" x14ac:dyDescent="0.25">
      <c r="R305" s="1191"/>
      <c r="S305" s="1191"/>
      <c r="W305" s="1191"/>
      <c r="X305" s="1191"/>
      <c r="AE305" s="1191"/>
      <c r="AF305" s="1191"/>
      <c r="AV305" s="1191"/>
      <c r="AW305" s="1191"/>
      <c r="AX305" s="1191"/>
      <c r="AY305" s="1191"/>
      <c r="AZ305" s="1191"/>
      <c r="BA305" s="1191"/>
      <c r="BC305" s="1191"/>
      <c r="BE305" s="1191"/>
      <c r="BF305" s="1191"/>
      <c r="BG305" s="1191"/>
    </row>
    <row r="306" spans="18:59" x14ac:dyDescent="0.25">
      <c r="R306" s="1191"/>
      <c r="S306" s="1191"/>
      <c r="W306" s="1191"/>
      <c r="X306" s="1191"/>
      <c r="AE306" s="1191"/>
      <c r="AF306" s="1191"/>
      <c r="AV306" s="1191"/>
      <c r="AW306" s="1191"/>
      <c r="AX306" s="1191"/>
      <c r="AY306" s="1191"/>
      <c r="AZ306" s="1191"/>
      <c r="BA306" s="1191"/>
      <c r="BC306" s="1191"/>
      <c r="BE306" s="1191"/>
      <c r="BF306" s="1191"/>
      <c r="BG306" s="1191"/>
    </row>
    <row r="307" spans="18:59" x14ac:dyDescent="0.25">
      <c r="R307" s="1191"/>
      <c r="S307" s="1191"/>
      <c r="W307" s="1191"/>
      <c r="X307" s="1191"/>
      <c r="AE307" s="1191"/>
      <c r="AF307" s="1191"/>
      <c r="AV307" s="1191"/>
      <c r="AW307" s="1191"/>
      <c r="AX307" s="1191"/>
      <c r="AY307" s="1191"/>
      <c r="AZ307" s="1191"/>
      <c r="BA307" s="1191"/>
      <c r="BC307" s="1191"/>
      <c r="BE307" s="1191"/>
      <c r="BF307" s="1191"/>
      <c r="BG307" s="1191"/>
    </row>
    <row r="308" spans="18:59" x14ac:dyDescent="0.25">
      <c r="R308" s="1191"/>
      <c r="S308" s="1191"/>
      <c r="W308" s="1191"/>
      <c r="X308" s="1191"/>
      <c r="AE308" s="1191"/>
      <c r="AF308" s="1191"/>
      <c r="AV308" s="1191"/>
      <c r="AW308" s="1191"/>
      <c r="AX308" s="1191"/>
      <c r="AY308" s="1191"/>
      <c r="AZ308" s="1191"/>
      <c r="BA308" s="1191"/>
      <c r="BC308" s="1191"/>
      <c r="BE308" s="1191"/>
      <c r="BF308" s="1191"/>
      <c r="BG308" s="1191"/>
    </row>
    <row r="309" spans="18:59" x14ac:dyDescent="0.25">
      <c r="R309" s="1191"/>
      <c r="S309" s="1191"/>
      <c r="W309" s="1191"/>
      <c r="X309" s="1191"/>
      <c r="AE309" s="1191"/>
      <c r="AF309" s="1191"/>
      <c r="AV309" s="1191"/>
      <c r="AW309" s="1191"/>
      <c r="AX309" s="1191"/>
      <c r="AY309" s="1191"/>
      <c r="AZ309" s="1191"/>
      <c r="BA309" s="1191"/>
      <c r="BC309" s="1191"/>
      <c r="BE309" s="1191"/>
      <c r="BF309" s="1191"/>
      <c r="BG309" s="1191"/>
    </row>
    <row r="310" spans="18:59" x14ac:dyDescent="0.25">
      <c r="R310" s="1191"/>
      <c r="S310" s="1191"/>
      <c r="W310" s="1191"/>
      <c r="X310" s="1191"/>
      <c r="AE310" s="1191"/>
      <c r="AF310" s="1191"/>
      <c r="AV310" s="1191"/>
      <c r="AW310" s="1191"/>
      <c r="AX310" s="1191"/>
      <c r="AY310" s="1191"/>
      <c r="AZ310" s="1191"/>
      <c r="BA310" s="1191"/>
      <c r="BC310" s="1191"/>
      <c r="BE310" s="1191"/>
      <c r="BF310" s="1191"/>
      <c r="BG310" s="1191"/>
    </row>
    <row r="311" spans="18:59" x14ac:dyDescent="0.25">
      <c r="R311" s="1191"/>
      <c r="S311" s="1191"/>
      <c r="W311" s="1191"/>
      <c r="X311" s="1191"/>
      <c r="AE311" s="1191"/>
      <c r="AF311" s="1191"/>
      <c r="AV311" s="1191"/>
      <c r="AW311" s="1191"/>
      <c r="AX311" s="1191"/>
      <c r="AY311" s="1191"/>
      <c r="AZ311" s="1191"/>
      <c r="BA311" s="1191"/>
      <c r="BC311" s="1191"/>
      <c r="BE311" s="1191"/>
      <c r="BF311" s="1191"/>
      <c r="BG311" s="1191"/>
    </row>
    <row r="312" spans="18:59" x14ac:dyDescent="0.25">
      <c r="R312" s="1191"/>
      <c r="S312" s="1191"/>
      <c r="W312" s="1191"/>
      <c r="X312" s="1191"/>
      <c r="AE312" s="1191"/>
      <c r="AF312" s="1191"/>
      <c r="AV312" s="1191"/>
      <c r="AW312" s="1191"/>
      <c r="AX312" s="1191"/>
      <c r="AY312" s="1191"/>
      <c r="AZ312" s="1191"/>
      <c r="BA312" s="1191"/>
      <c r="BC312" s="1191"/>
      <c r="BE312" s="1191"/>
      <c r="BF312" s="1191"/>
      <c r="BG312" s="1191"/>
    </row>
    <row r="313" spans="18:59" x14ac:dyDescent="0.25">
      <c r="R313" s="1191"/>
      <c r="S313" s="1191"/>
      <c r="W313" s="1191"/>
      <c r="X313" s="1191"/>
      <c r="AE313" s="1191"/>
      <c r="AF313" s="1191"/>
      <c r="AV313" s="1191"/>
      <c r="AW313" s="1191"/>
      <c r="AX313" s="1191"/>
      <c r="AY313" s="1191"/>
      <c r="AZ313" s="1191"/>
      <c r="BA313" s="1191"/>
      <c r="BC313" s="1191"/>
      <c r="BE313" s="1191"/>
      <c r="BF313" s="1191"/>
      <c r="BG313" s="1191"/>
    </row>
    <row r="314" spans="18:59" x14ac:dyDescent="0.25">
      <c r="R314" s="1191"/>
      <c r="S314" s="1191"/>
      <c r="W314" s="1191"/>
      <c r="X314" s="1191"/>
      <c r="AE314" s="1191"/>
      <c r="AF314" s="1191"/>
      <c r="AV314" s="1191"/>
      <c r="AW314" s="1191"/>
      <c r="AX314" s="1191"/>
      <c r="AY314" s="1191"/>
      <c r="AZ314" s="1191"/>
      <c r="BA314" s="1191"/>
      <c r="BC314" s="1191"/>
      <c r="BE314" s="1191"/>
      <c r="BF314" s="1191"/>
      <c r="BG314" s="1191"/>
    </row>
    <row r="315" spans="18:59" x14ac:dyDescent="0.25">
      <c r="R315" s="1191"/>
      <c r="S315" s="1191"/>
      <c r="W315" s="1191"/>
      <c r="X315" s="1191"/>
      <c r="AE315" s="1191"/>
      <c r="AF315" s="1191"/>
      <c r="AV315" s="1191"/>
      <c r="AW315" s="1191"/>
      <c r="AX315" s="1191"/>
      <c r="AY315" s="1191"/>
      <c r="AZ315" s="1191"/>
      <c r="BA315" s="1191"/>
      <c r="BC315" s="1191"/>
      <c r="BE315" s="1191"/>
      <c r="BF315" s="1191"/>
      <c r="BG315" s="1191"/>
    </row>
    <row r="316" spans="18:59" x14ac:dyDescent="0.25">
      <c r="R316" s="1191"/>
      <c r="S316" s="1191"/>
      <c r="W316" s="1191"/>
      <c r="X316" s="1191"/>
      <c r="AE316" s="1191"/>
      <c r="AF316" s="1191"/>
      <c r="AV316" s="1191"/>
      <c r="AW316" s="1191"/>
      <c r="AX316" s="1191"/>
      <c r="AY316" s="1191"/>
      <c r="AZ316" s="1191"/>
      <c r="BA316" s="1191"/>
      <c r="BC316" s="1191"/>
      <c r="BE316" s="1191"/>
      <c r="BF316" s="1191"/>
      <c r="BG316" s="1191"/>
    </row>
    <row r="317" spans="18:59" x14ac:dyDescent="0.25">
      <c r="R317" s="1191"/>
      <c r="S317" s="1191"/>
      <c r="W317" s="1191"/>
      <c r="X317" s="1191"/>
      <c r="AE317" s="1191"/>
      <c r="AF317" s="1191"/>
      <c r="AV317" s="1191"/>
      <c r="AW317" s="1191"/>
      <c r="AX317" s="1191"/>
      <c r="AY317" s="1191"/>
      <c r="AZ317" s="1191"/>
      <c r="BA317" s="1191"/>
      <c r="BC317" s="1191"/>
      <c r="BE317" s="1191"/>
      <c r="BF317" s="1191"/>
      <c r="BG317" s="1191"/>
    </row>
    <row r="318" spans="18:59" x14ac:dyDescent="0.25">
      <c r="R318" s="1191"/>
      <c r="S318" s="1191"/>
      <c r="W318" s="1191"/>
      <c r="X318" s="1191"/>
      <c r="AE318" s="1191"/>
      <c r="AF318" s="1191"/>
      <c r="AV318" s="1191"/>
      <c r="AW318" s="1191"/>
      <c r="AX318" s="1191"/>
      <c r="AY318" s="1191"/>
      <c r="AZ318" s="1191"/>
      <c r="BA318" s="1191"/>
      <c r="BC318" s="1191"/>
      <c r="BE318" s="1191"/>
      <c r="BF318" s="1191"/>
      <c r="BG318" s="1191"/>
    </row>
    <row r="319" spans="18:59" x14ac:dyDescent="0.25">
      <c r="R319" s="1191"/>
      <c r="S319" s="1191"/>
      <c r="W319" s="1191"/>
      <c r="X319" s="1191"/>
      <c r="AE319" s="1191"/>
      <c r="AF319" s="1191"/>
      <c r="AV319" s="1191"/>
      <c r="AW319" s="1191"/>
      <c r="AX319" s="1191"/>
      <c r="AY319" s="1191"/>
      <c r="AZ319" s="1191"/>
      <c r="BA319" s="1191"/>
      <c r="BC319" s="1191"/>
      <c r="BE319" s="1191"/>
      <c r="BF319" s="1191"/>
      <c r="BG319" s="1191"/>
    </row>
    <row r="320" spans="18:59" x14ac:dyDescent="0.25">
      <c r="R320" s="1191"/>
      <c r="S320" s="1191"/>
      <c r="W320" s="1191"/>
      <c r="X320" s="1191"/>
      <c r="AE320" s="1191"/>
      <c r="AF320" s="1191"/>
      <c r="AV320" s="1191"/>
      <c r="AW320" s="1191"/>
      <c r="AX320" s="1191"/>
      <c r="AY320" s="1191"/>
      <c r="AZ320" s="1191"/>
      <c r="BA320" s="1191"/>
      <c r="BC320" s="1191"/>
      <c r="BE320" s="1191"/>
      <c r="BF320" s="1191"/>
      <c r="BG320" s="1191"/>
    </row>
    <row r="321" spans="18:59" x14ac:dyDescent="0.25">
      <c r="R321" s="1191"/>
      <c r="S321" s="1191"/>
      <c r="W321" s="1191"/>
      <c r="X321" s="1191"/>
      <c r="AE321" s="1191"/>
      <c r="AF321" s="1191"/>
      <c r="AV321" s="1191"/>
      <c r="AW321" s="1191"/>
      <c r="AX321" s="1191"/>
      <c r="AY321" s="1191"/>
      <c r="AZ321" s="1191"/>
      <c r="BA321" s="1191"/>
      <c r="BC321" s="1191"/>
      <c r="BE321" s="1191"/>
      <c r="BF321" s="1191"/>
      <c r="BG321" s="1191"/>
    </row>
    <row r="322" spans="18:59" x14ac:dyDescent="0.25">
      <c r="R322" s="1191"/>
      <c r="S322" s="1191"/>
      <c r="W322" s="1191"/>
      <c r="X322" s="1191"/>
      <c r="AE322" s="1191"/>
      <c r="AF322" s="1191"/>
      <c r="AV322" s="1191"/>
      <c r="AW322" s="1191"/>
      <c r="AX322" s="1191"/>
      <c r="AY322" s="1191"/>
      <c r="AZ322" s="1191"/>
      <c r="BA322" s="1191"/>
      <c r="BC322" s="1191"/>
      <c r="BE322" s="1191"/>
      <c r="BF322" s="1191"/>
      <c r="BG322" s="1191"/>
    </row>
    <row r="323" spans="18:59" x14ac:dyDescent="0.25">
      <c r="R323" s="1191"/>
      <c r="S323" s="1191"/>
      <c r="W323" s="1191"/>
      <c r="X323" s="1191"/>
      <c r="AE323" s="1191"/>
      <c r="AF323" s="1191"/>
      <c r="AV323" s="1191"/>
      <c r="AW323" s="1191"/>
      <c r="AX323" s="1191"/>
      <c r="AY323" s="1191"/>
      <c r="AZ323" s="1191"/>
      <c r="BA323" s="1191"/>
      <c r="BC323" s="1191"/>
      <c r="BE323" s="1191"/>
      <c r="BF323" s="1191"/>
      <c r="BG323" s="1191"/>
    </row>
    <row r="324" spans="18:59" x14ac:dyDescent="0.25">
      <c r="R324" s="1191"/>
      <c r="S324" s="1191"/>
      <c r="W324" s="1191"/>
      <c r="X324" s="1191"/>
      <c r="AE324" s="1191"/>
      <c r="AF324" s="1191"/>
      <c r="AV324" s="1191"/>
      <c r="AW324" s="1191"/>
      <c r="AX324" s="1191"/>
      <c r="AY324" s="1191"/>
      <c r="AZ324" s="1191"/>
      <c r="BA324" s="1191"/>
      <c r="BC324" s="1191"/>
      <c r="BE324" s="1191"/>
      <c r="BF324" s="1191"/>
      <c r="BG324" s="1191"/>
    </row>
    <row r="325" spans="18:59" x14ac:dyDescent="0.25">
      <c r="R325" s="1191"/>
      <c r="S325" s="1191"/>
      <c r="W325" s="1191"/>
      <c r="X325" s="1191"/>
      <c r="AE325" s="1191"/>
      <c r="AF325" s="1191"/>
      <c r="AV325" s="1191"/>
      <c r="AW325" s="1191"/>
      <c r="AX325" s="1191"/>
      <c r="AY325" s="1191"/>
      <c r="AZ325" s="1191"/>
      <c r="BA325" s="1191"/>
      <c r="BC325" s="1191"/>
      <c r="BE325" s="1191"/>
      <c r="BF325" s="1191"/>
      <c r="BG325" s="1191"/>
    </row>
    <row r="326" spans="18:59" x14ac:dyDescent="0.25">
      <c r="R326" s="1191"/>
      <c r="S326" s="1191"/>
      <c r="W326" s="1191"/>
      <c r="X326" s="1191"/>
      <c r="AE326" s="1191"/>
      <c r="AF326" s="1191"/>
      <c r="AV326" s="1191"/>
      <c r="AW326" s="1191"/>
      <c r="AX326" s="1191"/>
      <c r="AY326" s="1191"/>
      <c r="AZ326" s="1191"/>
      <c r="BA326" s="1191"/>
      <c r="BC326" s="1191"/>
      <c r="BE326" s="1191"/>
      <c r="BF326" s="1191"/>
      <c r="BG326" s="1191"/>
    </row>
    <row r="327" spans="18:59" x14ac:dyDescent="0.25">
      <c r="R327" s="1191"/>
      <c r="S327" s="1191"/>
      <c r="W327" s="1191"/>
      <c r="X327" s="1191"/>
      <c r="AE327" s="1191"/>
      <c r="AF327" s="1191"/>
      <c r="AV327" s="1191"/>
      <c r="AW327" s="1191"/>
      <c r="AX327" s="1191"/>
      <c r="AY327" s="1191"/>
      <c r="AZ327" s="1191"/>
      <c r="BA327" s="1191"/>
      <c r="BC327" s="1191"/>
      <c r="BE327" s="1191"/>
      <c r="BF327" s="1191"/>
      <c r="BG327" s="1191"/>
    </row>
    <row r="328" spans="18:59" x14ac:dyDescent="0.25">
      <c r="R328" s="1191"/>
      <c r="S328" s="1191"/>
      <c r="W328" s="1191"/>
      <c r="X328" s="1191"/>
      <c r="AE328" s="1191"/>
      <c r="AF328" s="1191"/>
      <c r="AV328" s="1191"/>
      <c r="AW328" s="1191"/>
      <c r="AX328" s="1191"/>
      <c r="AY328" s="1191"/>
      <c r="AZ328" s="1191"/>
      <c r="BA328" s="1191"/>
      <c r="BC328" s="1191"/>
      <c r="BE328" s="1191"/>
      <c r="BF328" s="1191"/>
      <c r="BG328" s="1191"/>
    </row>
    <row r="329" spans="18:59" x14ac:dyDescent="0.25">
      <c r="R329" s="1191"/>
      <c r="S329" s="1191"/>
      <c r="W329" s="1191"/>
      <c r="X329" s="1191"/>
      <c r="AE329" s="1191"/>
      <c r="AF329" s="1191"/>
      <c r="AV329" s="1191"/>
      <c r="AW329" s="1191"/>
      <c r="AX329" s="1191"/>
      <c r="AY329" s="1191"/>
      <c r="AZ329" s="1191"/>
      <c r="BA329" s="1191"/>
      <c r="BC329" s="1191"/>
      <c r="BE329" s="1191"/>
      <c r="BF329" s="1191"/>
      <c r="BG329" s="1191"/>
    </row>
    <row r="330" spans="18:59" x14ac:dyDescent="0.25">
      <c r="R330" s="1191"/>
      <c r="S330" s="1191"/>
      <c r="W330" s="1191"/>
      <c r="X330" s="1191"/>
      <c r="AE330" s="1191"/>
      <c r="AF330" s="1191"/>
      <c r="AV330" s="1191"/>
      <c r="AW330" s="1191"/>
      <c r="AX330" s="1191"/>
      <c r="AY330" s="1191"/>
      <c r="AZ330" s="1191"/>
      <c r="BA330" s="1191"/>
      <c r="BC330" s="1191"/>
      <c r="BE330" s="1191"/>
      <c r="BF330" s="1191"/>
      <c r="BG330" s="1191"/>
    </row>
    <row r="331" spans="18:59" x14ac:dyDescent="0.25">
      <c r="R331" s="1191"/>
      <c r="S331" s="1191"/>
      <c r="W331" s="1191"/>
      <c r="X331" s="1191"/>
      <c r="AE331" s="1191"/>
      <c r="AF331" s="1191"/>
      <c r="AV331" s="1191"/>
      <c r="AW331" s="1191"/>
      <c r="AX331" s="1191"/>
      <c r="AY331" s="1191"/>
      <c r="AZ331" s="1191"/>
      <c r="BA331" s="1191"/>
      <c r="BC331" s="1191"/>
      <c r="BE331" s="1191"/>
      <c r="BF331" s="1191"/>
      <c r="BG331" s="1191"/>
    </row>
    <row r="332" spans="18:59" x14ac:dyDescent="0.25">
      <c r="R332" s="1191"/>
      <c r="S332" s="1191"/>
      <c r="W332" s="1191"/>
      <c r="X332" s="1191"/>
      <c r="AE332" s="1191"/>
      <c r="AF332" s="1191"/>
      <c r="AV332" s="1191"/>
      <c r="AW332" s="1191"/>
      <c r="AX332" s="1191"/>
      <c r="AY332" s="1191"/>
      <c r="AZ332" s="1191"/>
      <c r="BA332" s="1191"/>
      <c r="BC332" s="1191"/>
      <c r="BE332" s="1191"/>
      <c r="BF332" s="1191"/>
      <c r="BG332" s="1191"/>
    </row>
    <row r="333" spans="18:59" x14ac:dyDescent="0.25">
      <c r="R333" s="1191"/>
      <c r="S333" s="1191"/>
      <c r="W333" s="1191"/>
      <c r="X333" s="1191"/>
      <c r="AE333" s="1191"/>
      <c r="AF333" s="1191"/>
      <c r="AV333" s="1191"/>
      <c r="AW333" s="1191"/>
      <c r="AX333" s="1191"/>
      <c r="AY333" s="1191"/>
      <c r="AZ333" s="1191"/>
      <c r="BA333" s="1191"/>
      <c r="BC333" s="1191"/>
      <c r="BE333" s="1191"/>
      <c r="BF333" s="1191"/>
      <c r="BG333" s="1191"/>
    </row>
    <row r="334" spans="18:59" x14ac:dyDescent="0.25">
      <c r="R334" s="1191"/>
      <c r="S334" s="1191"/>
      <c r="W334" s="1191"/>
      <c r="X334" s="1191"/>
      <c r="AE334" s="1191"/>
      <c r="AF334" s="1191"/>
      <c r="AV334" s="1191"/>
      <c r="AW334" s="1191"/>
      <c r="AX334" s="1191"/>
      <c r="AY334" s="1191"/>
      <c r="AZ334" s="1191"/>
      <c r="BA334" s="1191"/>
      <c r="BC334" s="1191"/>
      <c r="BE334" s="1191"/>
      <c r="BF334" s="1191"/>
      <c r="BG334" s="1191"/>
    </row>
    <row r="335" spans="18:59" x14ac:dyDescent="0.25">
      <c r="R335" s="1191"/>
      <c r="S335" s="1191"/>
      <c r="W335" s="1191"/>
      <c r="X335" s="1191"/>
      <c r="AE335" s="1191"/>
      <c r="AF335" s="1191"/>
      <c r="AV335" s="1191"/>
      <c r="AW335" s="1191"/>
      <c r="AX335" s="1191"/>
      <c r="AY335" s="1191"/>
      <c r="AZ335" s="1191"/>
      <c r="BA335" s="1191"/>
      <c r="BC335" s="1191"/>
      <c r="BE335" s="1191"/>
      <c r="BF335" s="1191"/>
      <c r="BG335" s="1191"/>
    </row>
    <row r="336" spans="18:59" x14ac:dyDescent="0.25">
      <c r="R336" s="1191"/>
      <c r="S336" s="1191"/>
      <c r="W336" s="1191"/>
      <c r="X336" s="1191"/>
      <c r="AE336" s="1191"/>
      <c r="AF336" s="1191"/>
      <c r="AV336" s="1191"/>
      <c r="AW336" s="1191"/>
      <c r="AX336" s="1191"/>
      <c r="AY336" s="1191"/>
      <c r="AZ336" s="1191"/>
      <c r="BA336" s="1191"/>
      <c r="BC336" s="1191"/>
      <c r="BE336" s="1191"/>
      <c r="BF336" s="1191"/>
      <c r="BG336" s="1191"/>
    </row>
    <row r="337" spans="18:59" x14ac:dyDescent="0.25">
      <c r="R337" s="1191"/>
      <c r="S337" s="1191"/>
      <c r="W337" s="1191"/>
      <c r="X337" s="1191"/>
      <c r="AE337" s="1191"/>
      <c r="AF337" s="1191"/>
      <c r="AV337" s="1191"/>
      <c r="AW337" s="1191"/>
      <c r="AX337" s="1191"/>
      <c r="AY337" s="1191"/>
      <c r="AZ337" s="1191"/>
      <c r="BA337" s="1191"/>
      <c r="BC337" s="1191"/>
      <c r="BE337" s="1191"/>
      <c r="BF337" s="1191"/>
      <c r="BG337" s="1191"/>
    </row>
    <row r="338" spans="18:59" x14ac:dyDescent="0.25">
      <c r="R338" s="1191"/>
      <c r="S338" s="1191"/>
      <c r="W338" s="1191"/>
      <c r="X338" s="1191"/>
      <c r="AE338" s="1191"/>
      <c r="AF338" s="1191"/>
      <c r="AV338" s="1191"/>
      <c r="AW338" s="1191"/>
      <c r="AX338" s="1191"/>
      <c r="AY338" s="1191"/>
      <c r="AZ338" s="1191"/>
      <c r="BA338" s="1191"/>
      <c r="BC338" s="1191"/>
      <c r="BE338" s="1191"/>
      <c r="BF338" s="1191"/>
      <c r="BG338" s="1191"/>
    </row>
    <row r="339" spans="18:59" x14ac:dyDescent="0.25">
      <c r="R339" s="1191"/>
      <c r="S339" s="1191"/>
      <c r="W339" s="1191"/>
      <c r="X339" s="1191"/>
      <c r="AE339" s="1191"/>
      <c r="AF339" s="1191"/>
      <c r="AV339" s="1191"/>
      <c r="AW339" s="1191"/>
      <c r="AX339" s="1191"/>
      <c r="AY339" s="1191"/>
      <c r="AZ339" s="1191"/>
      <c r="BA339" s="1191"/>
      <c r="BC339" s="1191"/>
      <c r="BE339" s="1191"/>
      <c r="BF339" s="1191"/>
      <c r="BG339" s="1191"/>
    </row>
    <row r="340" spans="18:59" x14ac:dyDescent="0.25">
      <c r="R340" s="1191"/>
      <c r="S340" s="1191"/>
      <c r="W340" s="1191"/>
      <c r="X340" s="1191"/>
      <c r="AE340" s="1191"/>
      <c r="AF340" s="1191"/>
      <c r="AV340" s="1191"/>
      <c r="AW340" s="1191"/>
      <c r="AX340" s="1191"/>
      <c r="AY340" s="1191"/>
      <c r="AZ340" s="1191"/>
      <c r="BA340" s="1191"/>
      <c r="BC340" s="1191"/>
      <c r="BE340" s="1191"/>
      <c r="BF340" s="1191"/>
      <c r="BG340" s="1191"/>
    </row>
    <row r="341" spans="18:59" x14ac:dyDescent="0.25">
      <c r="R341" s="1191"/>
      <c r="S341" s="1191"/>
      <c r="W341" s="1191"/>
      <c r="X341" s="1191"/>
      <c r="AE341" s="1191"/>
      <c r="AF341" s="1191"/>
      <c r="AV341" s="1191"/>
      <c r="AW341" s="1191"/>
      <c r="AX341" s="1191"/>
      <c r="AY341" s="1191"/>
      <c r="AZ341" s="1191"/>
      <c r="BA341" s="1191"/>
      <c r="BC341" s="1191"/>
      <c r="BE341" s="1191"/>
      <c r="BF341" s="1191"/>
      <c r="BG341" s="1191"/>
    </row>
    <row r="342" spans="18:59" x14ac:dyDescent="0.25">
      <c r="R342" s="1191"/>
      <c r="S342" s="1191"/>
      <c r="W342" s="1191"/>
      <c r="X342" s="1191"/>
      <c r="AE342" s="1191"/>
      <c r="AF342" s="1191"/>
      <c r="AV342" s="1191"/>
      <c r="AW342" s="1191"/>
      <c r="AX342" s="1191"/>
      <c r="AY342" s="1191"/>
      <c r="AZ342" s="1191"/>
      <c r="BA342" s="1191"/>
      <c r="BC342" s="1191"/>
      <c r="BE342" s="1191"/>
      <c r="BF342" s="1191"/>
      <c r="BG342" s="1191"/>
    </row>
    <row r="343" spans="18:59" x14ac:dyDescent="0.25">
      <c r="R343" s="1191"/>
      <c r="S343" s="1191"/>
      <c r="W343" s="1191"/>
      <c r="X343" s="1191"/>
      <c r="AE343" s="1191"/>
      <c r="AF343" s="1191"/>
      <c r="AV343" s="1191"/>
      <c r="AW343" s="1191"/>
      <c r="AX343" s="1191"/>
      <c r="AY343" s="1191"/>
      <c r="AZ343" s="1191"/>
      <c r="BA343" s="1191"/>
      <c r="BC343" s="1191"/>
      <c r="BE343" s="1191"/>
      <c r="BF343" s="1191"/>
      <c r="BG343" s="1191"/>
    </row>
    <row r="344" spans="18:59" x14ac:dyDescent="0.25">
      <c r="R344" s="1191"/>
      <c r="S344" s="1191"/>
      <c r="W344" s="1191"/>
      <c r="X344" s="1191"/>
      <c r="AE344" s="1191"/>
      <c r="AF344" s="1191"/>
      <c r="AV344" s="1191"/>
      <c r="AW344" s="1191"/>
      <c r="AX344" s="1191"/>
      <c r="AY344" s="1191"/>
      <c r="AZ344" s="1191"/>
      <c r="BA344" s="1191"/>
      <c r="BC344" s="1191"/>
      <c r="BE344" s="1191"/>
      <c r="BF344" s="1191"/>
      <c r="BG344" s="1191"/>
    </row>
    <row r="345" spans="18:59" x14ac:dyDescent="0.25">
      <c r="R345" s="1191"/>
      <c r="S345" s="1191"/>
      <c r="W345" s="1191"/>
      <c r="X345" s="1191"/>
      <c r="AE345" s="1191"/>
      <c r="AF345" s="1191"/>
      <c r="AV345" s="1191"/>
      <c r="AW345" s="1191"/>
      <c r="AX345" s="1191"/>
      <c r="AY345" s="1191"/>
      <c r="AZ345" s="1191"/>
      <c r="BA345" s="1191"/>
      <c r="BC345" s="1191"/>
      <c r="BE345" s="1191"/>
      <c r="BF345" s="1191"/>
      <c r="BG345" s="1191"/>
    </row>
    <row r="346" spans="18:59" x14ac:dyDescent="0.25">
      <c r="R346" s="1191"/>
      <c r="S346" s="1191"/>
      <c r="W346" s="1191"/>
      <c r="X346" s="1191"/>
      <c r="AE346" s="1191"/>
      <c r="AF346" s="1191"/>
      <c r="AV346" s="1191"/>
      <c r="AW346" s="1191"/>
      <c r="AX346" s="1191"/>
      <c r="AY346" s="1191"/>
      <c r="AZ346" s="1191"/>
      <c r="BA346" s="1191"/>
      <c r="BC346" s="1191"/>
      <c r="BE346" s="1191"/>
      <c r="BF346" s="1191"/>
      <c r="BG346" s="1191"/>
    </row>
    <row r="347" spans="18:59" x14ac:dyDescent="0.25">
      <c r="R347" s="1191"/>
      <c r="S347" s="1191"/>
      <c r="W347" s="1191"/>
      <c r="X347" s="1191"/>
      <c r="AE347" s="1191"/>
      <c r="AF347" s="1191"/>
      <c r="AV347" s="1191"/>
      <c r="AW347" s="1191"/>
      <c r="AX347" s="1191"/>
      <c r="AY347" s="1191"/>
      <c r="AZ347" s="1191"/>
      <c r="BA347" s="1191"/>
      <c r="BC347" s="1191"/>
      <c r="BE347" s="1191"/>
      <c r="BF347" s="1191"/>
      <c r="BG347" s="1191"/>
    </row>
    <row r="348" spans="18:59" x14ac:dyDescent="0.25">
      <c r="R348" s="1191"/>
      <c r="S348" s="1191"/>
      <c r="W348" s="1191"/>
      <c r="X348" s="1191"/>
      <c r="AE348" s="1191"/>
      <c r="AF348" s="1191"/>
      <c r="AV348" s="1191"/>
      <c r="AW348" s="1191"/>
      <c r="AX348" s="1191"/>
      <c r="AY348" s="1191"/>
      <c r="AZ348" s="1191"/>
      <c r="BA348" s="1191"/>
      <c r="BC348" s="1191"/>
      <c r="BE348" s="1191"/>
      <c r="BF348" s="1191"/>
      <c r="BG348" s="1191"/>
    </row>
    <row r="349" spans="18:59" x14ac:dyDescent="0.25">
      <c r="R349" s="1191"/>
      <c r="S349" s="1191"/>
      <c r="W349" s="1191"/>
      <c r="X349" s="1191"/>
      <c r="AE349" s="1191"/>
      <c r="AF349" s="1191"/>
      <c r="AV349" s="1191"/>
      <c r="AW349" s="1191"/>
      <c r="AX349" s="1191"/>
      <c r="AY349" s="1191"/>
      <c r="AZ349" s="1191"/>
      <c r="BA349" s="1191"/>
      <c r="BC349" s="1191"/>
      <c r="BE349" s="1191"/>
      <c r="BF349" s="1191"/>
      <c r="BG349" s="1191"/>
    </row>
    <row r="350" spans="18:59" x14ac:dyDescent="0.25">
      <c r="R350" s="1191"/>
      <c r="S350" s="1191"/>
      <c r="W350" s="1191"/>
      <c r="X350" s="1191"/>
      <c r="AE350" s="1191"/>
      <c r="AF350" s="1191"/>
      <c r="AV350" s="1191"/>
      <c r="AW350" s="1191"/>
      <c r="AX350" s="1191"/>
      <c r="AY350" s="1191"/>
      <c r="AZ350" s="1191"/>
      <c r="BA350" s="1191"/>
      <c r="BC350" s="1191"/>
      <c r="BE350" s="1191"/>
      <c r="BF350" s="1191"/>
      <c r="BG350" s="1191"/>
    </row>
    <row r="351" spans="18:59" x14ac:dyDescent="0.25">
      <c r="R351" s="1191"/>
      <c r="S351" s="1191"/>
      <c r="W351" s="1191"/>
      <c r="X351" s="1191"/>
      <c r="AE351" s="1191"/>
      <c r="AF351" s="1191"/>
      <c r="AV351" s="1191"/>
      <c r="AW351" s="1191"/>
      <c r="AX351" s="1191"/>
      <c r="AY351" s="1191"/>
      <c r="AZ351" s="1191"/>
      <c r="BA351" s="1191"/>
      <c r="BC351" s="1191"/>
      <c r="BE351" s="1191"/>
      <c r="BF351" s="1191"/>
      <c r="BG351" s="1191"/>
    </row>
    <row r="352" spans="18:59" x14ac:dyDescent="0.25">
      <c r="R352" s="1191"/>
      <c r="S352" s="1191"/>
      <c r="W352" s="1191"/>
      <c r="X352" s="1191"/>
      <c r="AE352" s="1191"/>
      <c r="AF352" s="1191"/>
      <c r="AV352" s="1191"/>
      <c r="AW352" s="1191"/>
      <c r="AX352" s="1191"/>
      <c r="AY352" s="1191"/>
      <c r="AZ352" s="1191"/>
      <c r="BA352" s="1191"/>
      <c r="BC352" s="1191"/>
      <c r="BE352" s="1191"/>
      <c r="BF352" s="1191"/>
      <c r="BG352" s="1191"/>
    </row>
    <row r="353" spans="18:59" x14ac:dyDescent="0.25">
      <c r="R353" s="1191"/>
      <c r="S353" s="1191"/>
      <c r="W353" s="1191"/>
      <c r="X353" s="1191"/>
      <c r="AE353" s="1191"/>
      <c r="AF353" s="1191"/>
      <c r="AV353" s="1191"/>
      <c r="AW353" s="1191"/>
      <c r="AX353" s="1191"/>
      <c r="AY353" s="1191"/>
      <c r="AZ353" s="1191"/>
      <c r="BA353" s="1191"/>
      <c r="BC353" s="1191"/>
      <c r="BE353" s="1191"/>
      <c r="BF353" s="1191"/>
      <c r="BG353" s="1191"/>
    </row>
    <row r="354" spans="18:59" x14ac:dyDescent="0.25">
      <c r="R354" s="1191"/>
      <c r="S354" s="1191"/>
      <c r="W354" s="1191"/>
      <c r="X354" s="1191"/>
      <c r="AE354" s="1191"/>
      <c r="AF354" s="1191"/>
      <c r="AV354" s="1191"/>
      <c r="AW354" s="1191"/>
      <c r="AX354" s="1191"/>
      <c r="AY354" s="1191"/>
      <c r="AZ354" s="1191"/>
      <c r="BA354" s="1191"/>
      <c r="BC354" s="1191"/>
      <c r="BE354" s="1191"/>
      <c r="BF354" s="1191"/>
      <c r="BG354" s="1191"/>
    </row>
    <row r="355" spans="18:59" x14ac:dyDescent="0.25">
      <c r="R355" s="1191"/>
      <c r="S355" s="1191"/>
      <c r="W355" s="1191"/>
      <c r="X355" s="1191"/>
      <c r="AE355" s="1191"/>
      <c r="AF355" s="1191"/>
      <c r="AV355" s="1191"/>
      <c r="AW355" s="1191"/>
      <c r="AX355" s="1191"/>
      <c r="AY355" s="1191"/>
      <c r="AZ355" s="1191"/>
      <c r="BA355" s="1191"/>
      <c r="BC355" s="1191"/>
      <c r="BE355" s="1191"/>
      <c r="BF355" s="1191"/>
      <c r="BG355" s="1191"/>
    </row>
    <row r="356" spans="18:59" x14ac:dyDescent="0.25">
      <c r="R356" s="1191"/>
      <c r="S356" s="1191"/>
      <c r="W356" s="1191"/>
      <c r="X356" s="1191"/>
      <c r="AE356" s="1191"/>
      <c r="AF356" s="1191"/>
      <c r="AV356" s="1191"/>
      <c r="AW356" s="1191"/>
      <c r="AX356" s="1191"/>
      <c r="AY356" s="1191"/>
      <c r="AZ356" s="1191"/>
      <c r="BA356" s="1191"/>
      <c r="BC356" s="1191"/>
      <c r="BE356" s="1191"/>
      <c r="BF356" s="1191"/>
      <c r="BG356" s="1191"/>
    </row>
    <row r="357" spans="18:59" x14ac:dyDescent="0.25">
      <c r="R357" s="1191"/>
      <c r="S357" s="1191"/>
      <c r="W357" s="1191"/>
      <c r="X357" s="1191"/>
      <c r="AE357" s="1191"/>
      <c r="AF357" s="1191"/>
      <c r="AV357" s="1191"/>
      <c r="AW357" s="1191"/>
      <c r="AX357" s="1191"/>
      <c r="AY357" s="1191"/>
      <c r="AZ357" s="1191"/>
      <c r="BA357" s="1191"/>
      <c r="BC357" s="1191"/>
      <c r="BE357" s="1191"/>
      <c r="BF357" s="1191"/>
      <c r="BG357" s="1191"/>
    </row>
    <row r="358" spans="18:59" x14ac:dyDescent="0.25">
      <c r="R358" s="1191"/>
      <c r="S358" s="1191"/>
      <c r="W358" s="1191"/>
      <c r="X358" s="1191"/>
      <c r="AE358" s="1191"/>
      <c r="AF358" s="1191"/>
      <c r="AV358" s="1191"/>
      <c r="AW358" s="1191"/>
      <c r="AX358" s="1191"/>
      <c r="AY358" s="1191"/>
      <c r="AZ358" s="1191"/>
      <c r="BA358" s="1191"/>
      <c r="BC358" s="1191"/>
      <c r="BE358" s="1191"/>
      <c r="BF358" s="1191"/>
      <c r="BG358" s="1191"/>
    </row>
    <row r="359" spans="18:59" x14ac:dyDescent="0.25">
      <c r="R359" s="1191"/>
      <c r="S359" s="1191"/>
      <c r="W359" s="1191"/>
      <c r="X359" s="1191"/>
      <c r="AE359" s="1191"/>
      <c r="AF359" s="1191"/>
      <c r="AV359" s="1191"/>
      <c r="AW359" s="1191"/>
      <c r="AX359" s="1191"/>
      <c r="AY359" s="1191"/>
      <c r="AZ359" s="1191"/>
      <c r="BA359" s="1191"/>
      <c r="BC359" s="1191"/>
      <c r="BE359" s="1191"/>
      <c r="BF359" s="1191"/>
      <c r="BG359" s="1191"/>
    </row>
    <row r="360" spans="18:59" x14ac:dyDescent="0.25">
      <c r="R360" s="1191"/>
      <c r="S360" s="1191"/>
      <c r="W360" s="1191"/>
      <c r="X360" s="1191"/>
      <c r="AE360" s="1191"/>
      <c r="AF360" s="1191"/>
      <c r="AV360" s="1191"/>
      <c r="AW360" s="1191"/>
      <c r="AX360" s="1191"/>
      <c r="AY360" s="1191"/>
      <c r="AZ360" s="1191"/>
      <c r="BA360" s="1191"/>
      <c r="BC360" s="1191"/>
      <c r="BE360" s="1191"/>
      <c r="BF360" s="1191"/>
      <c r="BG360" s="1191"/>
    </row>
    <row r="361" spans="18:59" x14ac:dyDescent="0.25">
      <c r="R361" s="1191"/>
      <c r="S361" s="1191"/>
      <c r="W361" s="1191"/>
      <c r="X361" s="1191"/>
      <c r="AE361" s="1191"/>
      <c r="AF361" s="1191"/>
      <c r="AV361" s="1191"/>
      <c r="AW361" s="1191"/>
      <c r="AX361" s="1191"/>
      <c r="AY361" s="1191"/>
      <c r="AZ361" s="1191"/>
      <c r="BA361" s="1191"/>
      <c r="BC361" s="1191"/>
      <c r="BE361" s="1191"/>
      <c r="BF361" s="1191"/>
      <c r="BG361" s="1191"/>
    </row>
    <row r="362" spans="18:59" x14ac:dyDescent="0.25">
      <c r="R362" s="1191"/>
      <c r="S362" s="1191"/>
      <c r="W362" s="1191"/>
      <c r="X362" s="1191"/>
      <c r="AE362" s="1191"/>
      <c r="AF362" s="1191"/>
      <c r="AV362" s="1191"/>
      <c r="AW362" s="1191"/>
      <c r="AX362" s="1191"/>
      <c r="AY362" s="1191"/>
      <c r="AZ362" s="1191"/>
      <c r="BA362" s="1191"/>
      <c r="BC362" s="1191"/>
      <c r="BE362" s="1191"/>
      <c r="BF362" s="1191"/>
      <c r="BG362" s="1191"/>
    </row>
    <row r="363" spans="18:59" x14ac:dyDescent="0.25">
      <c r="R363" s="1191"/>
      <c r="S363" s="1191"/>
      <c r="W363" s="1191"/>
      <c r="X363" s="1191"/>
      <c r="AE363" s="1191"/>
      <c r="AF363" s="1191"/>
      <c r="AV363" s="1191"/>
      <c r="AW363" s="1191"/>
      <c r="AX363" s="1191"/>
      <c r="AY363" s="1191"/>
      <c r="AZ363" s="1191"/>
      <c r="BA363" s="1191"/>
      <c r="BC363" s="1191"/>
      <c r="BE363" s="1191"/>
      <c r="BF363" s="1191"/>
      <c r="BG363" s="1191"/>
    </row>
    <row r="364" spans="18:59" x14ac:dyDescent="0.25">
      <c r="R364" s="1191"/>
      <c r="S364" s="1191"/>
      <c r="W364" s="1191"/>
      <c r="X364" s="1191"/>
      <c r="AE364" s="1191"/>
      <c r="AF364" s="1191"/>
      <c r="AV364" s="1191"/>
      <c r="AW364" s="1191"/>
      <c r="AX364" s="1191"/>
      <c r="AY364" s="1191"/>
      <c r="AZ364" s="1191"/>
      <c r="BA364" s="1191"/>
      <c r="BC364" s="1191"/>
      <c r="BE364" s="1191"/>
      <c r="BF364" s="1191"/>
      <c r="BG364" s="1191"/>
    </row>
    <row r="365" spans="18:59" x14ac:dyDescent="0.25">
      <c r="R365" s="1191"/>
      <c r="S365" s="1191"/>
      <c r="W365" s="1191"/>
      <c r="X365" s="1191"/>
      <c r="AE365" s="1191"/>
      <c r="AF365" s="1191"/>
      <c r="AV365" s="1191"/>
      <c r="AW365" s="1191"/>
      <c r="AX365" s="1191"/>
      <c r="AY365" s="1191"/>
      <c r="AZ365" s="1191"/>
      <c r="BA365" s="1191"/>
      <c r="BC365" s="1191"/>
      <c r="BE365" s="1191"/>
      <c r="BF365" s="1191"/>
      <c r="BG365" s="1191"/>
    </row>
    <row r="366" spans="18:59" x14ac:dyDescent="0.25">
      <c r="R366" s="1191"/>
      <c r="S366" s="1191"/>
      <c r="W366" s="1191"/>
      <c r="X366" s="1191"/>
      <c r="AE366" s="1191"/>
      <c r="AF366" s="1191"/>
      <c r="AV366" s="1191"/>
      <c r="AW366" s="1191"/>
      <c r="AX366" s="1191"/>
      <c r="AY366" s="1191"/>
      <c r="AZ366" s="1191"/>
      <c r="BA366" s="1191"/>
      <c r="BC366" s="1191"/>
      <c r="BE366" s="1191"/>
      <c r="BF366" s="1191"/>
      <c r="BG366" s="1191"/>
    </row>
    <row r="367" spans="18:59" x14ac:dyDescent="0.25">
      <c r="R367" s="1191"/>
      <c r="S367" s="1191"/>
      <c r="W367" s="1191"/>
      <c r="X367" s="1191"/>
      <c r="AE367" s="1191"/>
      <c r="AF367" s="1191"/>
      <c r="AV367" s="1191"/>
      <c r="AW367" s="1191"/>
      <c r="AX367" s="1191"/>
      <c r="AY367" s="1191"/>
      <c r="AZ367" s="1191"/>
      <c r="BA367" s="1191"/>
      <c r="BC367" s="1191"/>
      <c r="BE367" s="1191"/>
      <c r="BF367" s="1191"/>
      <c r="BG367" s="1191"/>
    </row>
    <row r="368" spans="18:59" x14ac:dyDescent="0.25">
      <c r="R368" s="1191"/>
      <c r="S368" s="1191"/>
      <c r="W368" s="1191"/>
      <c r="X368" s="1191"/>
      <c r="AE368" s="1191"/>
      <c r="AF368" s="1191"/>
      <c r="AV368" s="1191"/>
      <c r="AW368" s="1191"/>
      <c r="AX368" s="1191"/>
      <c r="AY368" s="1191"/>
      <c r="AZ368" s="1191"/>
      <c r="BA368" s="1191"/>
      <c r="BC368" s="1191"/>
      <c r="BE368" s="1191"/>
      <c r="BF368" s="1191"/>
      <c r="BG368" s="1191"/>
    </row>
    <row r="369" spans="18:59" x14ac:dyDescent="0.25">
      <c r="R369" s="1191"/>
      <c r="S369" s="1191"/>
      <c r="W369" s="1191"/>
      <c r="X369" s="1191"/>
      <c r="AE369" s="1191"/>
      <c r="AF369" s="1191"/>
      <c r="AV369" s="1191"/>
      <c r="AW369" s="1191"/>
      <c r="AX369" s="1191"/>
      <c r="AY369" s="1191"/>
      <c r="AZ369" s="1191"/>
      <c r="BA369" s="1191"/>
      <c r="BC369" s="1191"/>
      <c r="BE369" s="1191"/>
      <c r="BF369" s="1191"/>
      <c r="BG369" s="1191"/>
    </row>
    <row r="370" spans="18:59" x14ac:dyDescent="0.25">
      <c r="R370" s="1191"/>
      <c r="S370" s="1191"/>
      <c r="W370" s="1191"/>
      <c r="X370" s="1191"/>
      <c r="AE370" s="1191"/>
      <c r="AF370" s="1191"/>
      <c r="AV370" s="1191"/>
      <c r="AW370" s="1191"/>
      <c r="AX370" s="1191"/>
      <c r="AY370" s="1191"/>
      <c r="AZ370" s="1191"/>
      <c r="BA370" s="1191"/>
      <c r="BC370" s="1191"/>
      <c r="BE370" s="1191"/>
      <c r="BF370" s="1191"/>
      <c r="BG370" s="1191"/>
    </row>
    <row r="371" spans="18:59" x14ac:dyDescent="0.25">
      <c r="R371" s="1191"/>
      <c r="S371" s="1191"/>
      <c r="W371" s="1191"/>
      <c r="X371" s="1191"/>
      <c r="AE371" s="1191"/>
      <c r="AF371" s="1191"/>
      <c r="AV371" s="1191"/>
      <c r="AW371" s="1191"/>
      <c r="AX371" s="1191"/>
      <c r="AY371" s="1191"/>
      <c r="AZ371" s="1191"/>
      <c r="BA371" s="1191"/>
      <c r="BC371" s="1191"/>
      <c r="BE371" s="1191"/>
      <c r="BF371" s="1191"/>
      <c r="BG371" s="1191"/>
    </row>
    <row r="372" spans="18:59" x14ac:dyDescent="0.25">
      <c r="R372" s="1191"/>
      <c r="S372" s="1191"/>
      <c r="W372" s="1191"/>
      <c r="X372" s="1191"/>
      <c r="AE372" s="1191"/>
      <c r="AF372" s="1191"/>
      <c r="AV372" s="1191"/>
      <c r="AW372" s="1191"/>
      <c r="AX372" s="1191"/>
      <c r="AY372" s="1191"/>
      <c r="AZ372" s="1191"/>
      <c r="BA372" s="1191"/>
      <c r="BC372" s="1191"/>
      <c r="BE372" s="1191"/>
      <c r="BF372" s="1191"/>
      <c r="BG372" s="1191"/>
    </row>
    <row r="373" spans="18:59" x14ac:dyDescent="0.25">
      <c r="R373" s="1191"/>
      <c r="S373" s="1191"/>
      <c r="W373" s="1191"/>
      <c r="X373" s="1191"/>
      <c r="AE373" s="1191"/>
      <c r="AF373" s="1191"/>
      <c r="AV373" s="1191"/>
      <c r="AW373" s="1191"/>
      <c r="AX373" s="1191"/>
      <c r="AY373" s="1191"/>
      <c r="AZ373" s="1191"/>
      <c r="BA373" s="1191"/>
      <c r="BC373" s="1191"/>
      <c r="BE373" s="1191"/>
      <c r="BF373" s="1191"/>
      <c r="BG373" s="1191"/>
    </row>
    <row r="374" spans="18:59" x14ac:dyDescent="0.25">
      <c r="R374" s="1191"/>
      <c r="S374" s="1191"/>
      <c r="W374" s="1191"/>
      <c r="X374" s="1191"/>
      <c r="AE374" s="1191"/>
      <c r="AF374" s="1191"/>
      <c r="AV374" s="1191"/>
      <c r="AW374" s="1191"/>
      <c r="AX374" s="1191"/>
      <c r="AY374" s="1191"/>
      <c r="AZ374" s="1191"/>
      <c r="BA374" s="1191"/>
      <c r="BC374" s="1191"/>
      <c r="BE374" s="1191"/>
      <c r="BF374" s="1191"/>
      <c r="BG374" s="1191"/>
    </row>
    <row r="375" spans="18:59" x14ac:dyDescent="0.25">
      <c r="R375" s="1191"/>
      <c r="S375" s="1191"/>
      <c r="W375" s="1191"/>
      <c r="X375" s="1191"/>
      <c r="AE375" s="1191"/>
      <c r="AF375" s="1191"/>
      <c r="AV375" s="1191"/>
      <c r="AW375" s="1191"/>
      <c r="AX375" s="1191"/>
      <c r="AY375" s="1191"/>
      <c r="AZ375" s="1191"/>
      <c r="BA375" s="1191"/>
      <c r="BC375" s="1191"/>
      <c r="BE375" s="1191"/>
      <c r="BF375" s="1191"/>
      <c r="BG375" s="1191"/>
    </row>
    <row r="376" spans="18:59" x14ac:dyDescent="0.25">
      <c r="R376" s="1191"/>
      <c r="S376" s="1191"/>
      <c r="W376" s="1191"/>
      <c r="X376" s="1191"/>
      <c r="AE376" s="1191"/>
      <c r="AF376" s="1191"/>
      <c r="AV376" s="1191"/>
      <c r="AW376" s="1191"/>
      <c r="AX376" s="1191"/>
      <c r="AY376" s="1191"/>
      <c r="AZ376" s="1191"/>
      <c r="BA376" s="1191"/>
      <c r="BC376" s="1191"/>
      <c r="BE376" s="1191"/>
      <c r="BF376" s="1191"/>
      <c r="BG376" s="1191"/>
    </row>
    <row r="377" spans="18:59" x14ac:dyDescent="0.25">
      <c r="R377" s="1191"/>
      <c r="S377" s="1191"/>
      <c r="W377" s="1191"/>
      <c r="X377" s="1191"/>
      <c r="AE377" s="1191"/>
      <c r="AF377" s="1191"/>
      <c r="AV377" s="1191"/>
      <c r="AW377" s="1191"/>
      <c r="AX377" s="1191"/>
      <c r="AY377" s="1191"/>
      <c r="AZ377" s="1191"/>
      <c r="BA377" s="1191"/>
      <c r="BC377" s="1191"/>
      <c r="BE377" s="1191"/>
      <c r="BF377" s="1191"/>
      <c r="BG377" s="1191"/>
    </row>
    <row r="378" spans="18:59" x14ac:dyDescent="0.25">
      <c r="R378" s="1191"/>
      <c r="S378" s="1191"/>
      <c r="W378" s="1191"/>
      <c r="X378" s="1191"/>
      <c r="AE378" s="1191"/>
      <c r="AF378" s="1191"/>
      <c r="AV378" s="1191"/>
      <c r="AW378" s="1191"/>
      <c r="AX378" s="1191"/>
      <c r="AY378" s="1191"/>
      <c r="AZ378" s="1191"/>
      <c r="BA378" s="1191"/>
      <c r="BC378" s="1191"/>
      <c r="BE378" s="1191"/>
      <c r="BF378" s="1191"/>
      <c r="BG378" s="1191"/>
    </row>
    <row r="379" spans="18:59" x14ac:dyDescent="0.25">
      <c r="R379" s="1191"/>
      <c r="S379" s="1191"/>
      <c r="W379" s="1191"/>
      <c r="X379" s="1191"/>
      <c r="AE379" s="1191"/>
      <c r="AF379" s="1191"/>
      <c r="AV379" s="1191"/>
      <c r="AW379" s="1191"/>
      <c r="AX379" s="1191"/>
      <c r="AY379" s="1191"/>
      <c r="AZ379" s="1191"/>
      <c r="BA379" s="1191"/>
      <c r="BC379" s="1191"/>
      <c r="BE379" s="1191"/>
      <c r="BF379" s="1191"/>
      <c r="BG379" s="1191"/>
    </row>
    <row r="380" spans="18:59" x14ac:dyDescent="0.25">
      <c r="R380" s="1191"/>
      <c r="S380" s="1191"/>
      <c r="W380" s="1191"/>
      <c r="X380" s="1191"/>
      <c r="AE380" s="1191"/>
      <c r="AF380" s="1191"/>
      <c r="AV380" s="1191"/>
      <c r="AW380" s="1191"/>
      <c r="AX380" s="1191"/>
      <c r="AY380" s="1191"/>
      <c r="AZ380" s="1191"/>
      <c r="BA380" s="1191"/>
      <c r="BC380" s="1191"/>
      <c r="BE380" s="1191"/>
      <c r="BF380" s="1191"/>
      <c r="BG380" s="1191"/>
    </row>
    <row r="381" spans="18:59" x14ac:dyDescent="0.25">
      <c r="R381" s="1191"/>
      <c r="S381" s="1191"/>
      <c r="W381" s="1191"/>
      <c r="X381" s="1191"/>
      <c r="AE381" s="1191"/>
      <c r="AF381" s="1191"/>
      <c r="AV381" s="1191"/>
      <c r="AW381" s="1191"/>
      <c r="AX381" s="1191"/>
      <c r="AY381" s="1191"/>
      <c r="AZ381" s="1191"/>
      <c r="BA381" s="1191"/>
      <c r="BC381" s="1191"/>
      <c r="BE381" s="1191"/>
      <c r="BF381" s="1191"/>
      <c r="BG381" s="1191"/>
    </row>
    <row r="382" spans="18:59" x14ac:dyDescent="0.25">
      <c r="R382" s="1191"/>
      <c r="S382" s="1191"/>
      <c r="W382" s="1191"/>
      <c r="X382" s="1191"/>
      <c r="AE382" s="1191"/>
      <c r="AF382" s="1191"/>
      <c r="AV382" s="1191"/>
      <c r="AW382" s="1191"/>
      <c r="AX382" s="1191"/>
      <c r="AY382" s="1191"/>
      <c r="AZ382" s="1191"/>
      <c r="BA382" s="1191"/>
      <c r="BC382" s="1191"/>
      <c r="BE382" s="1191"/>
      <c r="BF382" s="1191"/>
      <c r="BG382" s="1191"/>
    </row>
    <row r="383" spans="18:59" x14ac:dyDescent="0.25">
      <c r="R383" s="1191"/>
      <c r="S383" s="1191"/>
      <c r="W383" s="1191"/>
      <c r="X383" s="1191"/>
      <c r="AE383" s="1191"/>
      <c r="AF383" s="1191"/>
      <c r="AV383" s="1191"/>
      <c r="AW383" s="1191"/>
      <c r="AX383" s="1191"/>
      <c r="AY383" s="1191"/>
      <c r="AZ383" s="1191"/>
      <c r="BA383" s="1191"/>
      <c r="BC383" s="1191"/>
      <c r="BE383" s="1191"/>
      <c r="BF383" s="1191"/>
      <c r="BG383" s="1191"/>
    </row>
    <row r="384" spans="18:59" x14ac:dyDescent="0.25">
      <c r="R384" s="1191"/>
      <c r="S384" s="1191"/>
      <c r="W384" s="1191"/>
      <c r="X384" s="1191"/>
      <c r="AE384" s="1191"/>
      <c r="AF384" s="1191"/>
      <c r="AV384" s="1191"/>
      <c r="AW384" s="1191"/>
      <c r="AX384" s="1191"/>
      <c r="AY384" s="1191"/>
      <c r="AZ384" s="1191"/>
      <c r="BA384" s="1191"/>
      <c r="BC384" s="1191"/>
      <c r="BE384" s="1191"/>
      <c r="BF384" s="1191"/>
      <c r="BG384" s="1191"/>
    </row>
    <row r="385" spans="18:59" x14ac:dyDescent="0.25">
      <c r="R385" s="1191"/>
      <c r="S385" s="1191"/>
      <c r="W385" s="1191"/>
      <c r="X385" s="1191"/>
      <c r="AE385" s="1191"/>
      <c r="AF385" s="1191"/>
      <c r="AV385" s="1191"/>
      <c r="AW385" s="1191"/>
      <c r="AX385" s="1191"/>
      <c r="AY385" s="1191"/>
      <c r="AZ385" s="1191"/>
      <c r="BA385" s="1191"/>
      <c r="BC385" s="1191"/>
      <c r="BE385" s="1191"/>
      <c r="BF385" s="1191"/>
      <c r="BG385" s="1191"/>
    </row>
    <row r="386" spans="18:59" x14ac:dyDescent="0.25">
      <c r="R386" s="1191"/>
      <c r="S386" s="1191"/>
      <c r="W386" s="1191"/>
      <c r="X386" s="1191"/>
      <c r="AE386" s="1191"/>
      <c r="AF386" s="1191"/>
      <c r="AV386" s="1191"/>
      <c r="AW386" s="1191"/>
      <c r="AX386" s="1191"/>
      <c r="AY386" s="1191"/>
      <c r="AZ386" s="1191"/>
      <c r="BA386" s="1191"/>
      <c r="BC386" s="1191"/>
      <c r="BE386" s="1191"/>
      <c r="BF386" s="1191"/>
      <c r="BG386" s="1191"/>
    </row>
    <row r="387" spans="18:59" x14ac:dyDescent="0.25">
      <c r="R387" s="1191"/>
      <c r="S387" s="1191"/>
      <c r="W387" s="1191"/>
      <c r="X387" s="1191"/>
      <c r="AE387" s="1191"/>
      <c r="AF387" s="1191"/>
      <c r="AV387" s="1191"/>
      <c r="AW387" s="1191"/>
      <c r="AX387" s="1191"/>
      <c r="AY387" s="1191"/>
      <c r="AZ387" s="1191"/>
      <c r="BA387" s="1191"/>
      <c r="BC387" s="1191"/>
      <c r="BE387" s="1191"/>
      <c r="BF387" s="1191"/>
      <c r="BG387" s="1191"/>
    </row>
    <row r="388" spans="18:59" x14ac:dyDescent="0.25">
      <c r="R388" s="1191"/>
      <c r="S388" s="1191"/>
      <c r="W388" s="1191"/>
      <c r="X388" s="1191"/>
      <c r="AE388" s="1191"/>
      <c r="AF388" s="1191"/>
      <c r="AV388" s="1191"/>
      <c r="AW388" s="1191"/>
      <c r="AX388" s="1191"/>
      <c r="AY388" s="1191"/>
      <c r="AZ388" s="1191"/>
      <c r="BA388" s="1191"/>
      <c r="BC388" s="1191"/>
      <c r="BE388" s="1191"/>
      <c r="BF388" s="1191"/>
      <c r="BG388" s="1191"/>
    </row>
    <row r="389" spans="18:59" x14ac:dyDescent="0.25">
      <c r="R389" s="1191"/>
      <c r="S389" s="1191"/>
      <c r="W389" s="1191"/>
      <c r="X389" s="1191"/>
      <c r="AE389" s="1191"/>
      <c r="AF389" s="1191"/>
      <c r="AV389" s="1191"/>
      <c r="AW389" s="1191"/>
      <c r="AX389" s="1191"/>
      <c r="AY389" s="1191"/>
      <c r="AZ389" s="1191"/>
      <c r="BA389" s="1191"/>
      <c r="BC389" s="1191"/>
      <c r="BE389" s="1191"/>
      <c r="BF389" s="1191"/>
      <c r="BG389" s="1191"/>
    </row>
    <row r="390" spans="18:59" x14ac:dyDescent="0.25">
      <c r="R390" s="1191"/>
      <c r="S390" s="1191"/>
      <c r="W390" s="1191"/>
      <c r="X390" s="1191"/>
      <c r="AE390" s="1191"/>
      <c r="AF390" s="1191"/>
      <c r="AV390" s="1191"/>
      <c r="AW390" s="1191"/>
      <c r="AX390" s="1191"/>
      <c r="AY390" s="1191"/>
      <c r="AZ390" s="1191"/>
      <c r="BA390" s="1191"/>
      <c r="BC390" s="1191"/>
      <c r="BE390" s="1191"/>
      <c r="BF390" s="1191"/>
      <c r="BG390" s="1191"/>
    </row>
    <row r="391" spans="18:59" x14ac:dyDescent="0.25">
      <c r="R391" s="1191"/>
      <c r="S391" s="1191"/>
      <c r="W391" s="1191"/>
      <c r="X391" s="1191"/>
      <c r="AE391" s="1191"/>
      <c r="AF391" s="1191"/>
      <c r="AV391" s="1191"/>
      <c r="AW391" s="1191"/>
      <c r="AX391" s="1191"/>
      <c r="AY391" s="1191"/>
      <c r="AZ391" s="1191"/>
      <c r="BA391" s="1191"/>
      <c r="BC391" s="1191"/>
      <c r="BE391" s="1191"/>
      <c r="BF391" s="1191"/>
      <c r="BG391" s="1191"/>
    </row>
    <row r="392" spans="18:59" x14ac:dyDescent="0.25">
      <c r="R392" s="1191"/>
      <c r="S392" s="1191"/>
      <c r="W392" s="1191"/>
      <c r="X392" s="1191"/>
      <c r="AE392" s="1191"/>
      <c r="AF392" s="1191"/>
      <c r="AV392" s="1191"/>
      <c r="AW392" s="1191"/>
      <c r="AX392" s="1191"/>
      <c r="AY392" s="1191"/>
      <c r="AZ392" s="1191"/>
      <c r="BA392" s="1191"/>
      <c r="BC392" s="1191"/>
      <c r="BE392" s="1191"/>
      <c r="BF392" s="1191"/>
      <c r="BG392" s="1191"/>
    </row>
    <row r="393" spans="18:59" x14ac:dyDescent="0.25">
      <c r="R393" s="1191"/>
      <c r="S393" s="1191"/>
      <c r="W393" s="1191"/>
      <c r="X393" s="1191"/>
      <c r="AE393" s="1191"/>
      <c r="AF393" s="1191"/>
      <c r="AV393" s="1191"/>
      <c r="AW393" s="1191"/>
      <c r="AX393" s="1191"/>
      <c r="AY393" s="1191"/>
      <c r="AZ393" s="1191"/>
      <c r="BA393" s="1191"/>
      <c r="BC393" s="1191"/>
      <c r="BE393" s="1191"/>
      <c r="BF393" s="1191"/>
      <c r="BG393" s="1191"/>
    </row>
    <row r="394" spans="18:59" x14ac:dyDescent="0.25">
      <c r="R394" s="1191"/>
      <c r="S394" s="1191"/>
      <c r="W394" s="1191"/>
      <c r="X394" s="1191"/>
      <c r="AE394" s="1191"/>
      <c r="AF394" s="1191"/>
      <c r="AV394" s="1191"/>
      <c r="AW394" s="1191"/>
      <c r="AX394" s="1191"/>
      <c r="AY394" s="1191"/>
      <c r="AZ394" s="1191"/>
      <c r="BA394" s="1191"/>
      <c r="BC394" s="1191"/>
      <c r="BE394" s="1191"/>
      <c r="BF394" s="1191"/>
      <c r="BG394" s="1191"/>
    </row>
    <row r="395" spans="18:59" x14ac:dyDescent="0.25">
      <c r="R395" s="1191"/>
      <c r="S395" s="1191"/>
      <c r="W395" s="1191"/>
      <c r="X395" s="1191"/>
      <c r="AE395" s="1191"/>
      <c r="AF395" s="1191"/>
      <c r="AV395" s="1191"/>
      <c r="AW395" s="1191"/>
      <c r="AX395" s="1191"/>
      <c r="AY395" s="1191"/>
      <c r="AZ395" s="1191"/>
      <c r="BA395" s="1191"/>
      <c r="BC395" s="1191"/>
      <c r="BE395" s="1191"/>
      <c r="BF395" s="1191"/>
      <c r="BG395" s="1191"/>
    </row>
    <row r="396" spans="18:59" x14ac:dyDescent="0.25">
      <c r="R396" s="1191"/>
      <c r="S396" s="1191"/>
      <c r="W396" s="1191"/>
      <c r="X396" s="1191"/>
      <c r="AE396" s="1191"/>
      <c r="AF396" s="1191"/>
      <c r="AV396" s="1191"/>
      <c r="AW396" s="1191"/>
      <c r="AX396" s="1191"/>
      <c r="AY396" s="1191"/>
      <c r="AZ396" s="1191"/>
      <c r="BA396" s="1191"/>
      <c r="BC396" s="1191"/>
      <c r="BE396" s="1191"/>
      <c r="BF396" s="1191"/>
      <c r="BG396" s="1191"/>
    </row>
    <row r="397" spans="18:59" x14ac:dyDescent="0.25">
      <c r="R397" s="1191"/>
      <c r="S397" s="1191"/>
      <c r="W397" s="1191"/>
      <c r="X397" s="1191"/>
      <c r="AE397" s="1191"/>
      <c r="AF397" s="1191"/>
      <c r="AV397" s="1191"/>
      <c r="AW397" s="1191"/>
      <c r="AX397" s="1191"/>
      <c r="AY397" s="1191"/>
      <c r="AZ397" s="1191"/>
      <c r="BA397" s="1191"/>
      <c r="BC397" s="1191"/>
      <c r="BE397" s="1191"/>
      <c r="BF397" s="1191"/>
      <c r="BG397" s="1191"/>
    </row>
    <row r="398" spans="18:59" x14ac:dyDescent="0.25">
      <c r="R398" s="1191"/>
      <c r="S398" s="1191"/>
      <c r="W398" s="1191"/>
      <c r="X398" s="1191"/>
      <c r="AE398" s="1191"/>
      <c r="AF398" s="1191"/>
      <c r="AV398" s="1191"/>
      <c r="AW398" s="1191"/>
      <c r="AX398" s="1191"/>
      <c r="AY398" s="1191"/>
      <c r="AZ398" s="1191"/>
      <c r="BA398" s="1191"/>
      <c r="BC398" s="1191"/>
      <c r="BE398" s="1191"/>
      <c r="BF398" s="1191"/>
      <c r="BG398" s="1191"/>
    </row>
    <row r="399" spans="18:59" x14ac:dyDescent="0.25">
      <c r="R399" s="1191"/>
      <c r="S399" s="1191"/>
      <c r="W399" s="1191"/>
      <c r="X399" s="1191"/>
      <c r="AE399" s="1191"/>
      <c r="AF399" s="1191"/>
      <c r="AV399" s="1191"/>
      <c r="AW399" s="1191"/>
      <c r="AX399" s="1191"/>
      <c r="AY399" s="1191"/>
      <c r="AZ399" s="1191"/>
      <c r="BA399" s="1191"/>
      <c r="BC399" s="1191"/>
      <c r="BE399" s="1191"/>
      <c r="BF399" s="1191"/>
      <c r="BG399" s="1191"/>
    </row>
    <row r="400" spans="18:59" x14ac:dyDescent="0.25">
      <c r="R400" s="1191"/>
      <c r="S400" s="1191"/>
      <c r="W400" s="1191"/>
      <c r="X400" s="1191"/>
      <c r="AE400" s="1191"/>
      <c r="AF400" s="1191"/>
      <c r="AV400" s="1191"/>
      <c r="AW400" s="1191"/>
      <c r="AX400" s="1191"/>
      <c r="AY400" s="1191"/>
      <c r="AZ400" s="1191"/>
      <c r="BA400" s="1191"/>
      <c r="BC400" s="1191"/>
      <c r="BE400" s="1191"/>
      <c r="BF400" s="1191"/>
      <c r="BG400" s="1191"/>
    </row>
    <row r="401" spans="18:59" x14ac:dyDescent="0.25">
      <c r="R401" s="1191"/>
      <c r="S401" s="1191"/>
      <c r="W401" s="1191"/>
      <c r="X401" s="1191"/>
      <c r="AE401" s="1191"/>
      <c r="AF401" s="1191"/>
      <c r="AV401" s="1191"/>
      <c r="AW401" s="1191"/>
      <c r="AX401" s="1191"/>
      <c r="AY401" s="1191"/>
      <c r="AZ401" s="1191"/>
      <c r="BA401" s="1191"/>
      <c r="BC401" s="1191"/>
      <c r="BE401" s="1191"/>
      <c r="BF401" s="1191"/>
      <c r="BG401" s="1191"/>
    </row>
    <row r="402" spans="18:59" x14ac:dyDescent="0.25">
      <c r="R402" s="1191"/>
      <c r="S402" s="1191"/>
      <c r="W402" s="1191"/>
      <c r="X402" s="1191"/>
      <c r="AE402" s="1191"/>
      <c r="AF402" s="1191"/>
      <c r="AV402" s="1191"/>
      <c r="AW402" s="1191"/>
      <c r="AX402" s="1191"/>
      <c r="AY402" s="1191"/>
      <c r="AZ402" s="1191"/>
      <c r="BA402" s="1191"/>
      <c r="BC402" s="1191"/>
      <c r="BE402" s="1191"/>
      <c r="BF402" s="1191"/>
      <c r="BG402" s="1191"/>
    </row>
    <row r="403" spans="18:59" x14ac:dyDescent="0.25">
      <c r="R403" s="1191"/>
      <c r="S403" s="1191"/>
      <c r="W403" s="1191"/>
      <c r="X403" s="1191"/>
      <c r="AE403" s="1191"/>
      <c r="AF403" s="1191"/>
      <c r="AV403" s="1191"/>
      <c r="AW403" s="1191"/>
      <c r="AX403" s="1191"/>
      <c r="AY403" s="1191"/>
      <c r="AZ403" s="1191"/>
      <c r="BA403" s="1191"/>
      <c r="BC403" s="1191"/>
      <c r="BE403" s="1191"/>
      <c r="BF403" s="1191"/>
      <c r="BG403" s="1191"/>
    </row>
    <row r="404" spans="18:59" x14ac:dyDescent="0.25">
      <c r="R404" s="1191"/>
      <c r="S404" s="1191"/>
      <c r="W404" s="1191"/>
      <c r="X404" s="1191"/>
      <c r="AE404" s="1191"/>
      <c r="AF404" s="1191"/>
      <c r="AV404" s="1191"/>
      <c r="AW404" s="1191"/>
      <c r="AX404" s="1191"/>
      <c r="AY404" s="1191"/>
      <c r="AZ404" s="1191"/>
      <c r="BA404" s="1191"/>
      <c r="BC404" s="1191"/>
      <c r="BE404" s="1191"/>
      <c r="BF404" s="1191"/>
      <c r="BG404" s="1191"/>
    </row>
    <row r="405" spans="18:59" x14ac:dyDescent="0.25">
      <c r="R405" s="1191"/>
      <c r="S405" s="1191"/>
      <c r="W405" s="1191"/>
      <c r="X405" s="1191"/>
      <c r="AE405" s="1191"/>
      <c r="AF405" s="1191"/>
      <c r="AV405" s="1191"/>
      <c r="AW405" s="1191"/>
      <c r="AX405" s="1191"/>
      <c r="AY405" s="1191"/>
      <c r="AZ405" s="1191"/>
      <c r="BA405" s="1191"/>
      <c r="BC405" s="1191"/>
      <c r="BE405" s="1191"/>
      <c r="BF405" s="1191"/>
      <c r="BG405" s="1191"/>
    </row>
    <row r="406" spans="18:59" x14ac:dyDescent="0.25">
      <c r="R406" s="1191"/>
      <c r="S406" s="1191"/>
      <c r="W406" s="1191"/>
      <c r="X406" s="1191"/>
      <c r="AE406" s="1191"/>
      <c r="AF406" s="1191"/>
      <c r="AV406" s="1191"/>
      <c r="AW406" s="1191"/>
      <c r="AX406" s="1191"/>
      <c r="AY406" s="1191"/>
      <c r="AZ406" s="1191"/>
      <c r="BA406" s="1191"/>
      <c r="BC406" s="1191"/>
      <c r="BE406" s="1191"/>
      <c r="BF406" s="1191"/>
      <c r="BG406" s="1191"/>
    </row>
    <row r="407" spans="18:59" x14ac:dyDescent="0.25">
      <c r="R407" s="1191"/>
      <c r="S407" s="1191"/>
      <c r="W407" s="1191"/>
      <c r="X407" s="1191"/>
      <c r="AE407" s="1191"/>
      <c r="AF407" s="1191"/>
      <c r="AV407" s="1191"/>
      <c r="AW407" s="1191"/>
      <c r="AX407" s="1191"/>
      <c r="AY407" s="1191"/>
      <c r="AZ407" s="1191"/>
      <c r="BA407" s="1191"/>
      <c r="BC407" s="1191"/>
      <c r="BE407" s="1191"/>
      <c r="BF407" s="1191"/>
      <c r="BG407" s="1191"/>
    </row>
    <row r="408" spans="18:59" x14ac:dyDescent="0.25">
      <c r="R408" s="1191"/>
      <c r="S408" s="1191"/>
      <c r="W408" s="1191"/>
      <c r="X408" s="1191"/>
      <c r="AE408" s="1191"/>
      <c r="AF408" s="1191"/>
      <c r="AV408" s="1191"/>
      <c r="AW408" s="1191"/>
      <c r="AX408" s="1191"/>
      <c r="AY408" s="1191"/>
      <c r="AZ408" s="1191"/>
      <c r="BA408" s="1191"/>
      <c r="BC408" s="1191"/>
      <c r="BE408" s="1191"/>
      <c r="BF408" s="1191"/>
      <c r="BG408" s="1191"/>
    </row>
    <row r="409" spans="18:59" x14ac:dyDescent="0.25">
      <c r="R409" s="1191"/>
      <c r="S409" s="1191"/>
      <c r="W409" s="1191"/>
      <c r="X409" s="1191"/>
      <c r="AE409" s="1191"/>
      <c r="AF409" s="1191"/>
      <c r="AV409" s="1191"/>
      <c r="AW409" s="1191"/>
      <c r="AX409" s="1191"/>
      <c r="AY409" s="1191"/>
      <c r="AZ409" s="1191"/>
      <c r="BA409" s="1191"/>
      <c r="BC409" s="1191"/>
      <c r="BE409" s="1191"/>
      <c r="BF409" s="1191"/>
      <c r="BG409" s="1191"/>
    </row>
    <row r="410" spans="18:59" x14ac:dyDescent="0.25">
      <c r="R410" s="1191"/>
      <c r="S410" s="1191"/>
      <c r="W410" s="1191"/>
      <c r="X410" s="1191"/>
      <c r="AE410" s="1191"/>
      <c r="AF410" s="1191"/>
      <c r="AV410" s="1191"/>
      <c r="AW410" s="1191"/>
      <c r="AX410" s="1191"/>
      <c r="AY410" s="1191"/>
      <c r="AZ410" s="1191"/>
      <c r="BA410" s="1191"/>
      <c r="BC410" s="1191"/>
      <c r="BE410" s="1191"/>
      <c r="BF410" s="1191"/>
      <c r="BG410" s="1191"/>
    </row>
    <row r="411" spans="18:59" x14ac:dyDescent="0.25">
      <c r="R411" s="1191"/>
      <c r="S411" s="1191"/>
      <c r="W411" s="1191"/>
      <c r="X411" s="1191"/>
      <c r="AE411" s="1191"/>
      <c r="AF411" s="1191"/>
      <c r="AV411" s="1191"/>
      <c r="AW411" s="1191"/>
      <c r="AX411" s="1191"/>
      <c r="AY411" s="1191"/>
      <c r="AZ411" s="1191"/>
      <c r="BA411" s="1191"/>
      <c r="BC411" s="1191"/>
      <c r="BE411" s="1191"/>
      <c r="BF411" s="1191"/>
      <c r="BG411" s="1191"/>
    </row>
    <row r="412" spans="18:59" x14ac:dyDescent="0.25">
      <c r="R412" s="1191"/>
      <c r="S412" s="1191"/>
      <c r="W412" s="1191"/>
      <c r="X412" s="1191"/>
      <c r="AE412" s="1191"/>
      <c r="AF412" s="1191"/>
      <c r="AV412" s="1191"/>
      <c r="AW412" s="1191"/>
      <c r="AX412" s="1191"/>
      <c r="AY412" s="1191"/>
      <c r="AZ412" s="1191"/>
      <c r="BA412" s="1191"/>
      <c r="BC412" s="1191"/>
      <c r="BE412" s="1191"/>
      <c r="BF412" s="1191"/>
      <c r="BG412" s="1191"/>
    </row>
    <row r="413" spans="18:59" x14ac:dyDescent="0.25">
      <c r="R413" s="1191"/>
      <c r="S413" s="1191"/>
      <c r="W413" s="1191"/>
      <c r="X413" s="1191"/>
      <c r="AE413" s="1191"/>
      <c r="AF413" s="1191"/>
      <c r="AV413" s="1191"/>
      <c r="AW413" s="1191"/>
      <c r="AX413" s="1191"/>
      <c r="AY413" s="1191"/>
      <c r="AZ413" s="1191"/>
      <c r="BA413" s="1191"/>
      <c r="BC413" s="1191"/>
      <c r="BE413" s="1191"/>
      <c r="BF413" s="1191"/>
      <c r="BG413" s="1191"/>
    </row>
    <row r="414" spans="18:59" x14ac:dyDescent="0.25">
      <c r="R414" s="1191"/>
      <c r="S414" s="1191"/>
      <c r="W414" s="1191"/>
      <c r="X414" s="1191"/>
      <c r="AE414" s="1191"/>
      <c r="AF414" s="1191"/>
      <c r="AV414" s="1191"/>
      <c r="AW414" s="1191"/>
      <c r="AX414" s="1191"/>
      <c r="AY414" s="1191"/>
      <c r="AZ414" s="1191"/>
      <c r="BA414" s="1191"/>
      <c r="BC414" s="1191"/>
      <c r="BE414" s="1191"/>
      <c r="BF414" s="1191"/>
      <c r="BG414" s="1191"/>
    </row>
    <row r="415" spans="18:59" x14ac:dyDescent="0.25">
      <c r="R415" s="1191"/>
      <c r="S415" s="1191"/>
      <c r="W415" s="1191"/>
      <c r="X415" s="1191"/>
      <c r="AE415" s="1191"/>
      <c r="AF415" s="1191"/>
      <c r="AV415" s="1191"/>
      <c r="AW415" s="1191"/>
      <c r="AX415" s="1191"/>
      <c r="AY415" s="1191"/>
      <c r="AZ415" s="1191"/>
      <c r="BA415" s="1191"/>
      <c r="BC415" s="1191"/>
      <c r="BE415" s="1191"/>
      <c r="BF415" s="1191"/>
      <c r="BG415" s="1191"/>
    </row>
    <row r="416" spans="18:59" x14ac:dyDescent="0.25">
      <c r="R416" s="1191"/>
      <c r="S416" s="1191"/>
      <c r="W416" s="1191"/>
      <c r="X416" s="1191"/>
      <c r="AE416" s="1191"/>
      <c r="AF416" s="1191"/>
      <c r="AV416" s="1191"/>
      <c r="AW416" s="1191"/>
      <c r="AX416" s="1191"/>
      <c r="AY416" s="1191"/>
      <c r="AZ416" s="1191"/>
      <c r="BA416" s="1191"/>
      <c r="BC416" s="1191"/>
      <c r="BE416" s="1191"/>
      <c r="BF416" s="1191"/>
      <c r="BG416" s="1191"/>
    </row>
    <row r="417" spans="18:59" x14ac:dyDescent="0.25">
      <c r="R417" s="1191"/>
      <c r="S417" s="1191"/>
      <c r="W417" s="1191"/>
      <c r="X417" s="1191"/>
      <c r="AE417" s="1191"/>
      <c r="AF417" s="1191"/>
      <c r="AV417" s="1191"/>
      <c r="AW417" s="1191"/>
      <c r="AX417" s="1191"/>
      <c r="AY417" s="1191"/>
      <c r="AZ417" s="1191"/>
      <c r="BA417" s="1191"/>
      <c r="BC417" s="1191"/>
      <c r="BE417" s="1191"/>
      <c r="BF417" s="1191"/>
      <c r="BG417" s="1191"/>
    </row>
    <row r="418" spans="18:59" x14ac:dyDescent="0.25">
      <c r="R418" s="1191"/>
      <c r="S418" s="1191"/>
      <c r="W418" s="1191"/>
      <c r="X418" s="1191"/>
      <c r="AE418" s="1191"/>
      <c r="AF418" s="1191"/>
      <c r="AV418" s="1191"/>
      <c r="AW418" s="1191"/>
      <c r="AX418" s="1191"/>
      <c r="AY418" s="1191"/>
      <c r="AZ418" s="1191"/>
      <c r="BA418" s="1191"/>
      <c r="BC418" s="1191"/>
      <c r="BE418" s="1191"/>
      <c r="BF418" s="1191"/>
      <c r="BG418" s="1191"/>
    </row>
    <row r="419" spans="18:59" x14ac:dyDescent="0.25">
      <c r="R419" s="1191"/>
      <c r="S419" s="1191"/>
      <c r="W419" s="1191"/>
      <c r="X419" s="1191"/>
      <c r="AE419" s="1191"/>
      <c r="AF419" s="1191"/>
      <c r="AV419" s="1191"/>
      <c r="AW419" s="1191"/>
      <c r="AX419" s="1191"/>
      <c r="AY419" s="1191"/>
      <c r="AZ419" s="1191"/>
      <c r="BA419" s="1191"/>
      <c r="BC419" s="1191"/>
      <c r="BE419" s="1191"/>
      <c r="BF419" s="1191"/>
      <c r="BG419" s="1191"/>
    </row>
    <row r="420" spans="18:59" x14ac:dyDescent="0.25">
      <c r="R420" s="1191"/>
      <c r="S420" s="1191"/>
      <c r="W420" s="1191"/>
      <c r="X420" s="1191"/>
      <c r="AE420" s="1191"/>
      <c r="AF420" s="1191"/>
      <c r="AV420" s="1191"/>
      <c r="AW420" s="1191"/>
      <c r="AX420" s="1191"/>
      <c r="AY420" s="1191"/>
      <c r="AZ420" s="1191"/>
      <c r="BA420" s="1191"/>
      <c r="BC420" s="1191"/>
      <c r="BE420" s="1191"/>
      <c r="BF420" s="1191"/>
      <c r="BG420" s="1191"/>
    </row>
    <row r="421" spans="18:59" x14ac:dyDescent="0.25">
      <c r="R421" s="1191"/>
      <c r="S421" s="1191"/>
      <c r="W421" s="1191"/>
      <c r="X421" s="1191"/>
      <c r="AE421" s="1191"/>
      <c r="AF421" s="1191"/>
      <c r="AV421" s="1191"/>
      <c r="AW421" s="1191"/>
      <c r="AX421" s="1191"/>
      <c r="AY421" s="1191"/>
      <c r="AZ421" s="1191"/>
      <c r="BA421" s="1191"/>
      <c r="BC421" s="1191"/>
      <c r="BE421" s="1191"/>
      <c r="BF421" s="1191"/>
      <c r="BG421" s="1191"/>
    </row>
    <row r="422" spans="18:59" x14ac:dyDescent="0.25">
      <c r="R422" s="1191"/>
      <c r="S422" s="1191"/>
      <c r="W422" s="1191"/>
      <c r="X422" s="1191"/>
      <c r="AE422" s="1191"/>
      <c r="AF422" s="1191"/>
      <c r="AV422" s="1191"/>
      <c r="AW422" s="1191"/>
      <c r="AX422" s="1191"/>
      <c r="AY422" s="1191"/>
      <c r="AZ422" s="1191"/>
      <c r="BA422" s="1191"/>
      <c r="BC422" s="1191"/>
      <c r="BE422" s="1191"/>
      <c r="BF422" s="1191"/>
      <c r="BG422" s="1191"/>
    </row>
    <row r="423" spans="18:59" x14ac:dyDescent="0.25">
      <c r="R423" s="1191"/>
      <c r="S423" s="1191"/>
      <c r="W423" s="1191"/>
      <c r="X423" s="1191"/>
      <c r="AE423" s="1191"/>
      <c r="AF423" s="1191"/>
      <c r="AV423" s="1191"/>
      <c r="AW423" s="1191"/>
      <c r="AX423" s="1191"/>
      <c r="AY423" s="1191"/>
      <c r="AZ423" s="1191"/>
      <c r="BA423" s="1191"/>
      <c r="BC423" s="1191"/>
      <c r="BE423" s="1191"/>
      <c r="BF423" s="1191"/>
      <c r="BG423" s="1191"/>
    </row>
    <row r="424" spans="18:59" x14ac:dyDescent="0.25">
      <c r="R424" s="1191"/>
      <c r="S424" s="1191"/>
      <c r="W424" s="1191"/>
      <c r="X424" s="1191"/>
      <c r="AE424" s="1191"/>
      <c r="AF424" s="1191"/>
      <c r="AV424" s="1191"/>
      <c r="AW424" s="1191"/>
      <c r="AX424" s="1191"/>
      <c r="AY424" s="1191"/>
      <c r="AZ424" s="1191"/>
      <c r="BA424" s="1191"/>
      <c r="BC424" s="1191"/>
      <c r="BE424" s="1191"/>
      <c r="BF424" s="1191"/>
      <c r="BG424" s="1191"/>
    </row>
    <row r="425" spans="18:59" x14ac:dyDescent="0.25">
      <c r="R425" s="1191"/>
      <c r="S425" s="1191"/>
      <c r="W425" s="1191"/>
      <c r="X425" s="1191"/>
      <c r="AE425" s="1191"/>
      <c r="AF425" s="1191"/>
      <c r="AV425" s="1191"/>
      <c r="AW425" s="1191"/>
      <c r="AX425" s="1191"/>
      <c r="AY425" s="1191"/>
      <c r="AZ425" s="1191"/>
      <c r="BA425" s="1191"/>
      <c r="BC425" s="1191"/>
      <c r="BE425" s="1191"/>
      <c r="BF425" s="1191"/>
      <c r="BG425" s="1191"/>
    </row>
    <row r="426" spans="18:59" x14ac:dyDescent="0.25">
      <c r="R426" s="1191"/>
      <c r="S426" s="1191"/>
      <c r="W426" s="1191"/>
      <c r="X426" s="1191"/>
      <c r="AE426" s="1191"/>
      <c r="AF426" s="1191"/>
      <c r="AV426" s="1191"/>
      <c r="AW426" s="1191"/>
      <c r="AX426" s="1191"/>
      <c r="AY426" s="1191"/>
      <c r="AZ426" s="1191"/>
      <c r="BA426" s="1191"/>
      <c r="BC426" s="1191"/>
      <c r="BE426" s="1191"/>
      <c r="BF426" s="1191"/>
      <c r="BG426" s="1191"/>
    </row>
    <row r="427" spans="18:59" x14ac:dyDescent="0.25">
      <c r="R427" s="1191"/>
      <c r="S427" s="1191"/>
      <c r="W427" s="1191"/>
      <c r="X427" s="1191"/>
      <c r="AE427" s="1191"/>
      <c r="AF427" s="1191"/>
      <c r="AV427" s="1191"/>
      <c r="AW427" s="1191"/>
      <c r="AX427" s="1191"/>
      <c r="AY427" s="1191"/>
      <c r="AZ427" s="1191"/>
      <c r="BA427" s="1191"/>
      <c r="BC427" s="1191"/>
      <c r="BE427" s="1191"/>
      <c r="BF427" s="1191"/>
      <c r="BG427" s="1191"/>
    </row>
    <row r="428" spans="18:59" x14ac:dyDescent="0.25">
      <c r="R428" s="1191"/>
      <c r="S428" s="1191"/>
      <c r="W428" s="1191"/>
      <c r="X428" s="1191"/>
      <c r="AE428" s="1191"/>
      <c r="AF428" s="1191"/>
      <c r="AV428" s="1191"/>
      <c r="AW428" s="1191"/>
      <c r="AX428" s="1191"/>
      <c r="AY428" s="1191"/>
      <c r="AZ428" s="1191"/>
      <c r="BA428" s="1191"/>
      <c r="BC428" s="1191"/>
      <c r="BE428" s="1191"/>
      <c r="BF428" s="1191"/>
      <c r="BG428" s="1191"/>
    </row>
    <row r="429" spans="18:59" x14ac:dyDescent="0.25">
      <c r="R429" s="1191"/>
      <c r="S429" s="1191"/>
      <c r="W429" s="1191"/>
      <c r="X429" s="1191"/>
      <c r="AE429" s="1191"/>
      <c r="AF429" s="1191"/>
      <c r="AV429" s="1191"/>
      <c r="AW429" s="1191"/>
      <c r="AX429" s="1191"/>
      <c r="AY429" s="1191"/>
      <c r="AZ429" s="1191"/>
      <c r="BA429" s="1191"/>
      <c r="BC429" s="1191"/>
      <c r="BE429" s="1191"/>
      <c r="BF429" s="1191"/>
      <c r="BG429" s="1191"/>
    </row>
    <row r="430" spans="18:59" x14ac:dyDescent="0.25">
      <c r="R430" s="1191"/>
      <c r="S430" s="1191"/>
      <c r="W430" s="1191"/>
      <c r="X430" s="1191"/>
      <c r="AE430" s="1191"/>
      <c r="AF430" s="1191"/>
      <c r="AV430" s="1191"/>
      <c r="AW430" s="1191"/>
      <c r="AX430" s="1191"/>
      <c r="AY430" s="1191"/>
      <c r="AZ430" s="1191"/>
      <c r="BA430" s="1191"/>
      <c r="BC430" s="1191"/>
      <c r="BE430" s="1191"/>
      <c r="BF430" s="1191"/>
      <c r="BG430" s="1191"/>
    </row>
    <row r="431" spans="18:59" x14ac:dyDescent="0.25">
      <c r="R431" s="1191"/>
      <c r="S431" s="1191"/>
      <c r="W431" s="1191"/>
      <c r="X431" s="1191"/>
      <c r="AE431" s="1191"/>
      <c r="AF431" s="1191"/>
      <c r="AV431" s="1191"/>
      <c r="AW431" s="1191"/>
      <c r="AX431" s="1191"/>
      <c r="AY431" s="1191"/>
      <c r="AZ431" s="1191"/>
      <c r="BA431" s="1191"/>
      <c r="BC431" s="1191"/>
      <c r="BE431" s="1191"/>
      <c r="BF431" s="1191"/>
      <c r="BG431" s="1191"/>
    </row>
    <row r="432" spans="18:59" x14ac:dyDescent="0.25">
      <c r="R432" s="1191"/>
      <c r="S432" s="1191"/>
      <c r="W432" s="1191"/>
      <c r="X432" s="1191"/>
      <c r="AE432" s="1191"/>
      <c r="AF432" s="1191"/>
      <c r="AV432" s="1191"/>
      <c r="AW432" s="1191"/>
      <c r="AX432" s="1191"/>
      <c r="AY432" s="1191"/>
      <c r="AZ432" s="1191"/>
      <c r="BA432" s="1191"/>
      <c r="BC432" s="1191"/>
      <c r="BE432" s="1191"/>
      <c r="BF432" s="1191"/>
      <c r="BG432" s="1191"/>
    </row>
    <row r="433" spans="18:59" x14ac:dyDescent="0.25">
      <c r="R433" s="1191"/>
      <c r="S433" s="1191"/>
      <c r="W433" s="1191"/>
      <c r="X433" s="1191"/>
      <c r="AE433" s="1191"/>
      <c r="AF433" s="1191"/>
      <c r="AV433" s="1191"/>
      <c r="AW433" s="1191"/>
      <c r="AX433" s="1191"/>
      <c r="AY433" s="1191"/>
      <c r="AZ433" s="1191"/>
      <c r="BA433" s="1191"/>
      <c r="BC433" s="1191"/>
      <c r="BE433" s="1191"/>
      <c r="BF433" s="1191"/>
      <c r="BG433" s="1191"/>
    </row>
    <row r="434" spans="18:59" x14ac:dyDescent="0.25">
      <c r="R434" s="1191"/>
      <c r="S434" s="1191"/>
      <c r="W434" s="1191"/>
      <c r="X434" s="1191"/>
      <c r="AE434" s="1191"/>
      <c r="AF434" s="1191"/>
      <c r="AV434" s="1191"/>
      <c r="AW434" s="1191"/>
      <c r="AX434" s="1191"/>
      <c r="AY434" s="1191"/>
      <c r="AZ434" s="1191"/>
      <c r="BA434" s="1191"/>
      <c r="BC434" s="1191"/>
      <c r="BE434" s="1191"/>
      <c r="BF434" s="1191"/>
      <c r="BG434" s="1191"/>
    </row>
    <row r="435" spans="18:59" x14ac:dyDescent="0.25">
      <c r="R435" s="1191"/>
      <c r="S435" s="1191"/>
      <c r="W435" s="1191"/>
      <c r="X435" s="1191"/>
      <c r="AE435" s="1191"/>
      <c r="AF435" s="1191"/>
      <c r="AV435" s="1191"/>
      <c r="AW435" s="1191"/>
      <c r="AX435" s="1191"/>
      <c r="AY435" s="1191"/>
      <c r="AZ435" s="1191"/>
      <c r="BA435" s="1191"/>
      <c r="BC435" s="1191"/>
      <c r="BE435" s="1191"/>
      <c r="BF435" s="1191"/>
      <c r="BG435" s="1191"/>
    </row>
    <row r="436" spans="18:59" x14ac:dyDescent="0.25">
      <c r="R436" s="1191"/>
      <c r="S436" s="1191"/>
      <c r="W436" s="1191"/>
      <c r="X436" s="1191"/>
      <c r="AE436" s="1191"/>
      <c r="AF436" s="1191"/>
      <c r="AV436" s="1191"/>
      <c r="AW436" s="1191"/>
      <c r="AX436" s="1191"/>
      <c r="AY436" s="1191"/>
      <c r="AZ436" s="1191"/>
      <c r="BA436" s="1191"/>
      <c r="BC436" s="1191"/>
      <c r="BE436" s="1191"/>
      <c r="BF436" s="1191"/>
      <c r="BG436" s="1191"/>
    </row>
    <row r="437" spans="18:59" x14ac:dyDescent="0.25">
      <c r="R437" s="1191"/>
      <c r="S437" s="1191"/>
      <c r="W437" s="1191"/>
      <c r="X437" s="1191"/>
      <c r="AE437" s="1191"/>
      <c r="AF437" s="1191"/>
      <c r="AV437" s="1191"/>
      <c r="AW437" s="1191"/>
      <c r="AX437" s="1191"/>
      <c r="AY437" s="1191"/>
      <c r="AZ437" s="1191"/>
      <c r="BA437" s="1191"/>
      <c r="BC437" s="1191"/>
      <c r="BE437" s="1191"/>
      <c r="BF437" s="1191"/>
      <c r="BG437" s="1191"/>
    </row>
    <row r="438" spans="18:59" x14ac:dyDescent="0.25">
      <c r="R438" s="1191"/>
      <c r="S438" s="1191"/>
      <c r="W438" s="1191"/>
      <c r="X438" s="1191"/>
      <c r="AE438" s="1191"/>
      <c r="AF438" s="1191"/>
      <c r="AV438" s="1191"/>
      <c r="AW438" s="1191"/>
      <c r="AX438" s="1191"/>
      <c r="AY438" s="1191"/>
      <c r="AZ438" s="1191"/>
      <c r="BA438" s="1191"/>
      <c r="BC438" s="1191"/>
      <c r="BE438" s="1191"/>
      <c r="BF438" s="1191"/>
      <c r="BG438" s="1191"/>
    </row>
    <row r="439" spans="18:59" x14ac:dyDescent="0.25">
      <c r="R439" s="1191"/>
      <c r="S439" s="1191"/>
      <c r="W439" s="1191"/>
      <c r="X439" s="1191"/>
      <c r="AE439" s="1191"/>
      <c r="AF439" s="1191"/>
      <c r="AV439" s="1191"/>
      <c r="AW439" s="1191"/>
      <c r="AX439" s="1191"/>
      <c r="AY439" s="1191"/>
      <c r="AZ439" s="1191"/>
      <c r="BA439" s="1191"/>
      <c r="BC439" s="1191"/>
      <c r="BE439" s="1191"/>
      <c r="BF439" s="1191"/>
      <c r="BG439" s="1191"/>
    </row>
    <row r="440" spans="18:59" x14ac:dyDescent="0.25">
      <c r="R440" s="1191"/>
      <c r="S440" s="1191"/>
      <c r="W440" s="1191"/>
      <c r="X440" s="1191"/>
      <c r="AE440" s="1191"/>
      <c r="AF440" s="1191"/>
      <c r="AV440" s="1191"/>
      <c r="AW440" s="1191"/>
      <c r="AX440" s="1191"/>
      <c r="AY440" s="1191"/>
      <c r="AZ440" s="1191"/>
      <c r="BA440" s="1191"/>
      <c r="BC440" s="1191"/>
      <c r="BE440" s="1191"/>
      <c r="BF440" s="1191"/>
      <c r="BG440" s="1191"/>
    </row>
    <row r="441" spans="18:59" x14ac:dyDescent="0.25">
      <c r="R441" s="1191"/>
      <c r="S441" s="1191"/>
      <c r="W441" s="1191"/>
      <c r="X441" s="1191"/>
      <c r="AE441" s="1191"/>
      <c r="AF441" s="1191"/>
      <c r="AV441" s="1191"/>
      <c r="AW441" s="1191"/>
      <c r="AX441" s="1191"/>
      <c r="AY441" s="1191"/>
      <c r="AZ441" s="1191"/>
      <c r="BA441" s="1191"/>
      <c r="BC441" s="1191"/>
      <c r="BE441" s="1191"/>
      <c r="BF441" s="1191"/>
      <c r="BG441" s="1191"/>
    </row>
    <row r="442" spans="18:59" x14ac:dyDescent="0.25">
      <c r="R442" s="1191"/>
      <c r="S442" s="1191"/>
      <c r="W442" s="1191"/>
      <c r="X442" s="1191"/>
      <c r="AE442" s="1191"/>
      <c r="AF442" s="1191"/>
      <c r="AV442" s="1191"/>
      <c r="AW442" s="1191"/>
      <c r="AX442" s="1191"/>
      <c r="AY442" s="1191"/>
      <c r="AZ442" s="1191"/>
      <c r="BA442" s="1191"/>
      <c r="BC442" s="1191"/>
      <c r="BE442" s="1191"/>
      <c r="BF442" s="1191"/>
      <c r="BG442" s="1191"/>
    </row>
    <row r="443" spans="18:59" x14ac:dyDescent="0.25">
      <c r="R443" s="1191"/>
      <c r="S443" s="1191"/>
      <c r="W443" s="1191"/>
      <c r="X443" s="1191"/>
      <c r="AE443" s="1191"/>
      <c r="AF443" s="1191"/>
      <c r="AV443" s="1191"/>
      <c r="AW443" s="1191"/>
      <c r="AX443" s="1191"/>
      <c r="AY443" s="1191"/>
      <c r="AZ443" s="1191"/>
      <c r="BA443" s="1191"/>
      <c r="BC443" s="1191"/>
      <c r="BE443" s="1191"/>
      <c r="BF443" s="1191"/>
      <c r="BG443" s="1191"/>
    </row>
    <row r="444" spans="18:59" x14ac:dyDescent="0.25">
      <c r="R444" s="1191"/>
      <c r="S444" s="1191"/>
      <c r="W444" s="1191"/>
      <c r="X444" s="1191"/>
      <c r="AE444" s="1191"/>
      <c r="AF444" s="1191"/>
      <c r="AV444" s="1191"/>
      <c r="AW444" s="1191"/>
      <c r="AX444" s="1191"/>
      <c r="AY444" s="1191"/>
      <c r="AZ444" s="1191"/>
      <c r="BA444" s="1191"/>
      <c r="BC444" s="1191"/>
      <c r="BE444" s="1191"/>
      <c r="BF444" s="1191"/>
      <c r="BG444" s="1191"/>
    </row>
    <row r="445" spans="18:59" x14ac:dyDescent="0.25">
      <c r="R445" s="1191"/>
      <c r="S445" s="1191"/>
      <c r="W445" s="1191"/>
      <c r="X445" s="1191"/>
      <c r="AE445" s="1191"/>
      <c r="AF445" s="1191"/>
      <c r="AV445" s="1191"/>
      <c r="AW445" s="1191"/>
      <c r="AX445" s="1191"/>
      <c r="AY445" s="1191"/>
      <c r="AZ445" s="1191"/>
      <c r="BA445" s="1191"/>
      <c r="BC445" s="1191"/>
      <c r="BE445" s="1191"/>
      <c r="BF445" s="1191"/>
      <c r="BG445" s="1191"/>
    </row>
    <row r="446" spans="18:59" x14ac:dyDescent="0.25">
      <c r="R446" s="1191"/>
      <c r="S446" s="1191"/>
      <c r="W446" s="1191"/>
      <c r="X446" s="1191"/>
      <c r="AE446" s="1191"/>
      <c r="AF446" s="1191"/>
      <c r="AV446" s="1191"/>
      <c r="AW446" s="1191"/>
      <c r="AX446" s="1191"/>
      <c r="AY446" s="1191"/>
      <c r="AZ446" s="1191"/>
      <c r="BA446" s="1191"/>
      <c r="BC446" s="1191"/>
      <c r="BE446" s="1191"/>
      <c r="BF446" s="1191"/>
      <c r="BG446" s="1191"/>
    </row>
    <row r="447" spans="18:59" x14ac:dyDescent="0.25">
      <c r="R447" s="1191"/>
      <c r="S447" s="1191"/>
      <c r="W447" s="1191"/>
      <c r="X447" s="1191"/>
      <c r="AE447" s="1191"/>
      <c r="AF447" s="1191"/>
      <c r="AV447" s="1191"/>
      <c r="AW447" s="1191"/>
      <c r="AX447" s="1191"/>
      <c r="AY447" s="1191"/>
      <c r="AZ447" s="1191"/>
      <c r="BA447" s="1191"/>
      <c r="BC447" s="1191"/>
      <c r="BE447" s="1191"/>
      <c r="BF447" s="1191"/>
      <c r="BG447" s="1191"/>
    </row>
    <row r="448" spans="18:59" x14ac:dyDescent="0.25">
      <c r="R448" s="1191"/>
      <c r="S448" s="1191"/>
      <c r="W448" s="1191"/>
      <c r="X448" s="1191"/>
      <c r="AE448" s="1191"/>
      <c r="AF448" s="1191"/>
      <c r="AV448" s="1191"/>
      <c r="AW448" s="1191"/>
      <c r="AX448" s="1191"/>
      <c r="AY448" s="1191"/>
      <c r="AZ448" s="1191"/>
      <c r="BA448" s="1191"/>
      <c r="BC448" s="1191"/>
      <c r="BE448" s="1191"/>
      <c r="BF448" s="1191"/>
      <c r="BG448" s="1191"/>
    </row>
    <row r="449" spans="18:59" x14ac:dyDescent="0.25">
      <c r="R449" s="1191"/>
      <c r="S449" s="1191"/>
      <c r="W449" s="1191"/>
      <c r="X449" s="1191"/>
      <c r="AE449" s="1191"/>
      <c r="AF449" s="1191"/>
      <c r="AV449" s="1191"/>
      <c r="AW449" s="1191"/>
      <c r="AX449" s="1191"/>
      <c r="AY449" s="1191"/>
      <c r="AZ449" s="1191"/>
      <c r="BA449" s="1191"/>
      <c r="BC449" s="1191"/>
      <c r="BE449" s="1191"/>
      <c r="BF449" s="1191"/>
      <c r="BG449" s="1191"/>
    </row>
    <row r="450" spans="18:59" x14ac:dyDescent="0.25">
      <c r="R450" s="1191"/>
      <c r="S450" s="1191"/>
      <c r="W450" s="1191"/>
      <c r="X450" s="1191"/>
      <c r="AE450" s="1191"/>
      <c r="AF450" s="1191"/>
      <c r="AV450" s="1191"/>
      <c r="AW450" s="1191"/>
      <c r="AX450" s="1191"/>
      <c r="AY450" s="1191"/>
      <c r="AZ450" s="1191"/>
      <c r="BA450" s="1191"/>
      <c r="BC450" s="1191"/>
      <c r="BE450" s="1191"/>
      <c r="BF450" s="1191"/>
      <c r="BG450" s="1191"/>
    </row>
    <row r="451" spans="18:59" x14ac:dyDescent="0.25">
      <c r="R451" s="1191"/>
      <c r="S451" s="1191"/>
      <c r="W451" s="1191"/>
      <c r="X451" s="1191"/>
      <c r="AE451" s="1191"/>
      <c r="AF451" s="1191"/>
      <c r="AV451" s="1191"/>
      <c r="AW451" s="1191"/>
      <c r="AX451" s="1191"/>
      <c r="AY451" s="1191"/>
      <c r="AZ451" s="1191"/>
      <c r="BA451" s="1191"/>
      <c r="BC451" s="1191"/>
      <c r="BE451" s="1191"/>
      <c r="BF451" s="1191"/>
      <c r="BG451" s="1191"/>
    </row>
    <row r="452" spans="18:59" x14ac:dyDescent="0.25">
      <c r="R452" s="1191"/>
      <c r="S452" s="1191"/>
      <c r="W452" s="1191"/>
      <c r="X452" s="1191"/>
      <c r="AE452" s="1191"/>
      <c r="AF452" s="1191"/>
      <c r="AV452" s="1191"/>
      <c r="AW452" s="1191"/>
      <c r="AX452" s="1191"/>
      <c r="AY452" s="1191"/>
      <c r="AZ452" s="1191"/>
      <c r="BA452" s="1191"/>
      <c r="BC452" s="1191"/>
      <c r="BE452" s="1191"/>
      <c r="BF452" s="1191"/>
      <c r="BG452" s="1191"/>
    </row>
    <row r="453" spans="18:59" x14ac:dyDescent="0.25">
      <c r="R453" s="1191"/>
      <c r="S453" s="1191"/>
      <c r="W453" s="1191"/>
      <c r="X453" s="1191"/>
      <c r="AE453" s="1191"/>
      <c r="AF453" s="1191"/>
      <c r="AV453" s="1191"/>
      <c r="AW453" s="1191"/>
      <c r="AX453" s="1191"/>
      <c r="AY453" s="1191"/>
      <c r="AZ453" s="1191"/>
      <c r="BA453" s="1191"/>
      <c r="BC453" s="1191"/>
      <c r="BE453" s="1191"/>
      <c r="BF453" s="1191"/>
      <c r="BG453" s="1191"/>
    </row>
    <row r="454" spans="18:59" x14ac:dyDescent="0.25">
      <c r="R454" s="1191"/>
      <c r="S454" s="1191"/>
      <c r="W454" s="1191"/>
      <c r="X454" s="1191"/>
      <c r="AE454" s="1191"/>
      <c r="AF454" s="1191"/>
      <c r="AV454" s="1191"/>
      <c r="AW454" s="1191"/>
      <c r="AX454" s="1191"/>
      <c r="AY454" s="1191"/>
      <c r="AZ454" s="1191"/>
      <c r="BA454" s="1191"/>
      <c r="BC454" s="1191"/>
      <c r="BE454" s="1191"/>
      <c r="BF454" s="1191"/>
      <c r="BG454" s="1191"/>
    </row>
    <row r="455" spans="18:59" x14ac:dyDescent="0.25">
      <c r="R455" s="1191"/>
      <c r="S455" s="1191"/>
      <c r="W455" s="1191"/>
      <c r="X455" s="1191"/>
      <c r="AE455" s="1191"/>
      <c r="AF455" s="1191"/>
      <c r="AV455" s="1191"/>
      <c r="AW455" s="1191"/>
      <c r="AX455" s="1191"/>
      <c r="AY455" s="1191"/>
      <c r="AZ455" s="1191"/>
      <c r="BA455" s="1191"/>
      <c r="BC455" s="1191"/>
      <c r="BE455" s="1191"/>
      <c r="BF455" s="1191"/>
      <c r="BG455" s="1191"/>
    </row>
    <row r="456" spans="18:59" x14ac:dyDescent="0.25">
      <c r="R456" s="1191"/>
      <c r="S456" s="1191"/>
      <c r="W456" s="1191"/>
      <c r="X456" s="1191"/>
      <c r="AE456" s="1191"/>
      <c r="AF456" s="1191"/>
      <c r="AV456" s="1191"/>
      <c r="AW456" s="1191"/>
      <c r="AX456" s="1191"/>
      <c r="AY456" s="1191"/>
      <c r="AZ456" s="1191"/>
      <c r="BA456" s="1191"/>
      <c r="BC456" s="1191"/>
      <c r="BE456" s="1191"/>
      <c r="BF456" s="1191"/>
      <c r="BG456" s="1191"/>
    </row>
    <row r="457" spans="18:59" x14ac:dyDescent="0.25">
      <c r="R457" s="1191"/>
      <c r="S457" s="1191"/>
      <c r="W457" s="1191"/>
      <c r="X457" s="1191"/>
      <c r="AE457" s="1191"/>
      <c r="AF457" s="1191"/>
      <c r="AV457" s="1191"/>
      <c r="AW457" s="1191"/>
      <c r="AX457" s="1191"/>
      <c r="AY457" s="1191"/>
      <c r="AZ457" s="1191"/>
      <c r="BA457" s="1191"/>
      <c r="BC457" s="1191"/>
      <c r="BE457" s="1191"/>
      <c r="BF457" s="1191"/>
      <c r="BG457" s="1191"/>
    </row>
    <row r="458" spans="18:59" x14ac:dyDescent="0.25">
      <c r="R458" s="1191"/>
      <c r="S458" s="1191"/>
      <c r="W458" s="1191"/>
      <c r="X458" s="1191"/>
      <c r="AE458" s="1191"/>
      <c r="AF458" s="1191"/>
      <c r="AV458" s="1191"/>
      <c r="AW458" s="1191"/>
      <c r="AX458" s="1191"/>
      <c r="AY458" s="1191"/>
      <c r="AZ458" s="1191"/>
      <c r="BA458" s="1191"/>
      <c r="BC458" s="1191"/>
      <c r="BE458" s="1191"/>
      <c r="BF458" s="1191"/>
      <c r="BG458" s="1191"/>
    </row>
    <row r="459" spans="18:59" x14ac:dyDescent="0.25">
      <c r="R459" s="1191"/>
      <c r="S459" s="1191"/>
      <c r="W459" s="1191"/>
      <c r="X459" s="1191"/>
      <c r="AE459" s="1191"/>
      <c r="AF459" s="1191"/>
      <c r="AV459" s="1191"/>
      <c r="AW459" s="1191"/>
      <c r="AX459" s="1191"/>
      <c r="AY459" s="1191"/>
      <c r="AZ459" s="1191"/>
      <c r="BA459" s="1191"/>
      <c r="BC459" s="1191"/>
      <c r="BE459" s="1191"/>
      <c r="BF459" s="1191"/>
      <c r="BG459" s="1191"/>
    </row>
    <row r="460" spans="18:59" x14ac:dyDescent="0.25">
      <c r="R460" s="1191"/>
      <c r="S460" s="1191"/>
      <c r="W460" s="1191"/>
      <c r="X460" s="1191"/>
      <c r="AE460" s="1191"/>
      <c r="AF460" s="1191"/>
      <c r="AV460" s="1191"/>
      <c r="AW460" s="1191"/>
      <c r="AX460" s="1191"/>
      <c r="AY460" s="1191"/>
      <c r="AZ460" s="1191"/>
      <c r="BA460" s="1191"/>
      <c r="BC460" s="1191"/>
      <c r="BE460" s="1191"/>
      <c r="BF460" s="1191"/>
      <c r="BG460" s="1191"/>
    </row>
    <row r="461" spans="18:59" x14ac:dyDescent="0.25">
      <c r="R461" s="1191"/>
      <c r="S461" s="1191"/>
      <c r="W461" s="1191"/>
      <c r="X461" s="1191"/>
      <c r="AE461" s="1191"/>
      <c r="AF461" s="1191"/>
      <c r="AV461" s="1191"/>
      <c r="AW461" s="1191"/>
      <c r="AX461" s="1191"/>
      <c r="AY461" s="1191"/>
      <c r="AZ461" s="1191"/>
      <c r="BA461" s="1191"/>
      <c r="BC461" s="1191"/>
      <c r="BE461" s="1191"/>
      <c r="BF461" s="1191"/>
      <c r="BG461" s="1191"/>
    </row>
    <row r="462" spans="18:59" x14ac:dyDescent="0.25">
      <c r="R462" s="1191"/>
      <c r="S462" s="1191"/>
      <c r="W462" s="1191"/>
      <c r="X462" s="1191"/>
      <c r="AE462" s="1191"/>
      <c r="AF462" s="1191"/>
      <c r="AV462" s="1191"/>
      <c r="AW462" s="1191"/>
      <c r="AX462" s="1191"/>
      <c r="AY462" s="1191"/>
      <c r="AZ462" s="1191"/>
      <c r="BA462" s="1191"/>
      <c r="BC462" s="1191"/>
      <c r="BE462" s="1191"/>
      <c r="BF462" s="1191"/>
      <c r="BG462" s="1191"/>
    </row>
    <row r="463" spans="18:59" x14ac:dyDescent="0.25">
      <c r="R463" s="1191"/>
      <c r="S463" s="1191"/>
      <c r="W463" s="1191"/>
      <c r="X463" s="1191"/>
      <c r="AE463" s="1191"/>
      <c r="AF463" s="1191"/>
      <c r="AV463" s="1191"/>
      <c r="AW463" s="1191"/>
      <c r="AX463" s="1191"/>
      <c r="AY463" s="1191"/>
      <c r="AZ463" s="1191"/>
      <c r="BA463" s="1191"/>
      <c r="BC463" s="1191"/>
      <c r="BE463" s="1191"/>
      <c r="BF463" s="1191"/>
      <c r="BG463" s="1191"/>
    </row>
    <row r="464" spans="18:59" x14ac:dyDescent="0.25">
      <c r="R464" s="1191"/>
      <c r="S464" s="1191"/>
      <c r="W464" s="1191"/>
      <c r="X464" s="1191"/>
      <c r="AE464" s="1191"/>
      <c r="AF464" s="1191"/>
      <c r="AV464" s="1191"/>
      <c r="AW464" s="1191"/>
      <c r="AX464" s="1191"/>
      <c r="AY464" s="1191"/>
      <c r="AZ464" s="1191"/>
      <c r="BA464" s="1191"/>
      <c r="BC464" s="1191"/>
      <c r="BE464" s="1191"/>
      <c r="BF464" s="1191"/>
      <c r="BG464" s="1191"/>
    </row>
    <row r="465" spans="18:59" x14ac:dyDescent="0.25">
      <c r="R465" s="1191"/>
      <c r="S465" s="1191"/>
      <c r="W465" s="1191"/>
      <c r="X465" s="1191"/>
      <c r="AE465" s="1191"/>
      <c r="AF465" s="1191"/>
      <c r="AV465" s="1191"/>
      <c r="AW465" s="1191"/>
      <c r="AX465" s="1191"/>
      <c r="AY465" s="1191"/>
      <c r="AZ465" s="1191"/>
      <c r="BA465" s="1191"/>
      <c r="BC465" s="1191"/>
      <c r="BE465" s="1191"/>
      <c r="BF465" s="1191"/>
      <c r="BG465" s="1191"/>
    </row>
    <row r="466" spans="18:59" x14ac:dyDescent="0.25">
      <c r="R466" s="1191"/>
      <c r="S466" s="1191"/>
      <c r="W466" s="1191"/>
      <c r="X466" s="1191"/>
      <c r="AE466" s="1191"/>
      <c r="AF466" s="1191"/>
      <c r="AV466" s="1191"/>
      <c r="AW466" s="1191"/>
      <c r="AX466" s="1191"/>
      <c r="AY466" s="1191"/>
      <c r="AZ466" s="1191"/>
      <c r="BA466" s="1191"/>
      <c r="BC466" s="1191"/>
      <c r="BE466" s="1191"/>
      <c r="BF466" s="1191"/>
      <c r="BG466" s="1191"/>
    </row>
    <row r="467" spans="18:59" x14ac:dyDescent="0.25">
      <c r="R467" s="1191"/>
      <c r="S467" s="1191"/>
      <c r="W467" s="1191"/>
      <c r="X467" s="1191"/>
      <c r="AE467" s="1191"/>
      <c r="AF467" s="1191"/>
      <c r="AV467" s="1191"/>
      <c r="AW467" s="1191"/>
      <c r="AX467" s="1191"/>
      <c r="AY467" s="1191"/>
      <c r="AZ467" s="1191"/>
      <c r="BA467" s="1191"/>
      <c r="BC467" s="1191"/>
      <c r="BE467" s="1191"/>
      <c r="BF467" s="1191"/>
      <c r="BG467" s="1191"/>
    </row>
    <row r="468" spans="18:59" x14ac:dyDescent="0.25">
      <c r="R468" s="1191"/>
      <c r="S468" s="1191"/>
      <c r="W468" s="1191"/>
      <c r="X468" s="1191"/>
      <c r="AE468" s="1191"/>
      <c r="AF468" s="1191"/>
      <c r="AV468" s="1191"/>
      <c r="AW468" s="1191"/>
      <c r="AX468" s="1191"/>
      <c r="AY468" s="1191"/>
      <c r="AZ468" s="1191"/>
      <c r="BA468" s="1191"/>
      <c r="BC468" s="1191"/>
      <c r="BE468" s="1191"/>
      <c r="BF468" s="1191"/>
      <c r="BG468" s="1191"/>
    </row>
    <row r="469" spans="18:59" x14ac:dyDescent="0.25">
      <c r="R469" s="1191"/>
      <c r="S469" s="1191"/>
      <c r="W469" s="1191"/>
      <c r="X469" s="1191"/>
      <c r="AE469" s="1191"/>
      <c r="AF469" s="1191"/>
      <c r="AV469" s="1191"/>
      <c r="AW469" s="1191"/>
      <c r="AX469" s="1191"/>
      <c r="AY469" s="1191"/>
      <c r="AZ469" s="1191"/>
      <c r="BA469" s="1191"/>
      <c r="BC469" s="1191"/>
      <c r="BE469" s="1191"/>
      <c r="BF469" s="1191"/>
      <c r="BG469" s="1191"/>
    </row>
    <row r="470" spans="18:59" x14ac:dyDescent="0.25">
      <c r="R470" s="1191"/>
      <c r="S470" s="1191"/>
      <c r="W470" s="1191"/>
      <c r="X470" s="1191"/>
      <c r="AE470" s="1191"/>
      <c r="AF470" s="1191"/>
      <c r="AV470" s="1191"/>
      <c r="AW470" s="1191"/>
      <c r="AX470" s="1191"/>
      <c r="AY470" s="1191"/>
      <c r="AZ470" s="1191"/>
      <c r="BA470" s="1191"/>
      <c r="BC470" s="1191"/>
      <c r="BE470" s="1191"/>
      <c r="BF470" s="1191"/>
      <c r="BG470" s="1191"/>
    </row>
    <row r="471" spans="18:59" x14ac:dyDescent="0.25">
      <c r="R471" s="1191"/>
      <c r="S471" s="1191"/>
      <c r="W471" s="1191"/>
      <c r="X471" s="1191"/>
      <c r="AE471" s="1191"/>
      <c r="AF471" s="1191"/>
      <c r="AV471" s="1191"/>
      <c r="AW471" s="1191"/>
      <c r="AX471" s="1191"/>
      <c r="AY471" s="1191"/>
      <c r="AZ471" s="1191"/>
      <c r="BA471" s="1191"/>
      <c r="BC471" s="1191"/>
      <c r="BE471" s="1191"/>
      <c r="BF471" s="1191"/>
      <c r="BG471" s="1191"/>
    </row>
    <row r="472" spans="18:59" x14ac:dyDescent="0.25">
      <c r="R472" s="1191"/>
      <c r="S472" s="1191"/>
      <c r="W472" s="1191"/>
      <c r="X472" s="1191"/>
      <c r="AE472" s="1191"/>
      <c r="AF472" s="1191"/>
      <c r="AV472" s="1191"/>
      <c r="AW472" s="1191"/>
      <c r="AX472" s="1191"/>
      <c r="AY472" s="1191"/>
      <c r="AZ472" s="1191"/>
      <c r="BA472" s="1191"/>
      <c r="BC472" s="1191"/>
      <c r="BE472" s="1191"/>
      <c r="BF472" s="1191"/>
      <c r="BG472" s="1191"/>
    </row>
    <row r="473" spans="18:59" x14ac:dyDescent="0.25">
      <c r="R473" s="1191"/>
      <c r="S473" s="1191"/>
      <c r="W473" s="1191"/>
      <c r="X473" s="1191"/>
      <c r="AE473" s="1191"/>
      <c r="AF473" s="1191"/>
      <c r="AV473" s="1191"/>
      <c r="AW473" s="1191"/>
      <c r="AX473" s="1191"/>
      <c r="AY473" s="1191"/>
      <c r="AZ473" s="1191"/>
      <c r="BA473" s="1191"/>
      <c r="BC473" s="1191"/>
      <c r="BE473" s="1191"/>
      <c r="BF473" s="1191"/>
      <c r="BG473" s="1191"/>
    </row>
    <row r="474" spans="18:59" x14ac:dyDescent="0.25">
      <c r="R474" s="1191"/>
      <c r="S474" s="1191"/>
      <c r="W474" s="1191"/>
      <c r="X474" s="1191"/>
      <c r="AE474" s="1191"/>
      <c r="AF474" s="1191"/>
      <c r="AV474" s="1191"/>
      <c r="AW474" s="1191"/>
      <c r="AX474" s="1191"/>
      <c r="AY474" s="1191"/>
      <c r="AZ474" s="1191"/>
      <c r="BA474" s="1191"/>
      <c r="BC474" s="1191"/>
      <c r="BE474" s="1191"/>
      <c r="BF474" s="1191"/>
      <c r="BG474" s="1191"/>
    </row>
    <row r="475" spans="18:59" x14ac:dyDescent="0.25">
      <c r="R475" s="1191"/>
      <c r="S475" s="1191"/>
      <c r="W475" s="1191"/>
      <c r="X475" s="1191"/>
      <c r="AE475" s="1191"/>
      <c r="AF475" s="1191"/>
      <c r="AV475" s="1191"/>
      <c r="AW475" s="1191"/>
      <c r="AX475" s="1191"/>
      <c r="AY475" s="1191"/>
      <c r="AZ475" s="1191"/>
      <c r="BA475" s="1191"/>
      <c r="BC475" s="1191"/>
      <c r="BE475" s="1191"/>
      <c r="BF475" s="1191"/>
      <c r="BG475" s="1191"/>
    </row>
    <row r="476" spans="18:59" x14ac:dyDescent="0.25">
      <c r="R476" s="1191"/>
      <c r="S476" s="1191"/>
      <c r="W476" s="1191"/>
      <c r="X476" s="1191"/>
      <c r="AE476" s="1191"/>
      <c r="AF476" s="1191"/>
      <c r="AV476" s="1191"/>
      <c r="AW476" s="1191"/>
      <c r="AX476" s="1191"/>
      <c r="AY476" s="1191"/>
      <c r="AZ476" s="1191"/>
      <c r="BA476" s="1191"/>
      <c r="BC476" s="1191"/>
      <c r="BE476" s="1191"/>
      <c r="BF476" s="1191"/>
      <c r="BG476" s="1191"/>
    </row>
    <row r="477" spans="18:59" x14ac:dyDescent="0.25">
      <c r="R477" s="1191"/>
      <c r="S477" s="1191"/>
      <c r="W477" s="1191"/>
      <c r="X477" s="1191"/>
      <c r="AE477" s="1191"/>
      <c r="AF477" s="1191"/>
      <c r="AV477" s="1191"/>
      <c r="AW477" s="1191"/>
      <c r="AX477" s="1191"/>
      <c r="AY477" s="1191"/>
      <c r="AZ477" s="1191"/>
      <c r="BA477" s="1191"/>
      <c r="BC477" s="1191"/>
      <c r="BE477" s="1191"/>
      <c r="BF477" s="1191"/>
      <c r="BG477" s="1191"/>
    </row>
    <row r="478" spans="18:59" x14ac:dyDescent="0.25">
      <c r="R478" s="1191"/>
      <c r="S478" s="1191"/>
      <c r="W478" s="1191"/>
      <c r="X478" s="1191"/>
      <c r="AE478" s="1191"/>
      <c r="AF478" s="1191"/>
      <c r="AV478" s="1191"/>
      <c r="AW478" s="1191"/>
      <c r="AX478" s="1191"/>
      <c r="AY478" s="1191"/>
      <c r="AZ478" s="1191"/>
      <c r="BA478" s="1191"/>
      <c r="BC478" s="1191"/>
      <c r="BE478" s="1191"/>
      <c r="BF478" s="1191"/>
      <c r="BG478" s="1191"/>
    </row>
    <row r="479" spans="18:59" x14ac:dyDescent="0.25">
      <c r="R479" s="1191"/>
      <c r="S479" s="1191"/>
      <c r="W479" s="1191"/>
      <c r="X479" s="1191"/>
      <c r="AE479" s="1191"/>
      <c r="AF479" s="1191"/>
      <c r="AV479" s="1191"/>
      <c r="AW479" s="1191"/>
      <c r="AX479" s="1191"/>
      <c r="AY479" s="1191"/>
      <c r="AZ479" s="1191"/>
      <c r="BA479" s="1191"/>
      <c r="BC479" s="1191"/>
      <c r="BE479" s="1191"/>
      <c r="BF479" s="1191"/>
      <c r="BG479" s="1191"/>
    </row>
    <row r="480" spans="18:59" x14ac:dyDescent="0.25">
      <c r="R480" s="1191"/>
      <c r="S480" s="1191"/>
      <c r="W480" s="1191"/>
      <c r="X480" s="1191"/>
      <c r="AE480" s="1191"/>
      <c r="AF480" s="1191"/>
      <c r="AV480" s="1191"/>
      <c r="AW480" s="1191"/>
      <c r="AX480" s="1191"/>
      <c r="AY480" s="1191"/>
      <c r="AZ480" s="1191"/>
      <c r="BA480" s="1191"/>
      <c r="BC480" s="1191"/>
      <c r="BE480" s="1191"/>
      <c r="BF480" s="1191"/>
      <c r="BG480" s="1191"/>
    </row>
    <row r="481" spans="18:59" x14ac:dyDescent="0.25">
      <c r="R481" s="1191"/>
      <c r="S481" s="1191"/>
      <c r="W481" s="1191"/>
      <c r="X481" s="1191"/>
      <c r="AE481" s="1191"/>
      <c r="AF481" s="1191"/>
      <c r="AV481" s="1191"/>
      <c r="AW481" s="1191"/>
      <c r="AX481" s="1191"/>
      <c r="AY481" s="1191"/>
      <c r="AZ481" s="1191"/>
      <c r="BA481" s="1191"/>
      <c r="BC481" s="1191"/>
      <c r="BE481" s="1191"/>
      <c r="BF481" s="1191"/>
      <c r="BG481" s="1191"/>
    </row>
    <row r="482" spans="18:59" x14ac:dyDescent="0.25">
      <c r="R482" s="1191"/>
      <c r="S482" s="1191"/>
      <c r="W482" s="1191"/>
      <c r="X482" s="1191"/>
      <c r="AE482" s="1191"/>
      <c r="AF482" s="1191"/>
      <c r="AV482" s="1191"/>
      <c r="AW482" s="1191"/>
      <c r="AX482" s="1191"/>
      <c r="AY482" s="1191"/>
      <c r="AZ482" s="1191"/>
      <c r="BA482" s="1191"/>
      <c r="BC482" s="1191"/>
      <c r="BE482" s="1191"/>
      <c r="BF482" s="1191"/>
      <c r="BG482" s="1191"/>
    </row>
    <row r="483" spans="18:59" x14ac:dyDescent="0.25">
      <c r="R483" s="1191"/>
      <c r="S483" s="1191"/>
      <c r="W483" s="1191"/>
      <c r="X483" s="1191"/>
      <c r="AE483" s="1191"/>
      <c r="AF483" s="1191"/>
      <c r="AV483" s="1191"/>
      <c r="AW483" s="1191"/>
      <c r="AX483" s="1191"/>
      <c r="AY483" s="1191"/>
      <c r="AZ483" s="1191"/>
      <c r="BA483" s="1191"/>
      <c r="BC483" s="1191"/>
      <c r="BE483" s="1191"/>
      <c r="BF483" s="1191"/>
      <c r="BG483" s="1191"/>
    </row>
    <row r="484" spans="18:59" x14ac:dyDescent="0.25">
      <c r="R484" s="1191"/>
      <c r="S484" s="1191"/>
      <c r="W484" s="1191"/>
      <c r="X484" s="1191"/>
      <c r="AE484" s="1191"/>
      <c r="AF484" s="1191"/>
      <c r="AV484" s="1191"/>
      <c r="AW484" s="1191"/>
      <c r="AX484" s="1191"/>
      <c r="AY484" s="1191"/>
      <c r="AZ484" s="1191"/>
      <c r="BA484" s="1191"/>
      <c r="BC484" s="1191"/>
      <c r="BE484" s="1191"/>
      <c r="BF484" s="1191"/>
      <c r="BG484" s="1191"/>
    </row>
    <row r="485" spans="18:59" x14ac:dyDescent="0.25">
      <c r="R485" s="1191"/>
      <c r="S485" s="1191"/>
      <c r="W485" s="1191"/>
      <c r="X485" s="1191"/>
      <c r="AE485" s="1191"/>
      <c r="AF485" s="1191"/>
      <c r="AV485" s="1191"/>
      <c r="AW485" s="1191"/>
      <c r="AX485" s="1191"/>
      <c r="AY485" s="1191"/>
      <c r="AZ485" s="1191"/>
      <c r="BA485" s="1191"/>
      <c r="BC485" s="1191"/>
      <c r="BE485" s="1191"/>
      <c r="BF485" s="1191"/>
      <c r="BG485" s="1191"/>
    </row>
    <row r="486" spans="18:59" x14ac:dyDescent="0.25">
      <c r="R486" s="1191"/>
      <c r="S486" s="1191"/>
      <c r="W486" s="1191"/>
      <c r="X486" s="1191"/>
      <c r="AE486" s="1191"/>
      <c r="AF486" s="1191"/>
      <c r="AV486" s="1191"/>
      <c r="AW486" s="1191"/>
      <c r="AX486" s="1191"/>
      <c r="AY486" s="1191"/>
      <c r="AZ486" s="1191"/>
      <c r="BA486" s="1191"/>
      <c r="BC486" s="1191"/>
      <c r="BE486" s="1191"/>
      <c r="BF486" s="1191"/>
      <c r="BG486" s="1191"/>
    </row>
    <row r="487" spans="18:59" x14ac:dyDescent="0.25">
      <c r="R487" s="1191"/>
      <c r="S487" s="1191"/>
      <c r="W487" s="1191"/>
      <c r="X487" s="1191"/>
      <c r="AE487" s="1191"/>
      <c r="AF487" s="1191"/>
      <c r="AV487" s="1191"/>
      <c r="AW487" s="1191"/>
      <c r="AX487" s="1191"/>
      <c r="AY487" s="1191"/>
      <c r="AZ487" s="1191"/>
      <c r="BA487" s="1191"/>
      <c r="BC487" s="1191"/>
      <c r="BE487" s="1191"/>
      <c r="BF487" s="1191"/>
      <c r="BG487" s="1191"/>
    </row>
    <row r="488" spans="18:59" x14ac:dyDescent="0.25">
      <c r="R488" s="1191"/>
      <c r="S488" s="1191"/>
      <c r="W488" s="1191"/>
      <c r="X488" s="1191"/>
      <c r="AE488" s="1191"/>
      <c r="AF488" s="1191"/>
      <c r="AV488" s="1191"/>
      <c r="AW488" s="1191"/>
      <c r="AX488" s="1191"/>
      <c r="AY488" s="1191"/>
      <c r="AZ488" s="1191"/>
      <c r="BA488" s="1191"/>
      <c r="BC488" s="1191"/>
      <c r="BE488" s="1191"/>
      <c r="BF488" s="1191"/>
      <c r="BG488" s="1191"/>
    </row>
    <row r="489" spans="18:59" x14ac:dyDescent="0.25">
      <c r="R489" s="1191"/>
      <c r="S489" s="1191"/>
      <c r="W489" s="1191"/>
      <c r="X489" s="1191"/>
      <c r="AE489" s="1191"/>
      <c r="AF489" s="1191"/>
      <c r="AV489" s="1191"/>
      <c r="AW489" s="1191"/>
      <c r="AX489" s="1191"/>
      <c r="AY489" s="1191"/>
      <c r="AZ489" s="1191"/>
      <c r="BA489" s="1191"/>
      <c r="BC489" s="1191"/>
      <c r="BE489" s="1191"/>
      <c r="BF489" s="1191"/>
      <c r="BG489" s="1191"/>
    </row>
    <row r="490" spans="18:59" x14ac:dyDescent="0.25">
      <c r="R490" s="1191"/>
      <c r="S490" s="1191"/>
      <c r="W490" s="1191"/>
      <c r="X490" s="1191"/>
      <c r="AE490" s="1191"/>
      <c r="AF490" s="1191"/>
      <c r="AV490" s="1191"/>
      <c r="AW490" s="1191"/>
      <c r="AX490" s="1191"/>
      <c r="AY490" s="1191"/>
      <c r="AZ490" s="1191"/>
      <c r="BA490" s="1191"/>
      <c r="BC490" s="1191"/>
      <c r="BE490" s="1191"/>
      <c r="BF490" s="1191"/>
      <c r="BG490" s="1191"/>
    </row>
    <row r="491" spans="18:59" x14ac:dyDescent="0.25">
      <c r="R491" s="1191"/>
      <c r="S491" s="1191"/>
      <c r="W491" s="1191"/>
      <c r="X491" s="1191"/>
      <c r="AE491" s="1191"/>
      <c r="AF491" s="1191"/>
      <c r="AV491" s="1191"/>
      <c r="AW491" s="1191"/>
      <c r="AX491" s="1191"/>
      <c r="AY491" s="1191"/>
      <c r="AZ491" s="1191"/>
      <c r="BA491" s="1191"/>
      <c r="BC491" s="1191"/>
      <c r="BE491" s="1191"/>
      <c r="BF491" s="1191"/>
      <c r="BG491" s="1191"/>
    </row>
    <row r="492" spans="18:59" x14ac:dyDescent="0.25">
      <c r="R492" s="1191"/>
      <c r="S492" s="1191"/>
      <c r="W492" s="1191"/>
      <c r="X492" s="1191"/>
      <c r="AE492" s="1191"/>
      <c r="AF492" s="1191"/>
      <c r="AV492" s="1191"/>
      <c r="AW492" s="1191"/>
      <c r="AX492" s="1191"/>
      <c r="AY492" s="1191"/>
      <c r="AZ492" s="1191"/>
      <c r="BA492" s="1191"/>
      <c r="BC492" s="1191"/>
      <c r="BE492" s="1191"/>
      <c r="BF492" s="1191"/>
      <c r="BG492" s="1191"/>
    </row>
    <row r="493" spans="18:59" x14ac:dyDescent="0.25">
      <c r="R493" s="1191"/>
      <c r="S493" s="1191"/>
      <c r="W493" s="1191"/>
      <c r="X493" s="1191"/>
      <c r="AE493" s="1191"/>
      <c r="AF493" s="1191"/>
      <c r="AV493" s="1191"/>
      <c r="AW493" s="1191"/>
      <c r="AX493" s="1191"/>
      <c r="AY493" s="1191"/>
      <c r="AZ493" s="1191"/>
      <c r="BA493" s="1191"/>
      <c r="BC493" s="1191"/>
      <c r="BE493" s="1191"/>
      <c r="BF493" s="1191"/>
      <c r="BG493" s="1191"/>
    </row>
    <row r="494" spans="18:59" x14ac:dyDescent="0.25">
      <c r="R494" s="1191"/>
      <c r="S494" s="1191"/>
      <c r="W494" s="1191"/>
      <c r="X494" s="1191"/>
      <c r="AE494" s="1191"/>
      <c r="AF494" s="1191"/>
      <c r="AV494" s="1191"/>
      <c r="AW494" s="1191"/>
      <c r="AX494" s="1191"/>
      <c r="AY494" s="1191"/>
      <c r="AZ494" s="1191"/>
      <c r="BA494" s="1191"/>
      <c r="BC494" s="1191"/>
      <c r="BE494" s="1191"/>
      <c r="BF494" s="1191"/>
      <c r="BG494" s="1191"/>
    </row>
    <row r="495" spans="18:59" x14ac:dyDescent="0.25">
      <c r="R495" s="1191"/>
      <c r="S495" s="1191"/>
      <c r="W495" s="1191"/>
      <c r="X495" s="1191"/>
      <c r="AE495" s="1191"/>
      <c r="AF495" s="1191"/>
      <c r="AV495" s="1191"/>
      <c r="AW495" s="1191"/>
      <c r="AX495" s="1191"/>
      <c r="AY495" s="1191"/>
      <c r="AZ495" s="1191"/>
      <c r="BA495" s="1191"/>
      <c r="BC495" s="1191"/>
      <c r="BE495" s="1191"/>
      <c r="BF495" s="1191"/>
      <c r="BG495" s="1191"/>
    </row>
    <row r="496" spans="18:59" x14ac:dyDescent="0.25">
      <c r="R496" s="1191"/>
      <c r="S496" s="1191"/>
      <c r="W496" s="1191"/>
      <c r="X496" s="1191"/>
      <c r="AE496" s="1191"/>
      <c r="AF496" s="1191"/>
      <c r="AV496" s="1191"/>
      <c r="AW496" s="1191"/>
      <c r="AX496" s="1191"/>
      <c r="AY496" s="1191"/>
      <c r="AZ496" s="1191"/>
      <c r="BA496" s="1191"/>
      <c r="BC496" s="1191"/>
      <c r="BE496" s="1191"/>
      <c r="BF496" s="1191"/>
      <c r="BG496" s="1191"/>
    </row>
    <row r="497" spans="18:59" x14ac:dyDescent="0.25">
      <c r="R497" s="1191"/>
      <c r="S497" s="1191"/>
      <c r="W497" s="1191"/>
      <c r="X497" s="1191"/>
      <c r="AE497" s="1191"/>
      <c r="AF497" s="1191"/>
      <c r="AV497" s="1191"/>
      <c r="AW497" s="1191"/>
      <c r="AX497" s="1191"/>
      <c r="AY497" s="1191"/>
      <c r="AZ497" s="1191"/>
      <c r="BA497" s="1191"/>
      <c r="BC497" s="1191"/>
      <c r="BE497" s="1191"/>
      <c r="BF497" s="1191"/>
      <c r="BG497" s="1191"/>
    </row>
    <row r="498" spans="18:59" x14ac:dyDescent="0.25">
      <c r="R498" s="1191"/>
      <c r="S498" s="1191"/>
      <c r="W498" s="1191"/>
      <c r="X498" s="1191"/>
      <c r="AE498" s="1191"/>
      <c r="AF498" s="1191"/>
      <c r="AV498" s="1191"/>
      <c r="AW498" s="1191"/>
      <c r="AX498" s="1191"/>
      <c r="AY498" s="1191"/>
      <c r="AZ498" s="1191"/>
      <c r="BA498" s="1191"/>
      <c r="BC498" s="1191"/>
      <c r="BE498" s="1191"/>
      <c r="BF498" s="1191"/>
      <c r="BG498" s="1191"/>
    </row>
    <row r="499" spans="18:59" x14ac:dyDescent="0.25">
      <c r="R499" s="1191"/>
      <c r="S499" s="1191"/>
      <c r="W499" s="1191"/>
      <c r="X499" s="1191"/>
      <c r="AE499" s="1191"/>
      <c r="AF499" s="1191"/>
      <c r="AV499" s="1191"/>
      <c r="AW499" s="1191"/>
      <c r="AX499" s="1191"/>
      <c r="AY499" s="1191"/>
      <c r="AZ499" s="1191"/>
      <c r="BA499" s="1191"/>
      <c r="BC499" s="1191"/>
      <c r="BE499" s="1191"/>
      <c r="BF499" s="1191"/>
      <c r="BG499" s="1191"/>
    </row>
    <row r="500" spans="18:59" x14ac:dyDescent="0.25">
      <c r="R500" s="1191"/>
      <c r="S500" s="1191"/>
      <c r="W500" s="1191"/>
      <c r="X500" s="1191"/>
      <c r="AE500" s="1191"/>
      <c r="AF500" s="1191"/>
      <c r="AV500" s="1191"/>
      <c r="AW500" s="1191"/>
      <c r="AX500" s="1191"/>
      <c r="AY500" s="1191"/>
      <c r="AZ500" s="1191"/>
      <c r="BA500" s="1191"/>
      <c r="BC500" s="1191"/>
      <c r="BE500" s="1191"/>
      <c r="BF500" s="1191"/>
      <c r="BG500" s="1191"/>
    </row>
    <row r="501" spans="18:59" x14ac:dyDescent="0.25">
      <c r="R501" s="1191"/>
      <c r="S501" s="1191"/>
      <c r="W501" s="1191"/>
      <c r="X501" s="1191"/>
      <c r="AE501" s="1191"/>
      <c r="AF501" s="1191"/>
      <c r="AV501" s="1191"/>
      <c r="AW501" s="1191"/>
      <c r="AX501" s="1191"/>
      <c r="AY501" s="1191"/>
      <c r="AZ501" s="1191"/>
      <c r="BA501" s="1191"/>
      <c r="BC501" s="1191"/>
      <c r="BE501" s="1191"/>
      <c r="BF501" s="1191"/>
      <c r="BG501" s="1191"/>
    </row>
    <row r="502" spans="18:59" x14ac:dyDescent="0.25">
      <c r="R502" s="1191"/>
      <c r="S502" s="1191"/>
      <c r="W502" s="1191"/>
      <c r="X502" s="1191"/>
      <c r="AE502" s="1191"/>
      <c r="AF502" s="1191"/>
      <c r="AV502" s="1191"/>
      <c r="AW502" s="1191"/>
      <c r="AX502" s="1191"/>
      <c r="AY502" s="1191"/>
      <c r="AZ502" s="1191"/>
      <c r="BA502" s="1191"/>
      <c r="BC502" s="1191"/>
      <c r="BE502" s="1191"/>
      <c r="BF502" s="1191"/>
      <c r="BG502" s="1191"/>
    </row>
  </sheetData>
  <mergeCells count="6">
    <mergeCell ref="I1:K1"/>
    <mergeCell ref="Y2:AD2"/>
    <mergeCell ref="AG2:AI2"/>
    <mergeCell ref="AU2:BA2"/>
    <mergeCell ref="AJ2:AS2"/>
    <mergeCell ref="P2:S2"/>
  </mergeCells>
  <pageMargins left="0.7" right="0.7" top="0.75" bottom="0.75" header="0.3" footer="0.3"/>
  <pageSetup orientation="portrait"/>
  <drawing r:id="rId1"/>
  <legacy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W19"/>
  <sheetViews>
    <sheetView zoomScale="94" workbookViewId="0">
      <selection activeCell="E17" sqref="E17"/>
    </sheetView>
  </sheetViews>
  <sheetFormatPr defaultColWidth="10.85546875" defaultRowHeight="15" x14ac:dyDescent="0.25"/>
  <cols>
    <col min="1" max="1" width="23.140625" customWidth="1"/>
  </cols>
  <sheetData>
    <row r="1" spans="1:22" x14ac:dyDescent="0.25">
      <c r="A1" s="1196" t="s">
        <v>724</v>
      </c>
      <c r="B1" s="1196"/>
      <c r="C1" s="1196"/>
      <c r="D1" s="1196"/>
    </row>
    <row r="2" spans="1:22" x14ac:dyDescent="0.25">
      <c r="A2" t="s">
        <v>725</v>
      </c>
      <c r="B2" s="622">
        <v>2021</v>
      </c>
      <c r="C2" s="622">
        <v>2021</v>
      </c>
      <c r="D2" s="622">
        <v>2021</v>
      </c>
      <c r="E2" s="622">
        <v>2022</v>
      </c>
      <c r="F2" s="622">
        <v>2022</v>
      </c>
      <c r="G2" s="622">
        <v>2022</v>
      </c>
      <c r="H2" s="622">
        <v>2022</v>
      </c>
      <c r="I2" s="622">
        <v>2023</v>
      </c>
      <c r="J2" s="622">
        <v>2023</v>
      </c>
      <c r="K2" s="622">
        <v>2023</v>
      </c>
      <c r="L2" s="622">
        <v>2023</v>
      </c>
      <c r="M2" s="622">
        <v>2024</v>
      </c>
      <c r="N2" s="622">
        <v>2024</v>
      </c>
      <c r="O2" s="622">
        <v>2024</v>
      </c>
      <c r="P2" s="622">
        <v>2024</v>
      </c>
      <c r="Q2" s="622">
        <v>2025</v>
      </c>
      <c r="R2" s="622">
        <v>2025</v>
      </c>
      <c r="S2" s="622">
        <v>2025</v>
      </c>
      <c r="T2" s="622">
        <v>2025</v>
      </c>
      <c r="U2" s="622">
        <v>2026</v>
      </c>
    </row>
    <row r="3" spans="1:22" x14ac:dyDescent="0.25">
      <c r="A3" s="1194" t="s">
        <v>726</v>
      </c>
      <c r="B3" s="744" t="s">
        <v>727</v>
      </c>
      <c r="C3" s="744" t="s">
        <v>728</v>
      </c>
      <c r="D3" s="744" t="s">
        <v>729</v>
      </c>
      <c r="E3" s="744" t="s">
        <v>730</v>
      </c>
      <c r="F3" s="744" t="s">
        <v>731</v>
      </c>
      <c r="G3" s="744" t="s">
        <v>732</v>
      </c>
      <c r="H3" s="744" t="s">
        <v>733</v>
      </c>
      <c r="I3" s="744" t="s">
        <v>734</v>
      </c>
      <c r="J3" s="744" t="s">
        <v>735</v>
      </c>
      <c r="K3" s="744" t="s">
        <v>736</v>
      </c>
      <c r="L3" s="744" t="s">
        <v>737</v>
      </c>
      <c r="M3" s="744" t="s">
        <v>738</v>
      </c>
      <c r="N3" s="744" t="s">
        <v>739</v>
      </c>
      <c r="O3" s="744" t="s">
        <v>740</v>
      </c>
      <c r="P3" s="744" t="s">
        <v>741</v>
      </c>
      <c r="Q3" s="744" t="s">
        <v>742</v>
      </c>
      <c r="R3" s="744" t="s">
        <v>743</v>
      </c>
      <c r="S3" s="744" t="s">
        <v>744</v>
      </c>
      <c r="T3" s="744" t="s">
        <v>745</v>
      </c>
      <c r="U3" s="744" t="s">
        <v>746</v>
      </c>
    </row>
    <row r="4" spans="1:22" x14ac:dyDescent="0.25">
      <c r="A4" s="1194" t="s">
        <v>747</v>
      </c>
      <c r="B4" s="744"/>
      <c r="C4" s="744"/>
      <c r="D4" s="744">
        <v>0</v>
      </c>
      <c r="E4" s="744">
        <v>0</v>
      </c>
      <c r="F4" s="744">
        <v>0.5</v>
      </c>
      <c r="G4" s="744">
        <v>0.5</v>
      </c>
      <c r="H4" s="744">
        <v>0</v>
      </c>
      <c r="I4" s="744">
        <v>0</v>
      </c>
      <c r="J4" s="744">
        <v>0</v>
      </c>
      <c r="K4" s="744">
        <v>0</v>
      </c>
      <c r="L4" s="744">
        <v>0</v>
      </c>
      <c r="M4" s="744">
        <v>0</v>
      </c>
      <c r="N4" s="744">
        <v>0</v>
      </c>
      <c r="O4" s="744">
        <v>0</v>
      </c>
      <c r="P4" s="744">
        <v>0</v>
      </c>
      <c r="Q4" s="744">
        <v>0</v>
      </c>
      <c r="R4" s="744">
        <v>0</v>
      </c>
      <c r="S4" s="744">
        <v>0</v>
      </c>
      <c r="T4" s="744">
        <v>0</v>
      </c>
      <c r="U4" s="744">
        <v>0</v>
      </c>
    </row>
    <row r="5" spans="1:22" x14ac:dyDescent="0.25">
      <c r="A5" s="1194" t="s">
        <v>748</v>
      </c>
      <c r="B5" s="744">
        <v>0.04</v>
      </c>
      <c r="C5" s="744">
        <v>0.48</v>
      </c>
      <c r="D5" s="744">
        <v>0.48</v>
      </c>
      <c r="E5" s="744">
        <v>0</v>
      </c>
      <c r="F5" s="744">
        <v>0</v>
      </c>
      <c r="G5" s="744">
        <v>0</v>
      </c>
      <c r="H5" s="744">
        <v>0</v>
      </c>
      <c r="I5" s="744">
        <v>0</v>
      </c>
      <c r="J5" s="744">
        <v>0</v>
      </c>
      <c r="K5" s="744">
        <v>0</v>
      </c>
      <c r="L5" s="744">
        <v>0</v>
      </c>
      <c r="M5" s="744">
        <v>0</v>
      </c>
      <c r="N5" s="744">
        <v>0</v>
      </c>
      <c r="O5" s="744">
        <v>0</v>
      </c>
      <c r="P5" s="744">
        <v>0</v>
      </c>
      <c r="Q5" s="744">
        <v>0</v>
      </c>
      <c r="R5" s="744">
        <v>0</v>
      </c>
      <c r="S5" s="744">
        <v>0</v>
      </c>
      <c r="T5" s="744">
        <v>0</v>
      </c>
      <c r="U5" s="744">
        <v>0</v>
      </c>
    </row>
    <row r="6" spans="1:22" x14ac:dyDescent="0.25">
      <c r="A6" s="1194" t="s">
        <v>749</v>
      </c>
      <c r="B6" s="744">
        <f>B8</f>
        <v>0</v>
      </c>
      <c r="C6" s="744">
        <f>C8</f>
        <v>0.43</v>
      </c>
      <c r="D6" s="744">
        <f t="shared" ref="D6:U6" si="0">D8</f>
        <v>0.56999999999999995</v>
      </c>
      <c r="E6" s="744">
        <f t="shared" si="0"/>
        <v>0.25</v>
      </c>
      <c r="F6" s="744">
        <f t="shared" si="0"/>
        <v>0.25</v>
      </c>
      <c r="G6" s="744">
        <f t="shared" si="0"/>
        <v>0.25</v>
      </c>
      <c r="H6" s="744">
        <f t="shared" si="0"/>
        <v>0.25</v>
      </c>
      <c r="I6" s="744">
        <f t="shared" si="0"/>
        <v>0.25</v>
      </c>
      <c r="J6" s="744">
        <f t="shared" si="0"/>
        <v>0.25</v>
      </c>
      <c r="K6" s="744">
        <f t="shared" si="0"/>
        <v>0.25</v>
      </c>
      <c r="L6" s="744">
        <f t="shared" si="0"/>
        <v>0.25</v>
      </c>
      <c r="M6" s="744">
        <f t="shared" si="0"/>
        <v>0.25</v>
      </c>
      <c r="N6" s="744">
        <f t="shared" si="0"/>
        <v>0.25</v>
      </c>
      <c r="O6" s="744">
        <f t="shared" si="0"/>
        <v>0.25</v>
      </c>
      <c r="P6" s="744">
        <f t="shared" si="0"/>
        <v>0.25</v>
      </c>
      <c r="Q6" s="744">
        <f t="shared" si="0"/>
        <v>0.25</v>
      </c>
      <c r="R6" s="744">
        <f t="shared" si="0"/>
        <v>0.25</v>
      </c>
      <c r="S6" s="744">
        <f t="shared" si="0"/>
        <v>0.25</v>
      </c>
      <c r="T6" s="744">
        <f t="shared" si="0"/>
        <v>0.25</v>
      </c>
      <c r="U6" s="744">
        <f t="shared" si="0"/>
        <v>0.25</v>
      </c>
    </row>
    <row r="7" spans="1:22" x14ac:dyDescent="0.25">
      <c r="A7" s="1194" t="s">
        <v>750</v>
      </c>
      <c r="B7" s="744">
        <v>0</v>
      </c>
      <c r="C7" s="744">
        <v>0</v>
      </c>
      <c r="D7" s="744">
        <v>1</v>
      </c>
      <c r="E7" s="744">
        <v>0.25</v>
      </c>
      <c r="F7" s="744">
        <v>0.25</v>
      </c>
      <c r="G7" s="744">
        <v>0.25</v>
      </c>
      <c r="H7" s="744">
        <v>0.25</v>
      </c>
      <c r="I7" s="744">
        <v>0.25</v>
      </c>
      <c r="J7" s="744">
        <v>0.25</v>
      </c>
      <c r="K7" s="744">
        <v>0.25</v>
      </c>
      <c r="L7" s="744">
        <v>0.25</v>
      </c>
      <c r="M7" s="744">
        <v>0.25</v>
      </c>
      <c r="N7" s="744">
        <v>0.25</v>
      </c>
      <c r="O7" s="744">
        <v>0.25</v>
      </c>
      <c r="P7" s="744">
        <v>0.25</v>
      </c>
      <c r="Q7" s="744">
        <v>0.25</v>
      </c>
      <c r="R7" s="744">
        <v>0.25</v>
      </c>
      <c r="S7" s="744">
        <v>0.25</v>
      </c>
      <c r="T7" s="744">
        <v>0.25</v>
      </c>
      <c r="U7" s="744">
        <v>0.25</v>
      </c>
    </row>
    <row r="8" spans="1:22" x14ac:dyDescent="0.25">
      <c r="A8" s="1194" t="s">
        <v>751</v>
      </c>
      <c r="B8" s="744">
        <v>0</v>
      </c>
      <c r="C8" s="744">
        <v>0.43</v>
      </c>
      <c r="D8" s="744">
        <v>0.56999999999999995</v>
      </c>
      <c r="E8" s="744">
        <v>0.25</v>
      </c>
      <c r="F8" s="744">
        <v>0.25</v>
      </c>
      <c r="G8" s="744">
        <v>0.25</v>
      </c>
      <c r="H8" s="744">
        <v>0.25</v>
      </c>
      <c r="I8" s="744">
        <v>0.25</v>
      </c>
      <c r="J8" s="744">
        <v>0.25</v>
      </c>
      <c r="K8" s="744">
        <v>0.25</v>
      </c>
      <c r="L8" s="744">
        <v>0.25</v>
      </c>
      <c r="M8" s="744">
        <v>0.25</v>
      </c>
      <c r="N8" s="744">
        <v>0.25</v>
      </c>
      <c r="O8" s="744">
        <v>0.25</v>
      </c>
      <c r="P8" s="744">
        <v>0.25</v>
      </c>
      <c r="Q8" s="744">
        <v>0.25</v>
      </c>
      <c r="R8" s="744">
        <v>0.25</v>
      </c>
      <c r="S8" s="744">
        <v>0.25</v>
      </c>
      <c r="T8" s="744">
        <v>0.25</v>
      </c>
      <c r="U8" s="744">
        <v>0.25</v>
      </c>
    </row>
    <row r="9" spans="1:22" ht="27" customHeight="1" x14ac:dyDescent="0.25">
      <c r="A9" s="1194" t="s">
        <v>752</v>
      </c>
      <c r="B9" s="744">
        <v>0</v>
      </c>
      <c r="C9" s="744">
        <f>0.18</f>
        <v>0.18</v>
      </c>
      <c r="D9" s="744">
        <f>1-C9</f>
        <v>0.82000000000000006</v>
      </c>
      <c r="E9" s="744">
        <v>0.25</v>
      </c>
      <c r="F9" s="744">
        <v>0.25</v>
      </c>
      <c r="G9" s="744">
        <v>0.25</v>
      </c>
      <c r="H9" s="744">
        <v>0.25</v>
      </c>
      <c r="I9" s="744">
        <v>0.25</v>
      </c>
      <c r="J9" s="744">
        <v>0.25</v>
      </c>
      <c r="K9" s="744">
        <v>0.25</v>
      </c>
      <c r="L9" s="744">
        <v>0.25</v>
      </c>
      <c r="M9" s="744">
        <v>0.25</v>
      </c>
      <c r="N9" s="744">
        <v>0.25</v>
      </c>
      <c r="O9" s="744">
        <v>0.25</v>
      </c>
      <c r="P9" s="744">
        <v>0.25</v>
      </c>
      <c r="Q9" s="744">
        <v>0.25</v>
      </c>
      <c r="R9" s="744">
        <v>0.25</v>
      </c>
      <c r="S9" s="744">
        <v>0.25</v>
      </c>
      <c r="T9" s="744">
        <v>0.25</v>
      </c>
      <c r="U9" s="744">
        <v>0.25</v>
      </c>
    </row>
    <row r="10" spans="1:22" x14ac:dyDescent="0.25">
      <c r="A10" s="1194" t="s">
        <v>753</v>
      </c>
      <c r="B10" s="744">
        <v>0</v>
      </c>
      <c r="C10" s="744">
        <v>0.5</v>
      </c>
      <c r="D10" s="744">
        <v>0.5</v>
      </c>
      <c r="E10" s="744">
        <v>0.25</v>
      </c>
      <c r="F10" s="744">
        <v>0.25</v>
      </c>
      <c r="G10" s="744">
        <v>0.25</v>
      </c>
      <c r="H10" s="744">
        <v>0.25</v>
      </c>
      <c r="I10" s="744">
        <v>0.25</v>
      </c>
      <c r="J10" s="744">
        <v>0.25</v>
      </c>
      <c r="K10" s="744">
        <v>0.25</v>
      </c>
      <c r="L10" s="744">
        <v>0.25</v>
      </c>
      <c r="M10" s="744">
        <v>0.25</v>
      </c>
      <c r="N10" s="744">
        <v>0.25</v>
      </c>
      <c r="O10" s="744">
        <v>0.25</v>
      </c>
      <c r="P10" s="744">
        <v>0.25</v>
      </c>
      <c r="Q10" s="744">
        <v>0.25</v>
      </c>
      <c r="R10" s="744">
        <v>0.25</v>
      </c>
      <c r="S10" s="744">
        <v>0.25</v>
      </c>
      <c r="T10" s="744">
        <v>0.25</v>
      </c>
      <c r="U10" s="744">
        <v>0.25</v>
      </c>
    </row>
    <row r="11" spans="1:22" x14ac:dyDescent="0.25">
      <c r="A11" s="1194" t="s">
        <v>754</v>
      </c>
      <c r="B11" s="744">
        <v>0</v>
      </c>
      <c r="C11" s="744">
        <v>0.5</v>
      </c>
      <c r="D11" s="744">
        <v>0.5</v>
      </c>
      <c r="E11" s="744">
        <v>0.25</v>
      </c>
      <c r="F11" s="744">
        <v>0.25</v>
      </c>
      <c r="G11" s="744">
        <v>0.25</v>
      </c>
      <c r="H11" s="744">
        <v>0.25</v>
      </c>
      <c r="I11" s="744">
        <v>0.25</v>
      </c>
      <c r="J11" s="744">
        <v>0.25</v>
      </c>
      <c r="K11" s="744">
        <v>0.25</v>
      </c>
      <c r="L11" s="744">
        <v>0.25</v>
      </c>
      <c r="M11" s="744">
        <v>0.25</v>
      </c>
      <c r="N11" s="744">
        <v>0.25</v>
      </c>
      <c r="O11" s="744">
        <v>0.25</v>
      </c>
      <c r="P11" s="744">
        <v>0.25</v>
      </c>
      <c r="Q11" s="744">
        <v>0.25</v>
      </c>
      <c r="R11" s="744">
        <v>0.25</v>
      </c>
      <c r="S11" s="744">
        <v>0.25</v>
      </c>
      <c r="T11" s="744">
        <v>0.25</v>
      </c>
      <c r="U11" s="744">
        <v>0.25</v>
      </c>
    </row>
    <row r="12" spans="1:22" ht="14.25" customHeight="1" x14ac:dyDescent="0.25">
      <c r="A12" s="1194" t="s">
        <v>755</v>
      </c>
      <c r="B12" s="744">
        <v>1</v>
      </c>
      <c r="C12" s="744"/>
      <c r="D12" s="744"/>
      <c r="E12" s="744"/>
      <c r="F12" s="744"/>
      <c r="G12" s="744"/>
      <c r="H12" s="744"/>
      <c r="I12" s="744"/>
      <c r="J12" s="744"/>
      <c r="K12" s="744"/>
      <c r="L12" s="744"/>
      <c r="M12" s="744"/>
      <c r="N12" s="744"/>
      <c r="O12" s="744"/>
      <c r="P12" s="744"/>
      <c r="Q12" s="744"/>
      <c r="R12" s="744"/>
      <c r="S12" s="744"/>
      <c r="T12" s="744"/>
      <c r="U12" s="744"/>
    </row>
    <row r="13" spans="1:22" x14ac:dyDescent="0.25">
      <c r="A13" s="1194" t="s">
        <v>756</v>
      </c>
      <c r="B13" s="744">
        <v>0</v>
      </c>
      <c r="C13" s="744">
        <v>0.4</v>
      </c>
      <c r="D13" s="744">
        <v>0.6</v>
      </c>
      <c r="E13" s="744">
        <v>0.4</v>
      </c>
      <c r="F13" s="744">
        <v>0.3</v>
      </c>
      <c r="G13" s="744">
        <v>0.2</v>
      </c>
      <c r="H13" s="744">
        <v>0.1</v>
      </c>
      <c r="I13" s="744">
        <v>0.25</v>
      </c>
      <c r="J13" s="744">
        <v>0.25</v>
      </c>
      <c r="K13" s="744">
        <v>0.25</v>
      </c>
      <c r="L13" s="744">
        <v>0.25</v>
      </c>
      <c r="M13" s="744">
        <v>0.25</v>
      </c>
      <c r="N13" s="744">
        <v>0.25</v>
      </c>
      <c r="O13" s="744">
        <v>0.25</v>
      </c>
      <c r="P13" s="744">
        <v>0.25</v>
      </c>
      <c r="Q13" s="744">
        <v>0.25</v>
      </c>
      <c r="R13" s="744">
        <v>0.25</v>
      </c>
      <c r="S13" s="744">
        <v>0.25</v>
      </c>
      <c r="T13" s="744">
        <v>0.25</v>
      </c>
      <c r="U13" s="744">
        <v>0.25</v>
      </c>
    </row>
    <row r="14" spans="1:22" x14ac:dyDescent="0.25">
      <c r="A14" s="1194"/>
      <c r="B14" s="744"/>
      <c r="C14" s="744"/>
      <c r="D14" s="744"/>
      <c r="E14" s="744"/>
      <c r="F14" s="744"/>
      <c r="G14" s="744"/>
      <c r="H14" s="744"/>
      <c r="I14" s="744"/>
      <c r="J14" s="744"/>
      <c r="K14" s="744"/>
      <c r="L14" s="744"/>
      <c r="M14" s="744"/>
      <c r="N14" s="744"/>
      <c r="O14" s="744"/>
      <c r="P14" s="744"/>
      <c r="Q14" s="744"/>
      <c r="R14" s="744"/>
      <c r="S14" s="744"/>
      <c r="T14" s="744"/>
      <c r="U14" s="744"/>
    </row>
    <row r="15" spans="1:22" ht="27" customHeight="1" x14ac:dyDescent="0.25">
      <c r="A15" s="1195" t="s">
        <v>757</v>
      </c>
      <c r="B15" s="744">
        <v>1</v>
      </c>
      <c r="C15" s="744">
        <v>2</v>
      </c>
      <c r="D15" s="744">
        <v>3</v>
      </c>
      <c r="E15" s="744">
        <v>4</v>
      </c>
      <c r="F15" s="744">
        <v>5</v>
      </c>
      <c r="G15" s="744">
        <v>6</v>
      </c>
      <c r="H15" s="744">
        <v>7</v>
      </c>
      <c r="I15" s="744">
        <v>8</v>
      </c>
      <c r="J15" s="744">
        <v>9</v>
      </c>
      <c r="K15" s="744">
        <v>10</v>
      </c>
      <c r="L15" s="744">
        <v>11</v>
      </c>
      <c r="M15" s="744">
        <v>12</v>
      </c>
      <c r="N15" s="744">
        <v>13</v>
      </c>
      <c r="O15" s="744">
        <v>14</v>
      </c>
      <c r="P15" s="744">
        <v>15</v>
      </c>
      <c r="Q15" s="744">
        <v>16</v>
      </c>
      <c r="R15" s="744">
        <v>17</v>
      </c>
      <c r="S15" s="744">
        <v>18</v>
      </c>
      <c r="T15" s="744">
        <v>19</v>
      </c>
      <c r="U15" s="744">
        <v>20</v>
      </c>
    </row>
    <row r="16" spans="1:22" x14ac:dyDescent="0.25">
      <c r="A16" s="1194" t="s">
        <v>758</v>
      </c>
      <c r="B16" s="744">
        <v>7.0000000000000007E-2</v>
      </c>
      <c r="C16" s="744">
        <v>7.0000000000000007E-2</v>
      </c>
      <c r="D16" s="744">
        <v>4.9000000000000002E-2</v>
      </c>
      <c r="E16" s="744">
        <v>4.9000000000000002E-2</v>
      </c>
      <c r="F16" s="744">
        <v>4.9000000000000002E-2</v>
      </c>
      <c r="G16" s="744">
        <v>4.9000000000000002E-2</v>
      </c>
      <c r="H16" s="744">
        <v>4.9000000000000002E-2</v>
      </c>
      <c r="I16" s="744">
        <v>4.9000000000000002E-2</v>
      </c>
      <c r="J16" s="744">
        <v>4.9000000000000002E-2</v>
      </c>
      <c r="K16" s="744">
        <v>4.9000000000000002E-2</v>
      </c>
      <c r="L16" s="744">
        <v>4.9000000000000002E-2</v>
      </c>
      <c r="M16" s="744">
        <v>4.9000000000000002E-2</v>
      </c>
      <c r="N16" s="744">
        <f t="shared" ref="N16:T16" si="1">0.0475</f>
        <v>4.7500000000000001E-2</v>
      </c>
      <c r="O16" s="744">
        <f t="shared" si="1"/>
        <v>4.7500000000000001E-2</v>
      </c>
      <c r="P16" s="744">
        <f t="shared" si="1"/>
        <v>4.7500000000000001E-2</v>
      </c>
      <c r="Q16" s="744">
        <f t="shared" si="1"/>
        <v>4.7500000000000001E-2</v>
      </c>
      <c r="R16" s="744">
        <f t="shared" si="1"/>
        <v>4.7500000000000001E-2</v>
      </c>
      <c r="S16" s="744">
        <f t="shared" si="1"/>
        <v>4.7500000000000001E-2</v>
      </c>
      <c r="T16" s="744">
        <f t="shared" si="1"/>
        <v>4.7500000000000001E-2</v>
      </c>
      <c r="U16" s="744">
        <f>0.0375</f>
        <v>3.7499999999999999E-2</v>
      </c>
      <c r="V16" s="744">
        <f>SUM(B16:U16)</f>
        <v>0.99999999999999989</v>
      </c>
    </row>
    <row r="17" spans="1:23" ht="27" customHeight="1" x14ac:dyDescent="0.25">
      <c r="A17" s="1194" t="s">
        <v>759</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744">
        <f>SUM(B17:U17)</f>
        <v>0.94000000000000006</v>
      </c>
      <c r="W17" t="s">
        <v>760</v>
      </c>
    </row>
    <row r="19" spans="1:23" x14ac:dyDescent="0.25">
      <c r="B19" s="845" t="e">
        <f>'Federal and State Purchases'!#REF!</f>
        <v>#REF!</v>
      </c>
      <c r="C19" s="845" t="e">
        <f>'Federal and State Purchases'!#REF!</f>
        <v>#REF!</v>
      </c>
    </row>
  </sheetData>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X99"/>
  <sheetViews>
    <sheetView topLeftCell="B1" zoomScale="99" zoomScaleNormal="80" workbookViewId="0">
      <selection activeCell="K32" sqref="K32"/>
    </sheetView>
  </sheetViews>
  <sheetFormatPr defaultColWidth="10.85546875" defaultRowHeight="15" x14ac:dyDescent="0.25"/>
  <cols>
    <col min="1" max="1" width="15.42578125" customWidth="1"/>
    <col min="2" max="2" width="32.42578125" customWidth="1"/>
  </cols>
  <sheetData>
    <row r="1" spans="1:23" x14ac:dyDescent="0.25">
      <c r="A1" s="752" t="s">
        <v>761</v>
      </c>
      <c r="B1" s="752" t="s">
        <v>671</v>
      </c>
      <c r="C1" s="1198">
        <v>2021</v>
      </c>
      <c r="D1" s="1198">
        <f>C1</f>
        <v>2021</v>
      </c>
      <c r="E1" s="1198">
        <f>D1</f>
        <v>2021</v>
      </c>
      <c r="F1" s="1198">
        <v>2022</v>
      </c>
      <c r="G1" s="1198">
        <v>2022</v>
      </c>
      <c r="H1" s="1198">
        <v>2022</v>
      </c>
      <c r="I1" s="1198">
        <v>2022</v>
      </c>
      <c r="J1" s="1198">
        <v>2023</v>
      </c>
      <c r="K1" s="1198">
        <v>2023</v>
      </c>
      <c r="L1" s="1198">
        <v>2023</v>
      </c>
      <c r="M1" s="1198">
        <v>2023</v>
      </c>
      <c r="N1" s="1198">
        <v>2024</v>
      </c>
      <c r="O1" s="1198">
        <v>2024</v>
      </c>
      <c r="P1" s="1198">
        <v>2024</v>
      </c>
      <c r="Q1" s="1198">
        <v>2024</v>
      </c>
      <c r="R1" s="1198">
        <v>2025</v>
      </c>
      <c r="S1" s="1198">
        <v>2025</v>
      </c>
      <c r="T1" s="1198">
        <v>2025</v>
      </c>
      <c r="U1" s="1198">
        <v>2025</v>
      </c>
      <c r="V1" s="1198">
        <v>2026</v>
      </c>
    </row>
    <row r="2" spans="1:23" x14ac:dyDescent="0.25">
      <c r="B2" s="752" t="s">
        <v>762</v>
      </c>
      <c r="C2" s="622" t="s">
        <v>249</v>
      </c>
      <c r="D2" s="622" t="s">
        <v>250</v>
      </c>
      <c r="E2" s="622" t="s">
        <v>180</v>
      </c>
      <c r="F2" s="622" t="s">
        <v>181</v>
      </c>
      <c r="G2" s="622" t="s">
        <v>182</v>
      </c>
      <c r="H2" s="622" t="s">
        <v>183</v>
      </c>
      <c r="I2" s="622" t="s">
        <v>184</v>
      </c>
      <c r="J2" s="622" t="s">
        <v>185</v>
      </c>
      <c r="K2" s="622" t="s">
        <v>186</v>
      </c>
      <c r="L2" s="622" t="s">
        <v>187</v>
      </c>
      <c r="M2" s="622" t="s">
        <v>188</v>
      </c>
      <c r="N2" s="622" t="s">
        <v>189</v>
      </c>
      <c r="O2" s="622" t="s">
        <v>190</v>
      </c>
      <c r="P2" s="622" t="s">
        <v>191</v>
      </c>
      <c r="Q2" s="622" t="s">
        <v>175</v>
      </c>
      <c r="R2" s="622" t="s">
        <v>176</v>
      </c>
      <c r="S2" s="622" t="s">
        <v>177</v>
      </c>
      <c r="T2" s="622" t="s">
        <v>763</v>
      </c>
      <c r="U2" s="622" t="s">
        <v>764</v>
      </c>
      <c r="V2" s="622" t="s">
        <v>765</v>
      </c>
    </row>
    <row r="3" spans="1:23" x14ac:dyDescent="0.25">
      <c r="A3" s="752">
        <v>3</v>
      </c>
      <c r="B3" s="752" t="s">
        <v>526</v>
      </c>
      <c r="C3" s="1199">
        <f>4*'ARP Timing'!B6*VLOOKUP(C$1,'ARP Score'!$A$5:$M14,$A3)</f>
        <v>0</v>
      </c>
      <c r="D3" s="1199">
        <f>4*'ARP Timing'!C6*VLOOKUP(D$1,'ARP Score'!$A$5:$M14,$A3)</f>
        <v>336.60399999999998</v>
      </c>
      <c r="E3" s="1199">
        <f>4*'ARP Timing'!D6*VLOOKUP(E$1,'ARP Score'!$A$5:$M14,$A3)</f>
        <v>446.19599999999991</v>
      </c>
      <c r="F3" s="1199">
        <f>4*'ARP Timing'!E6*VLOOKUP(F$1,'ARP Score'!$A$5:$M14,$A3)</f>
        <v>10.1</v>
      </c>
      <c r="G3" s="1199">
        <f>4*'ARP Timing'!F6*VLOOKUP(G$1,'ARP Score'!$A$5:$M14,$A3)</f>
        <v>10.1</v>
      </c>
      <c r="H3" s="1199">
        <f>4*'ARP Timing'!G6*VLOOKUP(H$1,'ARP Score'!$A$5:$M14,$A3)</f>
        <v>10.1</v>
      </c>
      <c r="I3" s="1199">
        <f>4*'ARP Timing'!H6*VLOOKUP(I$1,'ARP Score'!$A$5:$M14,$A3)</f>
        <v>10.1</v>
      </c>
      <c r="J3" s="1199">
        <f>4*'ARP Timing'!I6*VLOOKUP(J$1,'ARP Score'!$A$5:$M14,$A3)</f>
        <v>0</v>
      </c>
      <c r="K3" s="1199">
        <f>4*'ARP Timing'!J6*VLOOKUP(K$1,'ARP Score'!$A$5:$M14,$A3)</f>
        <v>0</v>
      </c>
      <c r="L3" s="1199">
        <f>4*'ARP Timing'!K6*VLOOKUP(L$1,'ARP Score'!$A$5:$M14,$A3)</f>
        <v>0</v>
      </c>
      <c r="M3" s="1199">
        <f>4*'ARP Timing'!L6*VLOOKUP(M$1,'ARP Score'!$A$5:$M14,$A3)</f>
        <v>0</v>
      </c>
      <c r="N3" s="1199">
        <f>4*'ARP Timing'!M6*VLOOKUP(N$1,'ARP Score'!$A$5:$M14,$A3)</f>
        <v>0</v>
      </c>
      <c r="O3" s="1199">
        <f>4*'ARP Timing'!N6*VLOOKUP(O$1,'ARP Score'!$A$5:$M14,$A3)</f>
        <v>0</v>
      </c>
      <c r="P3" s="1199">
        <f>4*'ARP Timing'!O6*VLOOKUP(P$1,'ARP Score'!$A$5:$M14,$A3)</f>
        <v>0</v>
      </c>
      <c r="Q3" s="1199">
        <f>4*'ARP Timing'!P6*VLOOKUP(Q$1,'ARP Score'!$A$5:$M14,$A3)</f>
        <v>0</v>
      </c>
      <c r="R3" s="1199">
        <f>4*'ARP Timing'!Q6*VLOOKUP(R$1,'ARP Score'!$A$5:$M14,$A3)</f>
        <v>0</v>
      </c>
      <c r="S3" s="1199">
        <f>4*'ARP Timing'!R6*VLOOKUP(S$1,'ARP Score'!$A$5:$M14,$A3)</f>
        <v>0</v>
      </c>
      <c r="T3" s="1199">
        <f>4*'ARP Timing'!S6*VLOOKUP(T$1,'ARP Score'!$A$5:$M14,$A3)</f>
        <v>0</v>
      </c>
      <c r="U3" s="1199">
        <f>4*'ARP Timing'!T6*VLOOKUP(U$1,'ARP Score'!$A$5:$M14,$A3)</f>
        <v>0</v>
      </c>
      <c r="V3" s="1199">
        <f>4*'ARP Timing'!U6*VLOOKUP(V$1,'ARP Score'!$A$5:$M14,$A3)</f>
        <v>0</v>
      </c>
      <c r="W3" s="1199">
        <f>SUM(C3:U3)/4</f>
        <v>205.8</v>
      </c>
    </row>
    <row r="4" spans="1:23" x14ac:dyDescent="0.25">
      <c r="A4" s="752">
        <v>5</v>
      </c>
      <c r="B4" s="33" t="s">
        <v>673</v>
      </c>
      <c r="C4" s="1199">
        <f>4*'ARP Timing'!B7*VLOOKUP(C$1,'ARP Score'!$A$5:$M15,$A4)</f>
        <v>0</v>
      </c>
      <c r="D4" s="1199">
        <f>4*'ARP Timing'!C7*VLOOKUP(D$1,'ARP Score'!$A$5:$M15,$A4)</f>
        <v>0</v>
      </c>
      <c r="E4" s="1199">
        <f>4*'ARP Timing'!D7*VLOOKUP(E$1,'ARP Score'!$A$5:$M15,$A4)</f>
        <v>3.1040000000000418</v>
      </c>
      <c r="F4" s="1199">
        <f>4*'ARP Timing'!E7*VLOOKUP(F$1,'ARP Score'!$A$5:$M15,$A4)</f>
        <v>19.719000000000005</v>
      </c>
      <c r="G4" s="1199">
        <f>4*'ARP Timing'!F7*VLOOKUP(G$1,'ARP Score'!$A$5:$M15,$A4)</f>
        <v>19.719000000000005</v>
      </c>
      <c r="H4" s="1199">
        <f>4*'ARP Timing'!G7*VLOOKUP(H$1,'ARP Score'!$A$5:$M15,$A4)</f>
        <v>19.719000000000005</v>
      </c>
      <c r="I4" s="1199">
        <f>4*'ARP Timing'!H7*VLOOKUP(I$1,'ARP Score'!$A$5:$M15,$A4)</f>
        <v>19.719000000000005</v>
      </c>
      <c r="J4" s="1199">
        <f>4*'ARP Timing'!I7*VLOOKUP(J$1,'ARP Score'!$A$5:$M15,$A4)</f>
        <v>1.4159999999999999</v>
      </c>
      <c r="K4" s="1199">
        <f>4*'ARP Timing'!J7*VLOOKUP(K$1,'ARP Score'!$A$5:$M15,$A4)</f>
        <v>1.4159999999999999</v>
      </c>
      <c r="L4" s="1199">
        <f>4*'ARP Timing'!K7*VLOOKUP(L$1,'ARP Score'!$A$5:$M15,$A4)</f>
        <v>1.4159999999999999</v>
      </c>
      <c r="M4" s="1199">
        <f>4*'ARP Timing'!L7*VLOOKUP(M$1,'ARP Score'!$A$5:$M15,$A4)</f>
        <v>1.4159999999999999</v>
      </c>
      <c r="N4" s="1199">
        <f>4*'ARP Timing'!M7*VLOOKUP(N$1,'ARP Score'!$A$5:$M15,$A4)</f>
        <v>1.4790000000000001</v>
      </c>
      <c r="O4" s="1199">
        <f>4*'ARP Timing'!N7*VLOOKUP(O$1,'ARP Score'!$A$5:$M15,$A4)</f>
        <v>1.4790000000000001</v>
      </c>
      <c r="P4" s="1199">
        <f>4*'ARP Timing'!O7*VLOOKUP(P$1,'ARP Score'!$A$5:$M15,$A4)</f>
        <v>1.4790000000000001</v>
      </c>
      <c r="Q4" s="1199">
        <f>4*'ARP Timing'!P7*VLOOKUP(Q$1,'ARP Score'!$A$5:$M15,$A4)</f>
        <v>1.4790000000000001</v>
      </c>
      <c r="R4" s="1199">
        <f>4*'ARP Timing'!Q7*VLOOKUP(R$1,'ARP Score'!$A$5:$M15,$A4)</f>
        <v>1.63</v>
      </c>
      <c r="S4" s="1199">
        <f>4*'ARP Timing'!R7*VLOOKUP(S$1,'ARP Score'!$A$5:$M15,$A4)</f>
        <v>1.63</v>
      </c>
      <c r="T4" s="1199">
        <f>4*'ARP Timing'!S7*VLOOKUP(T$1,'ARP Score'!$A$5:$M15,$A4)</f>
        <v>1.63</v>
      </c>
      <c r="U4" s="1199">
        <f>4*'ARP Timing'!T7*VLOOKUP(U$1,'ARP Score'!$A$5:$M15,$A4)</f>
        <v>1.63</v>
      </c>
      <c r="V4" s="1199">
        <f>4*'ARP Timing'!U7*VLOOKUP(V$1,'ARP Score'!$A$5:$M15,$A4)</f>
        <v>1.671</v>
      </c>
      <c r="W4" s="1199">
        <f>SUM(C4:U4)/4</f>
        <v>25.020000000000007</v>
      </c>
    </row>
    <row r="5" spans="1:23" x14ac:dyDescent="0.25">
      <c r="A5" s="752">
        <v>6</v>
      </c>
      <c r="B5" s="33" t="s">
        <v>674</v>
      </c>
      <c r="C5" s="1199">
        <f>4*'ARP Timing'!B8*VLOOKUP(C$1,'ARP Score'!$A$5:$M16,$A5)</f>
        <v>0</v>
      </c>
      <c r="D5" s="1199">
        <f>4*'ARP Timing'!C8*VLOOKUP(D$1,'ARP Score'!$A$5:$M16,$A5)</f>
        <v>33.921840000000024</v>
      </c>
      <c r="E5" s="1199">
        <f>4*'ARP Timing'!D8*VLOOKUP(E$1,'ARP Score'!$A$5:$M16,$A5)</f>
        <v>44.966160000000031</v>
      </c>
      <c r="F5" s="1199">
        <f>4*'ARP Timing'!E8*VLOOKUP(F$1,'ARP Score'!$A$5:$M16,$A5)</f>
        <v>52.756999999999998</v>
      </c>
      <c r="G5" s="1199">
        <f>4*'ARP Timing'!F8*VLOOKUP(G$1,'ARP Score'!$A$5:$M16,$A5)</f>
        <v>52.756999999999998</v>
      </c>
      <c r="H5" s="1199">
        <f>4*'ARP Timing'!G8*VLOOKUP(H$1,'ARP Score'!$A$5:$M16,$A5)</f>
        <v>52.756999999999998</v>
      </c>
      <c r="I5" s="1199">
        <f>4*'ARP Timing'!H8*VLOOKUP(I$1,'ARP Score'!$A$5:$M16,$A5)</f>
        <v>52.756999999999998</v>
      </c>
      <c r="J5" s="1199">
        <f>4*'ARP Timing'!I8*VLOOKUP(J$1,'ARP Score'!$A$5:$M16,$A5)</f>
        <v>12</v>
      </c>
      <c r="K5" s="1199">
        <f>4*'ARP Timing'!J8*VLOOKUP(K$1,'ARP Score'!$A$5:$M16,$A5)</f>
        <v>12</v>
      </c>
      <c r="L5" s="1199">
        <f>4*'ARP Timing'!K8*VLOOKUP(L$1,'ARP Score'!$A$5:$M16,$A5)</f>
        <v>12</v>
      </c>
      <c r="M5" s="1199">
        <f>4*'ARP Timing'!L8*VLOOKUP(M$1,'ARP Score'!$A$5:$M16,$A5)</f>
        <v>12</v>
      </c>
      <c r="N5" s="1199">
        <f>4*'ARP Timing'!M8*VLOOKUP(N$1,'ARP Score'!$A$5:$M16,$A5)</f>
        <v>4.2219999999999995</v>
      </c>
      <c r="O5" s="1199">
        <f>4*'ARP Timing'!N8*VLOOKUP(O$1,'ARP Score'!$A$5:$M16,$A5)</f>
        <v>4.2219999999999995</v>
      </c>
      <c r="P5" s="1199">
        <f>4*'ARP Timing'!O8*VLOOKUP(P$1,'ARP Score'!$A$5:$M16,$A5)</f>
        <v>4.2219999999999995</v>
      </c>
      <c r="Q5" s="1199">
        <f>4*'ARP Timing'!P8*VLOOKUP(Q$1,'ARP Score'!$A$5:$M16,$A5)</f>
        <v>4.2219999999999995</v>
      </c>
      <c r="R5" s="1199">
        <f>4*'ARP Timing'!Q8*VLOOKUP(R$1,'ARP Score'!$A$5:$M16,$A5)</f>
        <v>2.3719999999999999</v>
      </c>
      <c r="S5" s="1199">
        <f>4*'ARP Timing'!R8*VLOOKUP(S$1,'ARP Score'!$A$5:$M16,$A5)</f>
        <v>2.3719999999999999</v>
      </c>
      <c r="T5" s="1199">
        <f>4*'ARP Timing'!S8*VLOOKUP(T$1,'ARP Score'!$A$5:$M16,$A5)</f>
        <v>2.3719999999999999</v>
      </c>
      <c r="U5" s="1199">
        <f>4*'ARP Timing'!T8*VLOOKUP(U$1,'ARP Score'!$A$5:$M16,$A5)</f>
        <v>2.3719999999999999</v>
      </c>
      <c r="V5" s="1199">
        <f>4*'ARP Timing'!U8*VLOOKUP(V$1,'ARP Score'!$A$5:$M16,$A5)</f>
        <v>0.49</v>
      </c>
      <c r="W5" s="1199">
        <f t="shared" ref="W5:W15" si="0">SUM(C5:U5)/4</f>
        <v>91.073000000000008</v>
      </c>
    </row>
    <row r="6" spans="1:23" x14ac:dyDescent="0.25">
      <c r="A6" s="752">
        <v>7</v>
      </c>
      <c r="B6" s="33" t="s">
        <v>766</v>
      </c>
      <c r="C6" s="1199">
        <f>4*'ARP Timing'!B9*VLOOKUP(C$1,'ARP Score'!$A$5:$M17,$A6)</f>
        <v>0</v>
      </c>
      <c r="D6" s="1199">
        <f>4*'ARP Timing'!C9*VLOOKUP(D$1,'ARP Score'!$A$5:$M17,$A6)</f>
        <v>58.782959999999989</v>
      </c>
      <c r="E6" s="1199">
        <f>4*'ARP Timing'!D9*VLOOKUP(E$1,'ARP Score'!$A$5:$M17,$A6)</f>
        <v>267.78904</v>
      </c>
      <c r="F6" s="1199">
        <f>4*'ARP Timing'!E9*VLOOKUP(F$1,'ARP Score'!$A$5:$M17,$A6)</f>
        <v>110.24799999999999</v>
      </c>
      <c r="G6" s="1199">
        <f>4*'ARP Timing'!F9*VLOOKUP(G$1,'ARP Score'!$A$5:$M17,$A6)</f>
        <v>110.24799999999999</v>
      </c>
      <c r="H6" s="1199">
        <f>4*'ARP Timing'!G9*VLOOKUP(H$1,'ARP Score'!$A$5:$M17,$A6)</f>
        <v>110.24799999999999</v>
      </c>
      <c r="I6" s="1199">
        <f>4*'ARP Timing'!H9*VLOOKUP(I$1,'ARP Score'!$A$5:$M17,$A6)</f>
        <v>110.24799999999999</v>
      </c>
      <c r="J6" s="1199">
        <f>4*'ARP Timing'!I9*VLOOKUP(J$1,'ARP Score'!$A$5:$M17,$A6)</f>
        <v>12.726000000000001</v>
      </c>
      <c r="K6" s="1199">
        <f>4*'ARP Timing'!J9*VLOOKUP(K$1,'ARP Score'!$A$5:$M17,$A6)</f>
        <v>12.726000000000001</v>
      </c>
      <c r="L6" s="1199">
        <f>4*'ARP Timing'!K9*VLOOKUP(L$1,'ARP Score'!$A$5:$M17,$A6)</f>
        <v>12.726000000000001</v>
      </c>
      <c r="M6" s="1199">
        <f>4*'ARP Timing'!L9*VLOOKUP(M$1,'ARP Score'!$A$5:$M17,$A6)</f>
        <v>12.726000000000001</v>
      </c>
      <c r="N6" s="1199">
        <f>4*'ARP Timing'!M9*VLOOKUP(N$1,'ARP Score'!$A$5:$M17,$A6)</f>
        <v>1.365</v>
      </c>
      <c r="O6" s="1199">
        <f>4*'ARP Timing'!N9*VLOOKUP(O$1,'ARP Score'!$A$5:$M17,$A6)</f>
        <v>1.365</v>
      </c>
      <c r="P6" s="1199">
        <f>4*'ARP Timing'!O9*VLOOKUP(P$1,'ARP Score'!$A$5:$M17,$A6)</f>
        <v>1.365</v>
      </c>
      <c r="Q6" s="1199">
        <f>4*'ARP Timing'!P9*VLOOKUP(Q$1,'ARP Score'!$A$5:$M17,$A6)</f>
        <v>1.365</v>
      </c>
      <c r="R6" s="1199">
        <f>4*'ARP Timing'!Q9*VLOOKUP(R$1,'ARP Score'!$A$5:$M17,$A6)</f>
        <v>-0.90100000000000025</v>
      </c>
      <c r="S6" s="1199">
        <f>4*'ARP Timing'!R9*VLOOKUP(S$1,'ARP Score'!$A$5:$M17,$A6)</f>
        <v>-0.90100000000000025</v>
      </c>
      <c r="T6" s="1199">
        <f>4*'ARP Timing'!S9*VLOOKUP(T$1,'ARP Score'!$A$5:$M17,$A6)</f>
        <v>-0.90100000000000025</v>
      </c>
      <c r="U6" s="1199">
        <f>4*'ARP Timing'!T9*VLOOKUP(U$1,'ARP Score'!$A$5:$M17,$A6)</f>
        <v>-0.90100000000000025</v>
      </c>
      <c r="V6" s="1199">
        <f>4*'ARP Timing'!U9*VLOOKUP(V$1,'ARP Score'!$A$5:$M17,$A6)</f>
        <v>-2.1500000000000004</v>
      </c>
      <c r="W6" s="1199">
        <f t="shared" si="0"/>
        <v>205.08100000000007</v>
      </c>
    </row>
    <row r="7" spans="1:23" x14ac:dyDescent="0.25">
      <c r="A7" s="752">
        <v>8</v>
      </c>
      <c r="B7" s="33" t="s">
        <v>131</v>
      </c>
      <c r="C7" s="1199">
        <f>4*'ARP Timing'!B10*VLOOKUP(C$1,'ARP Score'!$A$5:$M18,$A7)</f>
        <v>0</v>
      </c>
      <c r="D7" s="1199">
        <f>4*'ARP Timing'!C10*VLOOKUP(D$1,'ARP Score'!$A$5:$M18,$A7)</f>
        <v>15.596</v>
      </c>
      <c r="E7" s="1199">
        <f>4*'ARP Timing'!D10*VLOOKUP(E$1,'ARP Score'!$A$5:$M18,$A7)</f>
        <v>15.596</v>
      </c>
      <c r="F7" s="1199">
        <f>4*'ARP Timing'!E10*VLOOKUP(F$1,'ARP Score'!$A$5:$M18,$A7)</f>
        <v>7.9489999999999998</v>
      </c>
      <c r="G7" s="1199">
        <f>4*'ARP Timing'!F10*VLOOKUP(G$1,'ARP Score'!$A$5:$M18,$A7)</f>
        <v>7.9489999999999998</v>
      </c>
      <c r="H7" s="1199">
        <f>4*'ARP Timing'!G10*VLOOKUP(H$1,'ARP Score'!$A$5:$M18,$A7)</f>
        <v>7.9489999999999998</v>
      </c>
      <c r="I7" s="1199">
        <f>4*'ARP Timing'!H10*VLOOKUP(I$1,'ARP Score'!$A$5:$M18,$A7)</f>
        <v>7.9489999999999998</v>
      </c>
      <c r="J7" s="1199">
        <f>4*'ARP Timing'!I10*VLOOKUP(J$1,'ARP Score'!$A$5:$M18,$A7)</f>
        <v>4.7519999999999998</v>
      </c>
      <c r="K7" s="1199">
        <f>4*'ARP Timing'!J10*VLOOKUP(K$1,'ARP Score'!$A$5:$M18,$A7)</f>
        <v>4.7519999999999998</v>
      </c>
      <c r="L7" s="1199">
        <f>4*'ARP Timing'!K10*VLOOKUP(L$1,'ARP Score'!$A$5:$M18,$A7)</f>
        <v>4.7519999999999998</v>
      </c>
      <c r="M7" s="1199">
        <f>4*'ARP Timing'!L10*VLOOKUP(M$1,'ARP Score'!$A$5:$M18,$A7)</f>
        <v>4.7519999999999998</v>
      </c>
      <c r="N7" s="1199">
        <f>4*'ARP Timing'!M10*VLOOKUP(N$1,'ARP Score'!$A$5:$M18,$A7)</f>
        <v>4.637999999999999</v>
      </c>
      <c r="O7" s="1199">
        <f>4*'ARP Timing'!N10*VLOOKUP(O$1,'ARP Score'!$A$5:$M18,$A7)</f>
        <v>4.637999999999999</v>
      </c>
      <c r="P7" s="1199">
        <f>4*'ARP Timing'!O10*VLOOKUP(P$1,'ARP Score'!$A$5:$M18,$A7)</f>
        <v>4.637999999999999</v>
      </c>
      <c r="Q7" s="1199">
        <f>4*'ARP Timing'!P10*VLOOKUP(Q$1,'ARP Score'!$A$5:$M18,$A7)</f>
        <v>4.637999999999999</v>
      </c>
      <c r="R7" s="1199">
        <f>4*'ARP Timing'!Q10*VLOOKUP(R$1,'ARP Score'!$A$5:$M18,$A7)</f>
        <v>1.8800000000000001</v>
      </c>
      <c r="S7" s="1199">
        <f>4*'ARP Timing'!R10*VLOOKUP(S$1,'ARP Score'!$A$5:$M18,$A7)</f>
        <v>1.8800000000000001</v>
      </c>
      <c r="T7" s="1199">
        <f>4*'ARP Timing'!S10*VLOOKUP(T$1,'ARP Score'!$A$5:$M18,$A7)</f>
        <v>1.8800000000000001</v>
      </c>
      <c r="U7" s="1199">
        <f>4*'ARP Timing'!T10*VLOOKUP(U$1,'ARP Score'!$A$5:$M18,$A7)</f>
        <v>1.8800000000000001</v>
      </c>
      <c r="V7" s="1199">
        <f>4*'ARP Timing'!U10*VLOOKUP(V$1,'ARP Score'!$A$5:$M18,$A7)</f>
        <v>1.446</v>
      </c>
      <c r="W7" s="1199">
        <f t="shared" si="0"/>
        <v>27.016999999999996</v>
      </c>
    </row>
    <row r="8" spans="1:23" x14ac:dyDescent="0.25">
      <c r="A8" s="752">
        <v>9</v>
      </c>
      <c r="B8" s="1200" t="s">
        <v>347</v>
      </c>
      <c r="C8" s="1199">
        <f>4*'ARP Timing'!B$11*VLOOKUP(C$1,'ARP Score'!$A$5:$M19,$A8)</f>
        <v>0</v>
      </c>
      <c r="D8" s="1199">
        <f>0.6*SUM('ARP Score'!B5:B7)*4</f>
        <v>989.16719999999987</v>
      </c>
      <c r="E8" s="1198">
        <v>0</v>
      </c>
      <c r="F8" s="1199">
        <v>0</v>
      </c>
      <c r="G8" s="1199">
        <v>0</v>
      </c>
      <c r="H8" s="1199">
        <f>D8*0.4/0.6</f>
        <v>659.44479999999999</v>
      </c>
      <c r="I8" s="1199">
        <v>0</v>
      </c>
      <c r="J8" s="752">
        <v>0</v>
      </c>
      <c r="K8" s="1199">
        <v>0</v>
      </c>
      <c r="L8" s="1199">
        <v>0</v>
      </c>
      <c r="M8" s="1199">
        <v>0</v>
      </c>
      <c r="N8" s="1199">
        <v>0</v>
      </c>
      <c r="O8" s="1199">
        <v>0</v>
      </c>
      <c r="P8" s="1199">
        <v>0</v>
      </c>
      <c r="Q8" s="1199">
        <v>0</v>
      </c>
      <c r="R8" s="1199">
        <v>0</v>
      </c>
      <c r="S8" s="1199">
        <v>0</v>
      </c>
      <c r="T8" s="1199">
        <v>0</v>
      </c>
      <c r="U8" s="1199">
        <v>0</v>
      </c>
      <c r="V8" s="1199">
        <v>0</v>
      </c>
      <c r="W8" s="1199">
        <f t="shared" si="0"/>
        <v>412.15299999999996</v>
      </c>
    </row>
    <row r="9" spans="1:23" x14ac:dyDescent="0.25">
      <c r="A9" s="752">
        <v>10</v>
      </c>
      <c r="B9" s="1200" t="s">
        <v>150</v>
      </c>
      <c r="C9" s="1199">
        <f>4*'ARP Timing'!B$11*VLOOKUP(C$1,'ARP Score'!$A$5:$M20,$A9)</f>
        <v>0</v>
      </c>
      <c r="D9" s="1199">
        <f>4*'ARP Timing'!C$11*VLOOKUP(D$1,'ARP Score'!$A$5:$M20,$A9)</f>
        <v>24.693999999999999</v>
      </c>
      <c r="E9" s="1199">
        <f>4*'ARP Timing'!D$11*VLOOKUP(E$1,'ARP Score'!$A$5:$M20,$A9)</f>
        <v>24.693999999999999</v>
      </c>
      <c r="F9" s="1199">
        <f>4*'ARP Timing'!E$11*VLOOKUP(F$1,'ARP Score'!$A$5:$M20,$A9)</f>
        <v>46.79</v>
      </c>
      <c r="G9" s="1199">
        <f>4*'ARP Timing'!F$11*VLOOKUP(G$1,'ARP Score'!$A$5:$M20,$A9)</f>
        <v>46.79</v>
      </c>
      <c r="H9" s="1199">
        <f>4*'ARP Timing'!G$11*VLOOKUP(H$1,'ARP Score'!$A$5:$M20,$A9)</f>
        <v>46.79</v>
      </c>
      <c r="I9" s="1199">
        <f>4*'ARP Timing'!H$11*VLOOKUP(I$1,'ARP Score'!$A$5:$M20,$A9)</f>
        <v>46.79</v>
      </c>
      <c r="J9" s="1199">
        <f>4*'ARP Timing'!I$11*VLOOKUP(J$1,'ARP Score'!$A$5:$M20,$A9)</f>
        <v>38.595999999999997</v>
      </c>
      <c r="K9" s="1199">
        <f>4*'ARP Timing'!J$11*VLOOKUP(K$1,'ARP Score'!$A$5:$M20,$A9)</f>
        <v>38.595999999999997</v>
      </c>
      <c r="L9" s="1199">
        <f>4*'ARP Timing'!K$11*VLOOKUP(L$1,'ARP Score'!$A$5:$M20,$A9)</f>
        <v>38.595999999999997</v>
      </c>
      <c r="M9" s="1199">
        <f>4*'ARP Timing'!L$11*VLOOKUP(M$1,'ARP Score'!$A$5:$M20,$A9)</f>
        <v>38.595999999999997</v>
      </c>
      <c r="N9" s="1199">
        <f>4*'ARP Timing'!M$11*VLOOKUP(N$1,'ARP Score'!$A$5:$M20,$A9)</f>
        <v>31.911000000000001</v>
      </c>
      <c r="O9" s="1199">
        <f>4*'ARP Timing'!N$11*VLOOKUP(O$1,'ARP Score'!$A$5:$M20,$A9)</f>
        <v>31.911000000000001</v>
      </c>
      <c r="P9" s="1199">
        <f>4*'ARP Timing'!O$11*VLOOKUP(P$1,'ARP Score'!$A$5:$M20,$A9)</f>
        <v>31.911000000000001</v>
      </c>
      <c r="Q9" s="1199">
        <f>4*'ARP Timing'!P$11*VLOOKUP(Q$1,'ARP Score'!$A$5:$M20,$A9)</f>
        <v>31.911000000000001</v>
      </c>
      <c r="R9" s="1199">
        <f>4*'ARP Timing'!Q$11*VLOOKUP(R$1,'ARP Score'!$A$5:$M20,$A9)</f>
        <v>23.099</v>
      </c>
      <c r="S9" s="1199">
        <f>4*'ARP Timing'!R$11*VLOOKUP(S$1,'ARP Score'!$A$5:$M20,$A9)</f>
        <v>23.099</v>
      </c>
      <c r="T9" s="1199">
        <f>4*'ARP Timing'!S$11*VLOOKUP(T$1,'ARP Score'!$A$5:$M20,$A9)</f>
        <v>23.099</v>
      </c>
      <c r="U9" s="1199">
        <f>4*'ARP Timing'!T$11*VLOOKUP(U$1,'ARP Score'!$A$5:$M20,$A9)</f>
        <v>23.099</v>
      </c>
      <c r="V9" s="1199">
        <f>4*'ARP Timing'!U$11*VLOOKUP(V$1,'ARP Score'!$A$5:$M20,$A9)</f>
        <v>10.766999999999999</v>
      </c>
      <c r="W9" s="1199">
        <f t="shared" si="0"/>
        <v>152.74300000000005</v>
      </c>
    </row>
    <row r="10" spans="1:23" x14ac:dyDescent="0.25">
      <c r="A10" s="1204">
        <v>11</v>
      </c>
      <c r="B10" s="1200" t="s">
        <v>363</v>
      </c>
      <c r="C10" s="1199">
        <f>4*'ARP Timing'!B$11*VLOOKUP(C$1,'ARP Score'!$A$5:$M22,$A10)</f>
        <v>0</v>
      </c>
      <c r="D10" s="1199">
        <f>4*'ARP Timing'!C$11*VLOOKUP(D$1,'ARP Score'!$A$5:$M22,$A10)</f>
        <v>59.256</v>
      </c>
      <c r="E10" s="1199">
        <f>4*'ARP Timing'!D$11*VLOOKUP(E$1,'ARP Score'!$A$5:$M22,$A10)</f>
        <v>59.256</v>
      </c>
      <c r="F10" s="1199">
        <f>4*'ARP Timing'!E$11*VLOOKUP(F$1,'ARP Score'!$A$5:$M22,$A10)</f>
        <v>35.671000000000006</v>
      </c>
      <c r="G10" s="1199">
        <f>4*'ARP Timing'!F$11*VLOOKUP(G$1,'ARP Score'!$A$5:$M22,$A10)</f>
        <v>35.671000000000006</v>
      </c>
      <c r="H10" s="1199">
        <f>4*'ARP Timing'!G$11*VLOOKUP(H$1,'ARP Score'!$A$5:$M22,$A10)</f>
        <v>35.671000000000006</v>
      </c>
      <c r="I10" s="1199">
        <f>4*'ARP Timing'!H$11*VLOOKUP(I$1,'ARP Score'!$A$5:$M22,$A10)</f>
        <v>35.671000000000006</v>
      </c>
      <c r="J10" s="1199">
        <f>4*'ARP Timing'!I$11*VLOOKUP(J$1,'ARP Score'!$A$5:$M22,$A10)</f>
        <v>24.216000000000001</v>
      </c>
      <c r="K10" s="1199">
        <f>4*'ARP Timing'!J$11*VLOOKUP(K$1,'ARP Score'!$A$5:$M22,$A10)</f>
        <v>24.216000000000001</v>
      </c>
      <c r="L10" s="1199">
        <f>4*'ARP Timing'!K$11*VLOOKUP(L$1,'ARP Score'!$A$5:$M22,$A10)</f>
        <v>24.216000000000001</v>
      </c>
      <c r="M10" s="1199">
        <f>4*'ARP Timing'!L$11*VLOOKUP(M$1,'ARP Score'!$A$5:$M22,$A10)</f>
        <v>24.216000000000001</v>
      </c>
      <c r="N10" s="1199">
        <f>4*'ARP Timing'!M$11*VLOOKUP(N$1,'ARP Score'!$A$5:$M22,$A10)</f>
        <v>9.6430000000000007</v>
      </c>
      <c r="O10" s="1199">
        <f>4*'ARP Timing'!N$11*VLOOKUP(O$1,'ARP Score'!$A$5:$M22,$A10)</f>
        <v>9.6430000000000007</v>
      </c>
      <c r="P10" s="1199">
        <f>4*'ARP Timing'!O$11*VLOOKUP(P$1,'ARP Score'!$A$5:$M22,$A10)</f>
        <v>9.6430000000000007</v>
      </c>
      <c r="Q10" s="1199">
        <f>4*'ARP Timing'!P$11*VLOOKUP(Q$1,'ARP Score'!$A$5:$M22,$A10)</f>
        <v>9.6430000000000007</v>
      </c>
      <c r="R10" s="1199">
        <f>4*'ARP Timing'!Q$11*VLOOKUP(R$1,'ARP Score'!$A$5:$M22,$A10)</f>
        <v>4.5789999999999997</v>
      </c>
      <c r="S10" s="1199">
        <f>4*'ARP Timing'!R$11*VLOOKUP(S$1,'ARP Score'!$A$5:$M22,$A10)</f>
        <v>4.5789999999999997</v>
      </c>
      <c r="T10" s="1199">
        <f>4*'ARP Timing'!S$11*VLOOKUP(T$1,'ARP Score'!$A$5:$M22,$A10)</f>
        <v>4.5789999999999997</v>
      </c>
      <c r="U10" s="1199">
        <f>4*'ARP Timing'!T$11*VLOOKUP(U$1,'ARP Score'!$A$5:$M22,$A10)</f>
        <v>4.5789999999999997</v>
      </c>
      <c r="V10" s="1199">
        <f>4*'ARP Timing'!U$11*VLOOKUP(V$1,'ARP Score'!$A$5:$M22,$A10)</f>
        <v>2.9130000000000003</v>
      </c>
      <c r="W10" s="1199">
        <f t="shared" si="0"/>
        <v>103.73700000000002</v>
      </c>
    </row>
    <row r="11" spans="1:23" x14ac:dyDescent="0.25">
      <c r="A11" s="752">
        <v>12</v>
      </c>
      <c r="B11" s="14" t="s">
        <v>159</v>
      </c>
      <c r="C11" s="1199">
        <f>4*'ARP Timing'!B12*VLOOKUP(C$1,'ARP Score'!$A$5:$M20,$A11)</f>
        <v>103</v>
      </c>
      <c r="D11" s="1199">
        <f>4*'ARP Timing'!C12*VLOOKUP(D$1,'ARP Score'!$A$5:$M20,$A11)</f>
        <v>0</v>
      </c>
      <c r="E11" s="1199">
        <f>4*'ARP Timing'!D12*VLOOKUP(E$1,'ARP Score'!$A$5:$M20,$A11)</f>
        <v>0</v>
      </c>
      <c r="F11" s="1199">
        <f>4*'ARP Timing'!E12*VLOOKUP(F$1,'ARP Score'!$A$5:$M20,$A11)</f>
        <v>0</v>
      </c>
      <c r="G11" s="1199">
        <f>4*'ARP Timing'!F12*VLOOKUP(G$1,'ARP Score'!$A$5:$M20,$A11)</f>
        <v>0</v>
      </c>
      <c r="H11" s="1199">
        <f>4*'ARP Timing'!G12*VLOOKUP(H$1,'ARP Score'!$A$5:$M20,$A11)</f>
        <v>0</v>
      </c>
      <c r="I11" s="1199">
        <f>4*'ARP Timing'!H12*VLOOKUP(I$1,'ARP Score'!$A$5:$M20,$A11)</f>
        <v>0</v>
      </c>
      <c r="J11" s="1199">
        <f>4*'ARP Timing'!I12*VLOOKUP(J$1,'ARP Score'!$A$5:$M20,$A11)</f>
        <v>0</v>
      </c>
      <c r="K11" s="1199">
        <f>4*'ARP Timing'!J12*VLOOKUP(K$1,'ARP Score'!$A$5:$M20,$A11)</f>
        <v>0</v>
      </c>
      <c r="L11" s="1199">
        <f>4*'ARP Timing'!K12*VLOOKUP(L$1,'ARP Score'!$A$5:$M20,$A11)</f>
        <v>0</v>
      </c>
      <c r="M11" s="1199">
        <f>4*'ARP Timing'!L12*VLOOKUP(M$1,'ARP Score'!$A$5:$M20,$A11)</f>
        <v>0</v>
      </c>
      <c r="N11" s="1199">
        <f>4*'ARP Timing'!M12*VLOOKUP(N$1,'ARP Score'!$A$5:$M20,$A11)</f>
        <v>0</v>
      </c>
      <c r="O11" s="1199">
        <f>4*'ARP Timing'!N12*VLOOKUP(O$1,'ARP Score'!$A$5:$M20,$A11)</f>
        <v>0</v>
      </c>
      <c r="P11" s="1199">
        <f>4*'ARP Timing'!O12*VLOOKUP(P$1,'ARP Score'!$A$5:$M20,$A11)</f>
        <v>0</v>
      </c>
      <c r="Q11" s="1199">
        <f>4*'ARP Timing'!P12*VLOOKUP(Q$1,'ARP Score'!$A$5:$M20,$A11)</f>
        <v>0</v>
      </c>
      <c r="R11" s="1199">
        <f>4*'ARP Timing'!Q12*VLOOKUP(R$1,'ARP Score'!$A$5:$M20,$A11)</f>
        <v>0</v>
      </c>
      <c r="S11" s="1199">
        <f>4*'ARP Timing'!R12*VLOOKUP(S$1,'ARP Score'!$A$5:$M20,$A11)</f>
        <v>0</v>
      </c>
      <c r="T11" s="1199">
        <f>4*'ARP Timing'!S12*VLOOKUP(T$1,'ARP Score'!$A$5:$M20,$A11)</f>
        <v>0</v>
      </c>
      <c r="U11" s="1199">
        <f>4*'ARP Timing'!T12*VLOOKUP(U$1,'ARP Score'!$A$5:$M20,$A11)</f>
        <v>0</v>
      </c>
      <c r="V11" s="1199">
        <f>4*'ARP Timing'!U12*VLOOKUP(V$1,'ARP Score'!$A$5:$M20,$A11)</f>
        <v>0</v>
      </c>
      <c r="W11" s="1199">
        <f t="shared" si="0"/>
        <v>25.75</v>
      </c>
    </row>
    <row r="12" spans="1:23" x14ac:dyDescent="0.25">
      <c r="A12" s="752">
        <v>13</v>
      </c>
      <c r="B12" s="33" t="s">
        <v>109</v>
      </c>
      <c r="C12" s="1199">
        <f>4*'ARP Timing'!B13*VLOOKUP(C$1,'ARP Score'!$A$5:$M21,$A12)</f>
        <v>0</v>
      </c>
      <c r="D12" s="1199">
        <f>4*'ARP Timing'!C13*VLOOKUP(D$1,'ARP Score'!$A$5:$M21,$A12)</f>
        <v>51.102400000000003</v>
      </c>
      <c r="E12" s="1199">
        <f>4*'ARP Timing'!D13*VLOOKUP(E$1,'ARP Score'!$A$5:$M21,$A12)</f>
        <v>76.653599999999997</v>
      </c>
      <c r="F12" s="1199">
        <f>4*'ARP Timing'!E13*VLOOKUP(F$1,'ARP Score'!$A$5:$M21,$A12)</f>
        <v>90.260800000000003</v>
      </c>
      <c r="G12" s="1199">
        <f>4*'ARP Timing'!F13*VLOOKUP(G$1,'ARP Score'!$A$5:$M21,$A12)</f>
        <v>67.695599999999999</v>
      </c>
      <c r="H12" s="1199">
        <f>4*'ARP Timing'!G13*VLOOKUP(H$1,'ARP Score'!$A$5:$M21,$A12)</f>
        <v>45.130400000000002</v>
      </c>
      <c r="I12" s="1199">
        <f>4*'ARP Timing'!H13*VLOOKUP(I$1,'ARP Score'!$A$5:$M21,$A12)</f>
        <v>22.565200000000001</v>
      </c>
      <c r="J12" s="1199">
        <f>4*'ARP Timing'!I13*VLOOKUP(J$1,'ARP Score'!$A$5:$M21,$A12)</f>
        <v>15.652999999999999</v>
      </c>
      <c r="K12" s="1199">
        <f>4*'ARP Timing'!J13*VLOOKUP(K$1,'ARP Score'!$A$5:$M21,$A12)</f>
        <v>15.652999999999999</v>
      </c>
      <c r="L12" s="1199">
        <f>4*'ARP Timing'!K13*VLOOKUP(L$1,'ARP Score'!$A$5:$M21,$A12)</f>
        <v>15.652999999999999</v>
      </c>
      <c r="M12" s="1199">
        <f>4*'ARP Timing'!L13*VLOOKUP(M$1,'ARP Score'!$A$5:$M21,$A12)</f>
        <v>15.652999999999999</v>
      </c>
      <c r="N12" s="1199">
        <f>4*'ARP Timing'!M13*VLOOKUP(N$1,'ARP Score'!$A$5:$M21,$A12)</f>
        <v>3.9320000000000004</v>
      </c>
      <c r="O12" s="1199">
        <f>4*'ARP Timing'!N13*VLOOKUP(O$1,'ARP Score'!$A$5:$M21,$A12)</f>
        <v>3.9320000000000004</v>
      </c>
      <c r="P12" s="1199">
        <f>4*'ARP Timing'!O13*VLOOKUP(P$1,'ARP Score'!$A$5:$M21,$A12)</f>
        <v>3.9320000000000004</v>
      </c>
      <c r="Q12" s="1199">
        <f>4*'ARP Timing'!P13*VLOOKUP(Q$1,'ARP Score'!$A$5:$M21,$A12)</f>
        <v>3.9320000000000004</v>
      </c>
      <c r="R12" s="1199">
        <f>4*'ARP Timing'!Q13*VLOOKUP(R$1,'ARP Score'!$A$5:$M21,$A12)</f>
        <v>-0.74299999999999988</v>
      </c>
      <c r="S12" s="1199">
        <f>4*'ARP Timing'!R13*VLOOKUP(S$1,'ARP Score'!$A$5:$M21,$A12)</f>
        <v>-0.74299999999999988</v>
      </c>
      <c r="T12" s="1199">
        <f>4*'ARP Timing'!S13*VLOOKUP(T$1,'ARP Score'!$A$5:$M21,$A12)</f>
        <v>-0.74299999999999988</v>
      </c>
      <c r="U12" s="1199">
        <f>4*'ARP Timing'!T13*VLOOKUP(U$1,'ARP Score'!$A$5:$M21,$A12)</f>
        <v>-0.74299999999999988</v>
      </c>
      <c r="V12" s="1199">
        <f>4*'ARP Timing'!U13*VLOOKUP(V$1,'ARP Score'!$A$5:$M21,$A12)</f>
        <v>-21.606000000000002</v>
      </c>
      <c r="W12" s="1199">
        <f t="shared" si="0"/>
        <v>107.19400000000005</v>
      </c>
    </row>
    <row r="13" spans="1:23" x14ac:dyDescent="0.25">
      <c r="A13" s="752">
        <v>15</v>
      </c>
      <c r="B13" s="752" t="s">
        <v>767</v>
      </c>
      <c r="C13" s="1199">
        <f>0.3*'ARP Score'!$N5*4*'ARP Timing'!B6</f>
        <v>0</v>
      </c>
      <c r="D13" s="1199">
        <f>0.3*'ARP Score'!$N5*4*'ARP Timing'!C6</f>
        <v>1.7544</v>
      </c>
      <c r="E13" s="1199">
        <f>0.3*'ARP Score'!$N5*4*'ARP Timing'!D6</f>
        <v>2.3255999999999997</v>
      </c>
      <c r="F13" s="1199">
        <f>0.3*'ARP Score'!$N6*4*'ARP Timing'!E6</f>
        <v>1.5299999999999998</v>
      </c>
      <c r="G13" s="1199">
        <f>0.3*'ARP Score'!$N6*4*'ARP Timing'!F6</f>
        <v>1.5299999999999998</v>
      </c>
      <c r="H13" s="1199">
        <f>0.3*'ARP Score'!$N6*4*'ARP Timing'!G6</f>
        <v>1.5299999999999998</v>
      </c>
      <c r="I13" s="1199">
        <f>0.3*'ARP Score'!$N6*4*'ARP Timing'!H6</f>
        <v>1.5299999999999998</v>
      </c>
      <c r="J13" s="1199">
        <f>0.3*'ARP Score'!$N7*4*'ARP Timing'!I6</f>
        <v>0</v>
      </c>
      <c r="K13" s="1199">
        <f>0.3*'ARP Score'!$N7*4*'ARP Timing'!J6</f>
        <v>0</v>
      </c>
      <c r="L13" s="1199">
        <f>0.3*'ARP Score'!$N7*4*'ARP Timing'!K6</f>
        <v>0</v>
      </c>
      <c r="M13" s="1199">
        <f>0.3*'ARP Score'!$N7*4*'ARP Timing'!L6</f>
        <v>0</v>
      </c>
      <c r="N13" s="1199">
        <f>0.3*'ARP Score'!$N7*4*'ARP Timing'!M6</f>
        <v>0</v>
      </c>
      <c r="O13" s="1199">
        <f>0.3*'ARP Score'!$N7*4*'ARP Timing'!N6</f>
        <v>0</v>
      </c>
      <c r="P13" s="1199">
        <f>0.3*'ARP Score'!$N7*4*'ARP Timing'!O6</f>
        <v>0</v>
      </c>
      <c r="Q13" s="1199">
        <f>0.3*'ARP Score'!$N7*4*'ARP Timing'!P6</f>
        <v>0</v>
      </c>
      <c r="R13" s="1199">
        <f>0.3*'ARP Score'!$N7*4*'ARP Timing'!Q6</f>
        <v>0</v>
      </c>
      <c r="S13" s="1199">
        <f>0.3*'ARP Score'!$N7*4*'ARP Timing'!R6</f>
        <v>0</v>
      </c>
      <c r="T13" s="1199">
        <f>0.3*'ARP Score'!$N7*4*'ARP Timing'!S6</f>
        <v>0</v>
      </c>
      <c r="U13" s="1199">
        <f>0.3*'ARP Score'!$N7*4*'ARP Timing'!T6</f>
        <v>0</v>
      </c>
      <c r="V13" s="1199">
        <f>0.3*'ARP Score'!$N7*4*'ARP Timing'!U6</f>
        <v>0</v>
      </c>
      <c r="W13" s="1199">
        <f t="shared" si="0"/>
        <v>2.5499999999999994</v>
      </c>
    </row>
    <row r="14" spans="1:23" x14ac:dyDescent="0.25">
      <c r="A14" s="752">
        <v>14</v>
      </c>
      <c r="B14" s="752" t="s">
        <v>768</v>
      </c>
      <c r="C14" s="1199">
        <f>C13/0.3*0.2</f>
        <v>0</v>
      </c>
      <c r="D14" s="1199">
        <f t="shared" ref="D14:F14" si="1">D13/0.3*0.2</f>
        <v>1.1696</v>
      </c>
      <c r="E14" s="1199">
        <f t="shared" si="1"/>
        <v>1.5503999999999998</v>
      </c>
      <c r="F14" s="1199">
        <f t="shared" si="1"/>
        <v>1.02</v>
      </c>
      <c r="G14" s="1199">
        <f t="shared" ref="G14" si="2">G13/0.3*0.2</f>
        <v>1.02</v>
      </c>
      <c r="H14" s="1199">
        <f t="shared" ref="H14" si="3">H13/0.3*0.2</f>
        <v>1.02</v>
      </c>
      <c r="I14" s="1199">
        <f t="shared" ref="I14" si="4">I13/0.3*0.2</f>
        <v>1.02</v>
      </c>
      <c r="J14" s="1199">
        <f t="shared" ref="J14" si="5">J13/0.3*0.2</f>
        <v>0</v>
      </c>
      <c r="K14" s="1199">
        <f t="shared" ref="K14" si="6">K13/0.3*0.2</f>
        <v>0</v>
      </c>
      <c r="L14" s="1199">
        <f t="shared" ref="L14" si="7">L13/0.3*0.2</f>
        <v>0</v>
      </c>
      <c r="M14" s="1199">
        <f t="shared" ref="M14" si="8">M13/0.3*0.2</f>
        <v>0</v>
      </c>
      <c r="N14" s="1199">
        <f t="shared" ref="N14" si="9">N13/0.3*0.2</f>
        <v>0</v>
      </c>
      <c r="O14" s="1199">
        <f t="shared" ref="O14" si="10">O13/0.3*0.2</f>
        <v>0</v>
      </c>
      <c r="P14" s="1199">
        <f t="shared" ref="P14" si="11">P13/0.3*0.2</f>
        <v>0</v>
      </c>
      <c r="Q14" s="1199">
        <f t="shared" ref="Q14" si="12">Q13/0.3*0.2</f>
        <v>0</v>
      </c>
      <c r="R14" s="1199">
        <f t="shared" ref="R14" si="13">R13/0.3*0.2</f>
        <v>0</v>
      </c>
      <c r="S14" s="1199">
        <f t="shared" ref="S14" si="14">S13/0.3*0.2</f>
        <v>0</v>
      </c>
      <c r="T14" s="1199">
        <f t="shared" ref="T14" si="15">T13/0.3*0.2</f>
        <v>0</v>
      </c>
      <c r="U14" s="1199">
        <f t="shared" ref="U14" si="16">U13/0.3*0.2</f>
        <v>0</v>
      </c>
      <c r="V14" s="1199">
        <f t="shared" ref="V14" si="17">V13/0.3*0.2</f>
        <v>0</v>
      </c>
      <c r="W14" s="1199">
        <f t="shared" si="0"/>
        <v>1.6999999999999997</v>
      </c>
    </row>
    <row r="15" spans="1:23" x14ac:dyDescent="0.25">
      <c r="A15" s="752">
        <v>14</v>
      </c>
      <c r="B15" s="752" t="s">
        <v>469</v>
      </c>
      <c r="C15" s="1199">
        <f>C14/0.2*0.5</f>
        <v>0</v>
      </c>
      <c r="D15" s="1199">
        <f t="shared" ref="D15:F15" si="18">D14/0.2*0.5</f>
        <v>2.9239999999999999</v>
      </c>
      <c r="E15" s="1199">
        <f t="shared" si="18"/>
        <v>3.8759999999999994</v>
      </c>
      <c r="F15" s="1199">
        <f t="shared" si="18"/>
        <v>2.5499999999999998</v>
      </c>
      <c r="G15" s="1199">
        <f t="shared" ref="G15" si="19">G14/0.2*0.5</f>
        <v>2.5499999999999998</v>
      </c>
      <c r="H15" s="1199">
        <f t="shared" ref="H15" si="20">H14/0.2*0.5</f>
        <v>2.5499999999999998</v>
      </c>
      <c r="I15" s="1199">
        <f t="shared" ref="I15" si="21">I14/0.2*0.5</f>
        <v>2.5499999999999998</v>
      </c>
      <c r="J15" s="1199">
        <f t="shared" ref="J15" si="22">J14/0.2*0.5</f>
        <v>0</v>
      </c>
      <c r="K15" s="1199">
        <f t="shared" ref="K15" si="23">K14/0.2*0.5</f>
        <v>0</v>
      </c>
      <c r="L15" s="1199">
        <f t="shared" ref="L15" si="24">L14/0.2*0.5</f>
        <v>0</v>
      </c>
      <c r="M15" s="1199">
        <f t="shared" ref="M15" si="25">M14/0.2*0.5</f>
        <v>0</v>
      </c>
      <c r="N15" s="1199">
        <f t="shared" ref="N15" si="26">N14/0.2*0.5</f>
        <v>0</v>
      </c>
      <c r="O15" s="1199">
        <f t="shared" ref="O15" si="27">O14/0.2*0.5</f>
        <v>0</v>
      </c>
      <c r="P15" s="1199">
        <f t="shared" ref="P15" si="28">P14/0.2*0.5</f>
        <v>0</v>
      </c>
      <c r="Q15" s="1199">
        <f t="shared" ref="Q15" si="29">Q14/0.2*0.5</f>
        <v>0</v>
      </c>
      <c r="R15" s="1199">
        <f t="shared" ref="R15" si="30">R14/0.2*0.5</f>
        <v>0</v>
      </c>
      <c r="S15" s="1199">
        <f t="shared" ref="S15" si="31">S14/0.2*0.5</f>
        <v>0</v>
      </c>
      <c r="T15" s="1199">
        <f t="shared" ref="T15" si="32">T14/0.2*0.5</f>
        <v>0</v>
      </c>
      <c r="U15" s="1199">
        <f t="shared" ref="U15" si="33">U14/0.2*0.5</f>
        <v>0</v>
      </c>
      <c r="V15" s="1199">
        <f t="shared" ref="V15" si="34">V14/0.2*0.5</f>
        <v>0</v>
      </c>
      <c r="W15" s="1199">
        <f t="shared" si="0"/>
        <v>4.25</v>
      </c>
    </row>
    <row r="16" spans="1:23" x14ac:dyDescent="0.25">
      <c r="C16" s="1199"/>
      <c r="D16" s="1199"/>
      <c r="E16" s="1199"/>
      <c r="F16" s="1199"/>
      <c r="G16" s="1199"/>
      <c r="H16" s="1199"/>
      <c r="I16" s="1199"/>
      <c r="J16" s="1199"/>
      <c r="K16" s="1199"/>
      <c r="L16" s="1199"/>
      <c r="M16" s="1199"/>
      <c r="N16" s="1199"/>
      <c r="O16" s="1199"/>
      <c r="P16" s="1199"/>
      <c r="Q16" s="1199"/>
      <c r="R16" s="1199"/>
      <c r="S16" s="1199"/>
      <c r="T16" s="1199"/>
      <c r="U16" s="1199"/>
      <c r="V16" s="1199"/>
      <c r="W16" s="1199"/>
    </row>
    <row r="17" spans="1:23" x14ac:dyDescent="0.25">
      <c r="A17" s="752" t="s">
        <v>769</v>
      </c>
      <c r="C17" s="1199"/>
      <c r="D17" s="1199"/>
      <c r="E17" s="1199"/>
      <c r="F17" s="1199"/>
      <c r="G17" s="1199"/>
      <c r="H17" s="1199"/>
      <c r="I17" s="1199"/>
      <c r="J17" s="1199"/>
      <c r="K17" s="1199"/>
      <c r="L17" s="1199"/>
      <c r="M17" s="1199"/>
      <c r="N17" s="1199"/>
      <c r="O17" s="1199"/>
      <c r="P17" s="1199"/>
      <c r="Q17" s="1199"/>
      <c r="R17" s="1199"/>
      <c r="S17" s="1199"/>
      <c r="T17" s="1199"/>
      <c r="U17" s="1199"/>
      <c r="V17" s="1199"/>
      <c r="W17" s="1199"/>
    </row>
    <row r="18" spans="1:23" x14ac:dyDescent="0.25">
      <c r="B18" s="517" t="s">
        <v>143</v>
      </c>
      <c r="C18" s="1199">
        <f>'ARP Score'!$BG5/'ARP Score'!$G5*C6</f>
        <v>0</v>
      </c>
      <c r="D18" s="1199">
        <f>'ARP Score'!$BG5/'ARP Score'!$G5*D6</f>
        <v>2.2132800000000001</v>
      </c>
      <c r="E18" s="1199">
        <f>'ARP Score'!$BG5/'ARP Score'!$G5*E6</f>
        <v>10.082720000000002</v>
      </c>
      <c r="F18" s="1199">
        <f>'ARP Score'!$BG6/'ARP Score'!$G6*F6</f>
        <v>7.1439999999999992</v>
      </c>
      <c r="G18" s="1199">
        <f>'ARP Score'!$BG6/'ARP Score'!$G6*G6</f>
        <v>7.1439999999999992</v>
      </c>
      <c r="H18" s="1199">
        <f>'ARP Score'!$BG6/'ARP Score'!$G6*H6</f>
        <v>7.1439999999999992</v>
      </c>
      <c r="I18" s="1199">
        <f>'ARP Score'!$BG6/'ARP Score'!$G6*I6</f>
        <v>7.1439999999999992</v>
      </c>
      <c r="J18" s="1199">
        <f>'ARP Score'!$BG7/'ARP Score'!$G7*J6</f>
        <v>0</v>
      </c>
      <c r="K18" s="1199">
        <f>'ARP Score'!$BG7/'ARP Score'!$G7*K6</f>
        <v>0</v>
      </c>
      <c r="L18" s="1199">
        <f>'ARP Score'!$BG7/'ARP Score'!$G7*L6</f>
        <v>0</v>
      </c>
      <c r="M18" s="1199">
        <f>'ARP Score'!$BG7/'ARP Score'!$G7*M6</f>
        <v>0</v>
      </c>
      <c r="N18" s="1199"/>
      <c r="O18" s="1199"/>
      <c r="P18" s="1199"/>
      <c r="Q18" s="1199"/>
      <c r="R18" s="1199"/>
      <c r="S18" s="1199"/>
      <c r="T18" s="1199"/>
      <c r="U18" s="1199"/>
      <c r="V18" s="1199"/>
      <c r="W18" s="1199"/>
    </row>
    <row r="19" spans="1:23" x14ac:dyDescent="0.25">
      <c r="B19" s="517" t="s">
        <v>770</v>
      </c>
      <c r="C19" s="1199">
        <f>'ARP Score'!$BI5/'ARP Score'!$G5*C6</f>
        <v>0</v>
      </c>
      <c r="D19" s="1199">
        <f>'ARP Score'!$BI5/'ARP Score'!$G5*D6</f>
        <v>15.128640000000001</v>
      </c>
      <c r="E19" s="1199">
        <f>'ARP Score'!$BI5/'ARP Score'!$G5*E6</f>
        <v>68.919360000000012</v>
      </c>
      <c r="F19" s="1199">
        <f>'ARP Score'!$BI6/'ARP Score'!$G6*F6</f>
        <v>5.6120000000000001</v>
      </c>
      <c r="G19" s="1199">
        <f>'ARP Score'!$BI6/'ARP Score'!$G6*G6</f>
        <v>5.6120000000000001</v>
      </c>
      <c r="H19" s="1199">
        <f>'ARP Score'!$BI6/'ARP Score'!$G6*H6</f>
        <v>5.6120000000000001</v>
      </c>
      <c r="I19" s="1199">
        <f>'ARP Score'!$BI6/'ARP Score'!$G6*I6</f>
        <v>5.6120000000000001</v>
      </c>
      <c r="J19" s="1199">
        <f>'ARP Score'!$B7/'ARP Score'!$G7*J6</f>
        <v>0.48599999999999993</v>
      </c>
      <c r="K19" s="1199">
        <f>'ARP Score'!$B7/'ARP Score'!$G7*K6</f>
        <v>0.48599999999999993</v>
      </c>
      <c r="L19" s="1199">
        <f>'ARP Score'!$B7/'ARP Score'!$G7*L6</f>
        <v>0.48599999999999993</v>
      </c>
      <c r="M19" s="1199">
        <f>'ARP Score'!$B7/'ARP Score'!$G7*M6</f>
        <v>0.48599999999999993</v>
      </c>
      <c r="N19" s="1199">
        <f>'ARP Score'!$B8/'ARP Score'!$G8*N6</f>
        <v>0</v>
      </c>
      <c r="O19" s="1199"/>
      <c r="P19" s="1199"/>
      <c r="Q19" s="1199"/>
      <c r="R19" s="1199"/>
      <c r="S19" s="1199"/>
      <c r="T19" s="1199"/>
      <c r="U19" s="1199"/>
      <c r="V19" s="1199"/>
      <c r="W19" s="1199"/>
    </row>
    <row r="20" spans="1:23" x14ac:dyDescent="0.25">
      <c r="B20" s="517" t="s">
        <v>148</v>
      </c>
      <c r="C20" s="1199">
        <f>'ARP Score'!$BF5/'ARP Score'!$G5*C6</f>
        <v>0</v>
      </c>
      <c r="D20" s="1199">
        <f>'ARP Score'!$BF5/'ARP Score'!$G5*D6</f>
        <v>3.2479199999999997</v>
      </c>
      <c r="E20" s="1199">
        <f>'ARP Score'!$BF5/'ARP Score'!$G5*E6</f>
        <v>14.796080000000002</v>
      </c>
      <c r="F20" s="1199">
        <f>'ARP Score'!$BF6/'ARP Score'!$G6*F6</f>
        <v>1.7329999999999999</v>
      </c>
      <c r="G20" s="1199">
        <f>'ARP Score'!$BF6/'ARP Score'!$G6*G6</f>
        <v>1.7329999999999999</v>
      </c>
      <c r="H20" s="1199">
        <f>'ARP Score'!$BF6/'ARP Score'!$G6*H6</f>
        <v>1.7329999999999999</v>
      </c>
      <c r="I20" s="1199">
        <f>'ARP Score'!$BF6/'ARP Score'!$G6*I6</f>
        <v>1.7329999999999999</v>
      </c>
      <c r="J20" s="1199">
        <f>'ARP Score'!$BF7/'ARP Score'!$G7*J6</f>
        <v>0</v>
      </c>
      <c r="K20" s="1199">
        <f>'ARP Score'!$BF7/'ARP Score'!$G7*K6</f>
        <v>0</v>
      </c>
      <c r="L20" s="1199">
        <f>'ARP Score'!$BF7/'ARP Score'!$G7*L6</f>
        <v>0</v>
      </c>
      <c r="M20" s="1199">
        <f>'ARP Score'!$BF7/'ARP Score'!$G7*M6</f>
        <v>0</v>
      </c>
      <c r="N20" s="1199"/>
      <c r="O20" s="1199"/>
      <c r="P20" s="1199"/>
      <c r="Q20" s="1199"/>
      <c r="R20" s="1199"/>
      <c r="S20" s="1199"/>
      <c r="T20" s="1199"/>
      <c r="U20" s="1199"/>
      <c r="V20" s="1199"/>
      <c r="W20" s="1199"/>
    </row>
    <row r="21" spans="1:23" x14ac:dyDescent="0.25">
      <c r="B21" s="1205" t="s">
        <v>412</v>
      </c>
      <c r="C21" s="1199">
        <f>15/40*(C6*'ARP Score'!$BD5/'ARP Score'!$G5)</f>
        <v>0</v>
      </c>
      <c r="D21" s="1199">
        <f>15/40*(D6*('ARP Score'!$BD5+'ARP Score'!$BE5)/'ARP Score'!$G5)</f>
        <v>13.2921</v>
      </c>
      <c r="E21" s="1199">
        <f>15/40*(E6*('ARP Score'!$BD5+'ARP Score'!$BE5)/'ARP Score'!$G5)</f>
        <v>60.552900000000008</v>
      </c>
      <c r="F21" s="1199">
        <f>15/40*(F6*('ARP Score'!$BD6+'ARP Score'!$BE6)/'ARP Score'!$G6)</f>
        <v>1.0687500000000001</v>
      </c>
      <c r="G21" s="1199">
        <f>15/40*(G6*('ARP Score'!$BD6+'ARP Score'!$BE6)/'ARP Score'!$G6)</f>
        <v>1.0687500000000001</v>
      </c>
      <c r="H21" s="1199">
        <f>15/40*(H6*('ARP Score'!$BD6+'ARP Score'!$BE6)/'ARP Score'!$G6)</f>
        <v>1.0687500000000001</v>
      </c>
      <c r="I21" s="1199">
        <f>15/40*(I6*('ARP Score'!$BD6+'ARP Score'!$BE6)/'ARP Score'!$G6)</f>
        <v>1.0687500000000001</v>
      </c>
      <c r="J21" s="1199">
        <f>15/40*(J6*('ARP Score'!$BD7+'ARP Score'!$BE7)/'ARP Score'!$G7)</f>
        <v>0.78750000000000009</v>
      </c>
      <c r="K21" s="1199">
        <f>15/40*(K6*('ARP Score'!$BD7+'ARP Score'!$BE7)/'ARP Score'!$G7)</f>
        <v>0.78750000000000009</v>
      </c>
      <c r="L21" s="1199">
        <f>15/40*(L6*('ARP Score'!$BD7+'ARP Score'!$BE7)/'ARP Score'!$G7)</f>
        <v>0.78750000000000009</v>
      </c>
      <c r="M21" s="1199">
        <f>15/40*(M6*('ARP Score'!$BD7+'ARP Score'!$BE7)/'ARP Score'!$G7)</f>
        <v>0.78750000000000009</v>
      </c>
      <c r="N21" s="1199"/>
      <c r="O21" s="1199"/>
      <c r="P21" s="1199"/>
      <c r="Q21" s="1199"/>
      <c r="R21" s="1199"/>
      <c r="S21" s="1199"/>
      <c r="T21" s="1199"/>
      <c r="U21" s="1199"/>
      <c r="V21" s="1199"/>
      <c r="W21" s="1199"/>
    </row>
    <row r="22" spans="1:23" x14ac:dyDescent="0.25">
      <c r="B22" s="1205" t="s">
        <v>771</v>
      </c>
      <c r="C22" s="1199"/>
      <c r="D22" s="1199">
        <f>D21/15*25</f>
        <v>22.153499999999998</v>
      </c>
      <c r="E22" s="1199">
        <f>E21/15*25</f>
        <v>100.92150000000002</v>
      </c>
      <c r="F22" s="1199">
        <f>F21/15*25</f>
        <v>1.7812500000000002</v>
      </c>
      <c r="G22" s="1199">
        <f>G21/15*25</f>
        <v>1.7812500000000002</v>
      </c>
      <c r="H22" s="1199">
        <f t="shared" ref="H22:J22" si="35">H21/15*25</f>
        <v>1.7812500000000002</v>
      </c>
      <c r="I22" s="1199">
        <f t="shared" si="35"/>
        <v>1.7812500000000002</v>
      </c>
      <c r="J22" s="1199">
        <f t="shared" si="35"/>
        <v>1.3125000000000002</v>
      </c>
      <c r="K22" s="1199">
        <f t="shared" ref="K22" si="36">K21/15*25</f>
        <v>1.3125000000000002</v>
      </c>
      <c r="L22" s="1199">
        <f t="shared" ref="L22" si="37">L21/15*25</f>
        <v>1.3125000000000002</v>
      </c>
      <c r="M22" s="1199">
        <f t="shared" ref="M22" si="38">M21/15*25</f>
        <v>1.3125000000000002</v>
      </c>
      <c r="N22" s="1199"/>
      <c r="O22" s="1199"/>
      <c r="P22" s="1199"/>
      <c r="Q22" s="1199"/>
      <c r="R22" s="1199"/>
      <c r="S22" s="1199"/>
      <c r="T22" s="1199"/>
      <c r="U22" s="1199"/>
      <c r="V22" s="1199"/>
      <c r="W22" s="1199"/>
    </row>
    <row r="23" spans="1:23" x14ac:dyDescent="0.25">
      <c r="B23" s="517" t="s">
        <v>424</v>
      </c>
      <c r="C23" s="1199">
        <f>'ARP Score'!$BB5/'ARP Score'!$G5*C6</f>
        <v>0</v>
      </c>
      <c r="D23" s="1199">
        <f>'ARP Score'!$BB5/'ARP Score'!$G5*D6</f>
        <v>2.9519999999999995</v>
      </c>
      <c r="E23" s="1199">
        <f>'ARP Score'!$BB5/'ARP Score'!$G5*E6</f>
        <v>13.448</v>
      </c>
      <c r="F23" s="1199">
        <f>'ARP Score'!$BB6/'ARP Score'!$G6*F6</f>
        <v>11.3</v>
      </c>
      <c r="G23" s="1199">
        <f>'ARP Score'!$BB6/'ARP Score'!$G6*G6</f>
        <v>11.3</v>
      </c>
      <c r="H23" s="1199">
        <f>'ARP Score'!$BB6/'ARP Score'!$G6*H6</f>
        <v>11.3</v>
      </c>
      <c r="I23" s="1199">
        <f>'ARP Score'!$BB6/'ARP Score'!$G6*I6</f>
        <v>11.3</v>
      </c>
      <c r="J23" s="1199">
        <f>'ARP Score'!$BB7/'ARP Score'!$G7*J6</f>
        <v>8.4</v>
      </c>
      <c r="K23" s="1199">
        <f>'ARP Score'!$BB7/'ARP Score'!$G7*K6</f>
        <v>8.4</v>
      </c>
      <c r="L23" s="1199">
        <f>'ARP Score'!$BB7/'ARP Score'!$G7*L6</f>
        <v>8.4</v>
      </c>
      <c r="M23" s="1199">
        <f>'ARP Score'!$BB7/'ARP Score'!$G7*M6</f>
        <v>8.4</v>
      </c>
      <c r="N23" s="1199">
        <f>'ARP Score'!$BB8/'ARP Score'!$G8*N6</f>
        <v>0.2</v>
      </c>
      <c r="O23" s="1199">
        <f>'ARP Score'!$BB8/'ARP Score'!$G8*O6</f>
        <v>0.2</v>
      </c>
      <c r="P23" s="1199">
        <f>'ARP Score'!$BB8/'ARP Score'!$G8*P6</f>
        <v>0.2</v>
      </c>
      <c r="Q23" s="1199">
        <f>'ARP Score'!$BB8/'ARP Score'!$G8*Q6</f>
        <v>0.2</v>
      </c>
      <c r="R23" s="1199"/>
      <c r="S23" s="1199"/>
      <c r="T23" s="1199"/>
      <c r="U23" s="1199"/>
      <c r="V23" s="1199"/>
      <c r="W23" s="1199"/>
    </row>
    <row r="24" spans="1:23" x14ac:dyDescent="0.25">
      <c r="B24" s="517" t="s">
        <v>425</v>
      </c>
      <c r="C24" s="1199">
        <f>'ARP Score'!$BH5/'ARP Score'!$G5*C6</f>
        <v>0</v>
      </c>
      <c r="D24" s="1199">
        <f>'ARP Score'!$BH5/'ARP Score'!$G5*D6</f>
        <v>-0.20447999999999997</v>
      </c>
      <c r="E24" s="1199">
        <f>'ARP Score'!$BH5/'ARP Score'!$G5*E6</f>
        <v>-0.93152000000000001</v>
      </c>
      <c r="F24" s="1199">
        <f>'ARP Score'!$BH6/'ARP Score'!$G6*F6</f>
        <v>81.608999999999995</v>
      </c>
      <c r="G24" s="1199">
        <f>'ARP Score'!$BH6/'ARP Score'!$G6*G6</f>
        <v>81.608999999999995</v>
      </c>
      <c r="H24" s="1199">
        <f>'ARP Score'!$BH6/'ARP Score'!$G6*H6</f>
        <v>81.608999999999995</v>
      </c>
      <c r="I24" s="1199">
        <f>'ARP Score'!$BH6/'ARP Score'!$G6*I6</f>
        <v>81.608999999999995</v>
      </c>
      <c r="J24" s="1199">
        <f>'ARP Score'!$BH7/'ARP Score'!$G7*J6</f>
        <v>1.3759999999999999</v>
      </c>
      <c r="K24" s="1199">
        <f>'ARP Score'!$BH7/'ARP Score'!$G7*K6</f>
        <v>1.3759999999999999</v>
      </c>
      <c r="L24" s="1199">
        <f>'ARP Score'!$BH7/'ARP Score'!$G7*L6</f>
        <v>1.3759999999999999</v>
      </c>
      <c r="M24" s="1199">
        <f>'ARP Score'!$BH7/'ARP Score'!$G7*M6</f>
        <v>1.3759999999999999</v>
      </c>
      <c r="N24" s="1199">
        <f>'ARP Score'!$BH8/'ARP Score'!$G8*N6</f>
        <v>-0.87500000000000011</v>
      </c>
      <c r="O24" s="1199">
        <f>'ARP Score'!$BH8/'ARP Score'!$G8*O6</f>
        <v>-0.87500000000000011</v>
      </c>
      <c r="P24" s="1199">
        <f>'ARP Score'!$BH8/'ARP Score'!$G8*P6</f>
        <v>-0.87500000000000011</v>
      </c>
      <c r="Q24" s="1199">
        <f>'ARP Score'!$BH8/'ARP Score'!$G8*Q6</f>
        <v>-0.87500000000000011</v>
      </c>
      <c r="R24" s="1199"/>
      <c r="S24" s="1199"/>
      <c r="T24" s="1199"/>
      <c r="U24" s="1199"/>
      <c r="V24" s="1199"/>
      <c r="W24" s="1199"/>
    </row>
    <row r="25" spans="1:23" x14ac:dyDescent="0.25">
      <c r="B25" s="517" t="s">
        <v>311</v>
      </c>
      <c r="C25" s="1199">
        <f>SUM(C18:C24)</f>
        <v>0</v>
      </c>
      <c r="D25" s="1199">
        <f t="shared" ref="D25:Q25" si="39">SUM(D18:D24)</f>
        <v>58.782959999999996</v>
      </c>
      <c r="E25" s="1199">
        <f t="shared" si="39"/>
        <v>267.78904000000006</v>
      </c>
      <c r="F25" s="1199">
        <f t="shared" si="39"/>
        <v>110.24799999999999</v>
      </c>
      <c r="G25" s="1199">
        <f t="shared" si="39"/>
        <v>110.24799999999999</v>
      </c>
      <c r="H25" s="1199">
        <f t="shared" si="39"/>
        <v>110.24799999999999</v>
      </c>
      <c r="I25" s="1199">
        <f t="shared" si="39"/>
        <v>110.24799999999999</v>
      </c>
      <c r="J25" s="1199">
        <f t="shared" si="39"/>
        <v>12.362</v>
      </c>
      <c r="K25" s="1199">
        <f t="shared" si="39"/>
        <v>12.362</v>
      </c>
      <c r="L25" s="1199">
        <f t="shared" si="39"/>
        <v>12.362</v>
      </c>
      <c r="M25" s="1199">
        <f t="shared" si="39"/>
        <v>12.362</v>
      </c>
      <c r="N25" s="1199">
        <f t="shared" si="39"/>
        <v>-0.67500000000000004</v>
      </c>
      <c r="O25" s="1199">
        <f t="shared" si="39"/>
        <v>-0.67500000000000004</v>
      </c>
      <c r="P25" s="1199">
        <f t="shared" si="39"/>
        <v>-0.67500000000000004</v>
      </c>
      <c r="Q25" s="1199">
        <f t="shared" si="39"/>
        <v>-0.67500000000000004</v>
      </c>
      <c r="R25" s="1199"/>
      <c r="S25" s="1199"/>
      <c r="T25" s="1199"/>
      <c r="U25" s="1199"/>
      <c r="V25" s="1199"/>
      <c r="W25" s="1199"/>
    </row>
    <row r="26" spans="1:23" x14ac:dyDescent="0.25">
      <c r="D26" s="1197">
        <f>D6-D25</f>
        <v>0</v>
      </c>
      <c r="E26" s="1197">
        <f t="shared" ref="E26:M26" si="40">E6-E25</f>
        <v>0</v>
      </c>
      <c r="F26" s="1197">
        <f t="shared" si="40"/>
        <v>0</v>
      </c>
      <c r="G26" s="1197">
        <f t="shared" si="40"/>
        <v>0</v>
      </c>
      <c r="H26" s="1197">
        <f t="shared" si="40"/>
        <v>0</v>
      </c>
      <c r="I26" s="1197">
        <f t="shared" si="40"/>
        <v>0</v>
      </c>
      <c r="J26" s="1197">
        <f t="shared" si="40"/>
        <v>0.36400000000000077</v>
      </c>
      <c r="K26" s="1197">
        <f t="shared" si="40"/>
        <v>0.36400000000000077</v>
      </c>
      <c r="L26" s="1197">
        <f t="shared" si="40"/>
        <v>0.36400000000000077</v>
      </c>
      <c r="M26" s="1197">
        <f t="shared" si="40"/>
        <v>0.36400000000000077</v>
      </c>
    </row>
    <row r="27" spans="1:23" x14ac:dyDescent="0.25">
      <c r="B27" s="752" t="s">
        <v>772</v>
      </c>
      <c r="D27" s="622" t="s">
        <v>250</v>
      </c>
      <c r="E27" s="622" t="s">
        <v>180</v>
      </c>
      <c r="F27" s="622" t="s">
        <v>181</v>
      </c>
      <c r="G27" s="622" t="s">
        <v>182</v>
      </c>
      <c r="H27" s="622" t="s">
        <v>183</v>
      </c>
      <c r="I27" s="622" t="s">
        <v>184</v>
      </c>
      <c r="J27" s="622" t="s">
        <v>185</v>
      </c>
      <c r="K27" s="622" t="s">
        <v>186</v>
      </c>
      <c r="L27" s="622" t="s">
        <v>187</v>
      </c>
      <c r="M27" s="622" t="s">
        <v>188</v>
      </c>
      <c r="N27" s="622" t="s">
        <v>189</v>
      </c>
      <c r="O27" s="622" t="s">
        <v>190</v>
      </c>
      <c r="P27" s="622" t="s">
        <v>191</v>
      </c>
      <c r="Q27" s="622" t="s">
        <v>175</v>
      </c>
      <c r="R27" s="622" t="s">
        <v>176</v>
      </c>
      <c r="S27" s="622" t="s">
        <v>177</v>
      </c>
      <c r="T27" s="622" t="s">
        <v>763</v>
      </c>
      <c r="U27" s="622" t="s">
        <v>764</v>
      </c>
      <c r="V27" s="622" t="s">
        <v>765</v>
      </c>
    </row>
    <row r="28" spans="1:23" x14ac:dyDescent="0.25">
      <c r="B28" s="33"/>
      <c r="C28" s="1197" t="s">
        <v>311</v>
      </c>
      <c r="D28" s="1201">
        <f>SUM(D29:D43)</f>
        <v>5.8765000000000009</v>
      </c>
      <c r="E28" s="1201">
        <f t="shared" ref="E28:V28" si="41">SUM(E29:E43)</f>
        <v>11.753000000000002</v>
      </c>
      <c r="F28" s="1201">
        <f t="shared" si="41"/>
        <v>15.762320000000003</v>
      </c>
      <c r="G28" s="1201">
        <f t="shared" si="41"/>
        <v>19.771640000000005</v>
      </c>
      <c r="H28" s="1201">
        <f t="shared" si="41"/>
        <v>23.812229000000006</v>
      </c>
      <c r="I28" s="1201">
        <f t="shared" si="41"/>
        <v>27.852818000000006</v>
      </c>
      <c r="J28" s="1201">
        <f t="shared" si="41"/>
        <v>30.517977000000005</v>
      </c>
      <c r="K28" s="1201">
        <f t="shared" si="41"/>
        <v>33.183136000000005</v>
      </c>
      <c r="L28" s="1201">
        <f t="shared" si="41"/>
        <v>36.260924000000003</v>
      </c>
      <c r="M28" s="1201">
        <f t="shared" si="41"/>
        <v>39.338711999999994</v>
      </c>
      <c r="N28" s="1201">
        <f t="shared" si="41"/>
        <v>40.928439999999995</v>
      </c>
      <c r="O28" s="1201">
        <f t="shared" si="41"/>
        <v>42.518167999999996</v>
      </c>
      <c r="P28" s="1201">
        <f t="shared" si="41"/>
        <v>44.428388999999996</v>
      </c>
      <c r="Q28" s="1201">
        <f t="shared" si="41"/>
        <v>46.338610000000003</v>
      </c>
      <c r="R28" s="1201">
        <f t="shared" si="41"/>
        <v>47.279744500000007</v>
      </c>
      <c r="S28" s="1201">
        <f t="shared" si="41"/>
        <v>46.283419000000009</v>
      </c>
      <c r="T28" s="1201">
        <f t="shared" si="41"/>
        <v>45.578489500000011</v>
      </c>
      <c r="U28" s="1201">
        <f t="shared" si="41"/>
        <v>45.454798000000011</v>
      </c>
      <c r="V28" s="1201">
        <f t="shared" si="41"/>
        <v>45.360580000000013</v>
      </c>
    </row>
    <row r="29" spans="1:23" x14ac:dyDescent="0.25">
      <c r="A29" s="752">
        <v>2021</v>
      </c>
      <c r="B29" s="33" t="s">
        <v>773</v>
      </c>
      <c r="C29" s="1197"/>
      <c r="D29" s="752">
        <f>($D$9+$D$10)*'ARP Timing'!B$16</f>
        <v>5.8765000000000009</v>
      </c>
      <c r="E29" s="752">
        <f>($D$9+$D$10)*'ARP Timing'!C$16</f>
        <v>5.8765000000000009</v>
      </c>
      <c r="F29" s="752">
        <f>($D$9+$D$10)*'ARP Timing'!D$16</f>
        <v>4.11355</v>
      </c>
      <c r="G29" s="752">
        <f>($D$9+$D$10)*'ARP Timing'!E$16</f>
        <v>4.11355</v>
      </c>
      <c r="H29" s="752">
        <f>($D$9+$D$10)*'ARP Timing'!F$16</f>
        <v>4.11355</v>
      </c>
      <c r="I29" s="752">
        <f>($D$9+$D$10)*'ARP Timing'!G$16</f>
        <v>4.11355</v>
      </c>
      <c r="J29" s="752">
        <f>($D$9+$D$10)*'ARP Timing'!H$16</f>
        <v>4.11355</v>
      </c>
      <c r="K29" s="752">
        <f>($D$9+$D$10)*'ARP Timing'!I$16</f>
        <v>4.11355</v>
      </c>
      <c r="L29" s="752">
        <f>($D$9+$D$10)*'ARP Timing'!J$16</f>
        <v>4.11355</v>
      </c>
      <c r="M29" s="752">
        <f>($D$9+$D$10)*'ARP Timing'!K$16</f>
        <v>4.11355</v>
      </c>
      <c r="N29" s="752">
        <f>($D$9+$D$10)*'ARP Timing'!L$16</f>
        <v>4.11355</v>
      </c>
      <c r="O29" s="752">
        <f>($D$9+$D$10)*'ARP Timing'!M$16</f>
        <v>4.11355</v>
      </c>
      <c r="P29" s="752">
        <f>($D$9+$D$10)*'ARP Timing'!N$16</f>
        <v>3.987625</v>
      </c>
      <c r="Q29" s="752">
        <f>($D$9+$D$10)*'ARP Timing'!O$16</f>
        <v>3.987625</v>
      </c>
      <c r="R29" s="752">
        <f>($D$9+$D$10)*'ARP Timing'!P$16</f>
        <v>3.987625</v>
      </c>
      <c r="S29" s="752">
        <f>($D$9+$D$10)*'ARP Timing'!Q$16</f>
        <v>3.987625</v>
      </c>
      <c r="T29" s="752">
        <f>($D$9+$D$10)*'ARP Timing'!R$16</f>
        <v>3.987625</v>
      </c>
      <c r="U29" s="752">
        <f>($D$9+$D$10)*'ARP Timing'!S$16</f>
        <v>3.987625</v>
      </c>
      <c r="V29" s="752">
        <f>($D$9+$D$10)*'ARP Timing'!T$16</f>
        <v>3.987625</v>
      </c>
    </row>
    <row r="30" spans="1:23" x14ac:dyDescent="0.25">
      <c r="B30" s="33" t="s">
        <v>330</v>
      </c>
      <c r="C30" s="1197"/>
      <c r="E30" s="752">
        <f>($E$9+$E$10)*'ARP Timing'!B$16</f>
        <v>5.8765000000000009</v>
      </c>
      <c r="F30" s="752">
        <f>($E$9+$E$10)*'ARP Timing'!C$16</f>
        <v>5.8765000000000009</v>
      </c>
      <c r="G30" s="752">
        <f>($E$9+$E$10)*'ARP Timing'!D$16</f>
        <v>4.11355</v>
      </c>
      <c r="H30" s="752">
        <f>($E$9+$E$10)*'ARP Timing'!E$16</f>
        <v>4.11355</v>
      </c>
      <c r="I30" s="752">
        <f>($E$9+$E$10)*'ARP Timing'!F$16</f>
        <v>4.11355</v>
      </c>
      <c r="J30" s="752">
        <f>($E$9+$E$10)*'ARP Timing'!G$16</f>
        <v>4.11355</v>
      </c>
      <c r="K30" s="752">
        <f>($E$9+$E$10)*'ARP Timing'!H$16</f>
        <v>4.11355</v>
      </c>
      <c r="L30" s="752">
        <f>($E$9+$E$10)*'ARP Timing'!I$16</f>
        <v>4.11355</v>
      </c>
      <c r="M30" s="752">
        <f>($E$9+$E$10)*'ARP Timing'!J$16</f>
        <v>4.11355</v>
      </c>
      <c r="N30" s="752">
        <f>($E$9+$E$10)*'ARP Timing'!K$16</f>
        <v>4.11355</v>
      </c>
      <c r="O30" s="752">
        <f>($E$9+$E$10)*'ARP Timing'!L$16</f>
        <v>4.11355</v>
      </c>
      <c r="P30" s="752">
        <f>($E$9+$E$10)*'ARP Timing'!M$16</f>
        <v>4.11355</v>
      </c>
      <c r="Q30" s="752">
        <f>($E$9+$E$10)*'ARP Timing'!N$16</f>
        <v>3.987625</v>
      </c>
      <c r="R30" s="752">
        <f>($E$9+$E$10)*'ARP Timing'!O$16</f>
        <v>3.987625</v>
      </c>
      <c r="S30" s="752">
        <f>($E$9+$E$10)*'ARP Timing'!P$16</f>
        <v>3.987625</v>
      </c>
      <c r="T30" s="752">
        <f>($E$9+$E$10)*'ARP Timing'!Q$16</f>
        <v>3.987625</v>
      </c>
      <c r="U30" s="752">
        <f>($E$9+$E$10)*'ARP Timing'!R$16</f>
        <v>3.987625</v>
      </c>
      <c r="V30" s="752">
        <f>($E$9+$E$10)*'ARP Timing'!S$16</f>
        <v>3.987625</v>
      </c>
    </row>
    <row r="31" spans="1:23" x14ac:dyDescent="0.25">
      <c r="B31" s="33" t="s">
        <v>774</v>
      </c>
      <c r="C31" s="1197"/>
      <c r="F31" s="752">
        <f>($F$9+$F$10)*'ARP Timing'!B$16</f>
        <v>5.7722700000000016</v>
      </c>
      <c r="G31" s="752">
        <f>($F$9+$F$10)*'ARP Timing'!C$16</f>
        <v>5.7722700000000016</v>
      </c>
      <c r="H31" s="752">
        <f>($F$9+$F$10)*'ARP Timing'!D$16</f>
        <v>4.0405890000000007</v>
      </c>
      <c r="I31" s="752">
        <f>($F$9+$F$10)*'ARP Timing'!E$16</f>
        <v>4.0405890000000007</v>
      </c>
      <c r="J31" s="752">
        <f>($F$9+$F$10)*'ARP Timing'!F$16</f>
        <v>4.0405890000000007</v>
      </c>
      <c r="K31" s="752">
        <f>($F$9+$F$10)*'ARP Timing'!G$16</f>
        <v>4.0405890000000007</v>
      </c>
      <c r="L31" s="752">
        <f>($F$9+$F$10)*'ARP Timing'!H$16</f>
        <v>4.0405890000000007</v>
      </c>
      <c r="M31" s="752">
        <f>($F$9+$F$10)*'ARP Timing'!I$16</f>
        <v>4.0405890000000007</v>
      </c>
      <c r="N31" s="752">
        <f>($F$9+$F$10)*'ARP Timing'!J$16</f>
        <v>4.0405890000000007</v>
      </c>
      <c r="O31" s="752">
        <f>($F$9+$F$10)*'ARP Timing'!K$16</f>
        <v>4.0405890000000007</v>
      </c>
      <c r="P31" s="752">
        <f>($F$9+$F$10)*'ARP Timing'!L$16</f>
        <v>4.0405890000000007</v>
      </c>
      <c r="Q31" s="752">
        <f>($F$9+$F$10)*'ARP Timing'!M$16</f>
        <v>4.0405890000000007</v>
      </c>
      <c r="R31" s="752">
        <f>($F$9+$F$10)*'ARP Timing'!N$16</f>
        <v>3.9168975000000006</v>
      </c>
      <c r="S31" s="752">
        <f>($F$9+$F$10)*'ARP Timing'!O$16</f>
        <v>3.9168975000000006</v>
      </c>
      <c r="T31" s="752">
        <f>($F$9+$F$10)*'ARP Timing'!P$16</f>
        <v>3.9168975000000006</v>
      </c>
      <c r="U31" s="752">
        <f>($F$9+$F$10)*'ARP Timing'!Q$16</f>
        <v>3.9168975000000006</v>
      </c>
      <c r="V31" s="752">
        <f>($F$9+$F$10)*'ARP Timing'!R$16</f>
        <v>3.9168975000000006</v>
      </c>
    </row>
    <row r="32" spans="1:23" x14ac:dyDescent="0.25">
      <c r="A32" s="752">
        <v>2022</v>
      </c>
      <c r="B32" s="33" t="s">
        <v>240</v>
      </c>
      <c r="C32" s="1197"/>
      <c r="G32" s="752">
        <f>($G$9+$G$10)*'ARP Timing'!B$16</f>
        <v>5.7722700000000016</v>
      </c>
      <c r="H32" s="752">
        <f>($G$9+$G$10)*'ARP Timing'!C$16</f>
        <v>5.7722700000000016</v>
      </c>
      <c r="I32" s="752">
        <f>($G$9+$G$10)*'ARP Timing'!D$16</f>
        <v>4.0405890000000007</v>
      </c>
      <c r="J32" s="752">
        <f>($G$9+$G$10)*'ARP Timing'!E$16</f>
        <v>4.0405890000000007</v>
      </c>
      <c r="K32" s="752">
        <f>($G$9+$G$10)*'ARP Timing'!F$16</f>
        <v>4.0405890000000007</v>
      </c>
      <c r="L32" s="752">
        <f>($G$9+$G$10)*'ARP Timing'!G$16</f>
        <v>4.0405890000000007</v>
      </c>
      <c r="M32" s="752">
        <f>($G$9+$G$10)*'ARP Timing'!H$16</f>
        <v>4.0405890000000007</v>
      </c>
      <c r="N32" s="752">
        <f>($G$9+$G$10)*'ARP Timing'!I$16</f>
        <v>4.0405890000000007</v>
      </c>
      <c r="O32" s="752">
        <f>($G$9+$G$10)*'ARP Timing'!J$16</f>
        <v>4.0405890000000007</v>
      </c>
      <c r="P32" s="752">
        <f>($G$9+$G$10)*'ARP Timing'!K$16</f>
        <v>4.0405890000000007</v>
      </c>
      <c r="Q32" s="752">
        <f>($G$9+$G$10)*'ARP Timing'!L$16</f>
        <v>4.0405890000000007</v>
      </c>
      <c r="R32" s="752">
        <f>($G$9+$G$10)*'ARP Timing'!M$16</f>
        <v>4.0405890000000007</v>
      </c>
      <c r="S32" s="752">
        <f>($G$9+$G$10)*'ARP Timing'!N$16</f>
        <v>3.9168975000000006</v>
      </c>
      <c r="T32" s="752">
        <f>($G$9+$G$10)*'ARP Timing'!O$16</f>
        <v>3.9168975000000006</v>
      </c>
      <c r="U32" s="752">
        <f>($G$9+$G$10)*'ARP Timing'!P$16</f>
        <v>3.9168975000000006</v>
      </c>
      <c r="V32" s="752">
        <f>($G$9+$G$10)*'ARP Timing'!Q$16</f>
        <v>3.9168975000000006</v>
      </c>
    </row>
    <row r="33" spans="1:23" x14ac:dyDescent="0.25">
      <c r="B33" s="33" t="s">
        <v>241</v>
      </c>
      <c r="C33" s="1197"/>
      <c r="H33" s="752">
        <f>($H$9+$H$10)*'ARP Timing'!B$16</f>
        <v>5.7722700000000016</v>
      </c>
      <c r="I33" s="752">
        <f>($H$9+$H$10)*'ARP Timing'!C$16</f>
        <v>5.7722700000000016</v>
      </c>
      <c r="J33" s="752">
        <f>($H$9+$H$10)*'ARP Timing'!D$16</f>
        <v>4.0405890000000007</v>
      </c>
      <c r="K33" s="752">
        <f>($H$9+$H$10)*'ARP Timing'!E$16</f>
        <v>4.0405890000000007</v>
      </c>
      <c r="L33" s="752">
        <f>($H$9+$H$10)*'ARP Timing'!F$16</f>
        <v>4.0405890000000007</v>
      </c>
      <c r="M33" s="752">
        <f>($H$9+$H$10)*'ARP Timing'!G$16</f>
        <v>4.0405890000000007</v>
      </c>
      <c r="N33" s="752">
        <f>($H$9+$H$10)*'ARP Timing'!H$16</f>
        <v>4.0405890000000007</v>
      </c>
      <c r="O33" s="752">
        <f>($H$9+$H$10)*'ARP Timing'!I$16</f>
        <v>4.0405890000000007</v>
      </c>
      <c r="P33" s="752">
        <f>($H$9+$H$10)*'ARP Timing'!J$16</f>
        <v>4.0405890000000007</v>
      </c>
      <c r="Q33" s="752">
        <f>($H$9+$H$10)*'ARP Timing'!K$16</f>
        <v>4.0405890000000007</v>
      </c>
      <c r="R33" s="752">
        <f>($H$9+$H$10)*'ARP Timing'!L$16</f>
        <v>4.0405890000000007</v>
      </c>
      <c r="S33" s="752">
        <f>($H$9+$H$10)*'ARP Timing'!M$16</f>
        <v>4.0405890000000007</v>
      </c>
      <c r="T33" s="752">
        <f>($H$9+$H$10)*'ARP Timing'!N$16</f>
        <v>3.9168975000000006</v>
      </c>
      <c r="U33" s="752">
        <f>($H$9+$H$10)*'ARP Timing'!O$16</f>
        <v>3.9168975000000006</v>
      </c>
      <c r="V33" s="752">
        <f>($H$9+$H$10)*'ARP Timing'!P$16</f>
        <v>3.9168975000000006</v>
      </c>
    </row>
    <row r="34" spans="1:23" x14ac:dyDescent="0.25">
      <c r="B34" s="33" t="s">
        <v>330</v>
      </c>
      <c r="C34" s="1197"/>
      <c r="H34" s="1197"/>
      <c r="I34" s="752">
        <f>($I$9+$I10)*'ARP Timing'!B$16</f>
        <v>5.7722700000000016</v>
      </c>
      <c r="J34" s="752">
        <f>($I$9+$I10)*'ARP Timing'!C$16</f>
        <v>5.7722700000000016</v>
      </c>
      <c r="K34" s="752">
        <f>($I$9+$I10)*'ARP Timing'!D$16</f>
        <v>4.0405890000000007</v>
      </c>
      <c r="L34" s="752">
        <f>($I$9+$I10)*'ARP Timing'!E$16</f>
        <v>4.0405890000000007</v>
      </c>
      <c r="M34" s="752">
        <f>($I$9+$I10)*'ARP Timing'!F$16</f>
        <v>4.0405890000000007</v>
      </c>
      <c r="N34" s="752">
        <f>($I$9+$I10)*'ARP Timing'!G$16</f>
        <v>4.0405890000000007</v>
      </c>
      <c r="O34" s="752">
        <f>($I$9+$I10)*'ARP Timing'!H$16</f>
        <v>4.0405890000000007</v>
      </c>
      <c r="P34" s="752">
        <f>($I$9+$I10)*'ARP Timing'!I$16</f>
        <v>4.0405890000000007</v>
      </c>
      <c r="Q34" s="752">
        <f>($I$9+$I10)*'ARP Timing'!J$16</f>
        <v>4.0405890000000007</v>
      </c>
      <c r="R34" s="752">
        <f>($I$9+$I10)*'ARP Timing'!K$16</f>
        <v>4.0405890000000007</v>
      </c>
      <c r="S34" s="752">
        <f>($I$9+$I10)*'ARP Timing'!L$16</f>
        <v>4.0405890000000007</v>
      </c>
      <c r="T34" s="752">
        <f>($I$9+$I10)*'ARP Timing'!M$16</f>
        <v>4.0405890000000007</v>
      </c>
      <c r="U34" s="752">
        <f>($I$9+$I10)*'ARP Timing'!N$16</f>
        <v>3.9168975000000006</v>
      </c>
      <c r="V34" s="752">
        <f>($I$9+$I10)*'ARP Timing'!O$16</f>
        <v>3.9168975000000006</v>
      </c>
    </row>
    <row r="35" spans="1:23" x14ac:dyDescent="0.25">
      <c r="B35" s="33" t="s">
        <v>774</v>
      </c>
      <c r="C35" s="1197"/>
      <c r="H35" s="1197"/>
      <c r="J35" s="752">
        <f>($J$9+$J$10)*'ARP Timing'!B$16</f>
        <v>4.3968400000000001</v>
      </c>
      <c r="K35" s="752">
        <f>($J$9+$J$10)*'ARP Timing'!C$16</f>
        <v>4.3968400000000001</v>
      </c>
      <c r="L35" s="752">
        <f>($J$9+$J$10)*'ARP Timing'!D$16</f>
        <v>3.077788</v>
      </c>
      <c r="M35" s="752">
        <f>($J$9+$J$10)*'ARP Timing'!E$16</f>
        <v>3.077788</v>
      </c>
      <c r="N35" s="752">
        <f>($J$9+$J$10)*'ARP Timing'!F$16</f>
        <v>3.077788</v>
      </c>
      <c r="O35" s="752">
        <f>($J$9+$J$10)*'ARP Timing'!G$16</f>
        <v>3.077788</v>
      </c>
      <c r="P35" s="752">
        <f>($J$9+$J$10)*'ARP Timing'!H$16</f>
        <v>3.077788</v>
      </c>
      <c r="Q35" s="752">
        <f>($J$9+$J$10)*'ARP Timing'!I$16</f>
        <v>3.077788</v>
      </c>
      <c r="R35" s="752">
        <f>($J$9+$J$10)*'ARP Timing'!J$16</f>
        <v>3.077788</v>
      </c>
      <c r="S35" s="752">
        <f>($J$9+$J$10)*'ARP Timing'!K$16</f>
        <v>3.077788</v>
      </c>
      <c r="T35" s="752">
        <f>($J$9+$J$10)*'ARP Timing'!L$16</f>
        <v>3.077788</v>
      </c>
      <c r="U35" s="752">
        <f>($J$9+$J$10)*'ARP Timing'!M$16</f>
        <v>3.077788</v>
      </c>
      <c r="V35" s="752">
        <f>($J$9+$J$10)*'ARP Timing'!N$16</f>
        <v>2.9835699999999998</v>
      </c>
    </row>
    <row r="36" spans="1:23" x14ac:dyDescent="0.25">
      <c r="A36" s="752">
        <v>2023</v>
      </c>
      <c r="B36" s="33" t="s">
        <v>240</v>
      </c>
      <c r="C36" s="1197"/>
      <c r="H36" s="1197"/>
      <c r="K36" s="752">
        <f>($K$9+$K$10)*'ARP Timing'!B$16</f>
        <v>4.3968400000000001</v>
      </c>
      <c r="L36" s="752">
        <f>($K$9+$K$10)*'ARP Timing'!C$16</f>
        <v>4.3968400000000001</v>
      </c>
      <c r="M36" s="752">
        <f>($K$9+$K$10)*'ARP Timing'!D$16</f>
        <v>3.077788</v>
      </c>
      <c r="N36" s="752">
        <f>($K$9+$K$10)*'ARP Timing'!E$16</f>
        <v>3.077788</v>
      </c>
      <c r="O36" s="752">
        <f>($K$9+$K$10)*'ARP Timing'!F$16</f>
        <v>3.077788</v>
      </c>
      <c r="P36" s="752">
        <f>($K$9+$K$10)*'ARP Timing'!G$16</f>
        <v>3.077788</v>
      </c>
      <c r="Q36" s="752">
        <f>($K$9+$K$10)*'ARP Timing'!H$16</f>
        <v>3.077788</v>
      </c>
      <c r="R36" s="752">
        <f>($K$9+$K$10)*'ARP Timing'!I$16</f>
        <v>3.077788</v>
      </c>
      <c r="S36" s="752">
        <f>($K$9+$K$10)*'ARP Timing'!J$16</f>
        <v>3.077788</v>
      </c>
      <c r="T36" s="752">
        <f>($K$9+$K$10)*'ARP Timing'!K$16</f>
        <v>3.077788</v>
      </c>
      <c r="U36" s="752">
        <f>($K$9+$K$10)*'ARP Timing'!L$16</f>
        <v>3.077788</v>
      </c>
      <c r="V36" s="752">
        <f>($K$9+$K$10)*'ARP Timing'!M$16</f>
        <v>3.077788</v>
      </c>
    </row>
    <row r="37" spans="1:23" x14ac:dyDescent="0.25">
      <c r="B37" s="33" t="s">
        <v>241</v>
      </c>
      <c r="C37" s="1197"/>
      <c r="H37" s="1197"/>
      <c r="L37" s="752">
        <f>($L$9+$L$10)*'ARP Timing'!B$16</f>
        <v>4.3968400000000001</v>
      </c>
      <c r="M37" s="752">
        <f>($L$9+$L$10)*'ARP Timing'!C$16</f>
        <v>4.3968400000000001</v>
      </c>
      <c r="N37" s="752">
        <f>($L$9+$L$10)*'ARP Timing'!D$16</f>
        <v>3.077788</v>
      </c>
      <c r="O37" s="752">
        <f>($L$9+$L$10)*'ARP Timing'!E$16</f>
        <v>3.077788</v>
      </c>
      <c r="P37" s="752">
        <f>($L$9+$L$10)*'ARP Timing'!F$16</f>
        <v>3.077788</v>
      </c>
      <c r="Q37" s="752">
        <f>($L$9+$L$10)*'ARP Timing'!G$16</f>
        <v>3.077788</v>
      </c>
      <c r="R37" s="752">
        <f>($L$9+$L$10)*'ARP Timing'!H$16</f>
        <v>3.077788</v>
      </c>
      <c r="S37" s="752">
        <f>($L$9+$L$10)*'ARP Timing'!I$16</f>
        <v>3.077788</v>
      </c>
      <c r="T37" s="752">
        <f>($L$9+$L$10)*'ARP Timing'!J$16</f>
        <v>3.077788</v>
      </c>
      <c r="U37" s="752">
        <f>($L$9+$L$10)*'ARP Timing'!K$16</f>
        <v>3.077788</v>
      </c>
      <c r="V37" s="752">
        <f>($L$9+$L$10)*'ARP Timing'!L$16</f>
        <v>3.077788</v>
      </c>
    </row>
    <row r="38" spans="1:23" x14ac:dyDescent="0.25">
      <c r="B38" s="33" t="s">
        <v>330</v>
      </c>
      <c r="C38" s="1197"/>
      <c r="H38" s="1197"/>
      <c r="M38" s="752">
        <f>($M$9+$M$10)*'ARP Timing'!B$16</f>
        <v>4.3968400000000001</v>
      </c>
      <c r="N38" s="752">
        <f>($M$9+$M$10)*'ARP Timing'!C$16</f>
        <v>4.3968400000000001</v>
      </c>
      <c r="O38" s="752">
        <f>($M$9+$M$10)*'ARP Timing'!D$16</f>
        <v>3.077788</v>
      </c>
      <c r="P38" s="752">
        <f>($M$9+$M$10)*'ARP Timing'!E$16</f>
        <v>3.077788</v>
      </c>
      <c r="Q38" s="752">
        <f>($M$9+$M$10)*'ARP Timing'!F$16</f>
        <v>3.077788</v>
      </c>
      <c r="R38" s="752">
        <f>($M$9+$M$10)*'ARP Timing'!G$16</f>
        <v>3.077788</v>
      </c>
      <c r="S38" s="752">
        <f>($M$9+$M$10)*'ARP Timing'!H$16</f>
        <v>3.077788</v>
      </c>
      <c r="T38" s="752">
        <f>($M$9+$M$10)*'ARP Timing'!I$16</f>
        <v>3.077788</v>
      </c>
      <c r="U38" s="752">
        <f>($M$9+$M$10)*'ARP Timing'!J$16</f>
        <v>3.077788</v>
      </c>
      <c r="V38" s="752">
        <f>($M$9+$M$10)*'ARP Timing'!K$16</f>
        <v>3.077788</v>
      </c>
    </row>
    <row r="39" spans="1:23" x14ac:dyDescent="0.25">
      <c r="B39" s="33" t="s">
        <v>774</v>
      </c>
      <c r="C39" s="1197"/>
      <c r="H39" s="1197"/>
      <c r="N39" s="752">
        <f>($N$9+$N$10)*'ARP Timing'!B$16</f>
        <v>2.9087800000000006</v>
      </c>
      <c r="O39" s="752">
        <f>($N$9+$N$10)*'ARP Timing'!C$16</f>
        <v>2.9087800000000006</v>
      </c>
      <c r="P39" s="752">
        <f>($N$9+$N$10)*'ARP Timing'!D$16</f>
        <v>2.036146</v>
      </c>
      <c r="Q39" s="752">
        <f>($N$9+$N$10)*'ARP Timing'!E$16</f>
        <v>2.036146</v>
      </c>
      <c r="R39" s="752">
        <f>($N$9+$N$10)*'ARP Timing'!F$16</f>
        <v>2.036146</v>
      </c>
      <c r="S39" s="752">
        <f>($N$9+$N$10)*'ARP Timing'!G$16</f>
        <v>2.036146</v>
      </c>
      <c r="T39" s="752">
        <f>($N$9+$N$10)*'ARP Timing'!H$16</f>
        <v>2.036146</v>
      </c>
      <c r="U39" s="752">
        <f>($N$9+$N$10)*'ARP Timing'!I$16</f>
        <v>2.036146</v>
      </c>
      <c r="V39" s="752">
        <f>($N$9+$N$10)*'ARP Timing'!J$16</f>
        <v>2.036146</v>
      </c>
    </row>
    <row r="40" spans="1:23" x14ac:dyDescent="0.25">
      <c r="A40" s="752">
        <v>2024</v>
      </c>
      <c r="B40" s="33" t="s">
        <v>240</v>
      </c>
      <c r="C40" s="1197"/>
      <c r="H40" s="1197"/>
      <c r="O40" s="752">
        <f>($O$9+$O$10)*'ARP Timing'!B$16</f>
        <v>2.9087800000000006</v>
      </c>
      <c r="P40" s="752">
        <f>($O$9+$O$10)*'ARP Timing'!C$16</f>
        <v>2.9087800000000006</v>
      </c>
      <c r="Q40" s="752">
        <f>($O$9+$O$10)*'ARP Timing'!D$16</f>
        <v>2.036146</v>
      </c>
      <c r="R40" s="752">
        <f>($O$9+$O$10)*'ARP Timing'!E$16</f>
        <v>2.036146</v>
      </c>
      <c r="S40" s="752">
        <f>($O$9+$O$10)*'ARP Timing'!F$16</f>
        <v>2.036146</v>
      </c>
      <c r="T40" s="752">
        <f>($O$9+$O$10)*'ARP Timing'!G$16</f>
        <v>2.036146</v>
      </c>
      <c r="U40" s="752">
        <f>($O$9+$O$10)*'ARP Timing'!H$16</f>
        <v>2.036146</v>
      </c>
      <c r="V40" s="752">
        <f>($O$9+$O$10)*'ARP Timing'!I$16</f>
        <v>2.036146</v>
      </c>
    </row>
    <row r="41" spans="1:23" x14ac:dyDescent="0.25">
      <c r="B41" s="33" t="s">
        <v>241</v>
      </c>
      <c r="C41" s="1197"/>
      <c r="H41" s="1197"/>
      <c r="P41" s="752">
        <f>($P$9+$P$10)*'ARP Timing'!B$16</f>
        <v>2.9087800000000006</v>
      </c>
      <c r="Q41" s="752">
        <f>($P$9+$P$10)*'ARP Timing'!C$16</f>
        <v>2.9087800000000006</v>
      </c>
      <c r="R41" s="752">
        <f>($P$9+$P$10)*'ARP Timing'!D$16</f>
        <v>2.036146</v>
      </c>
      <c r="S41" s="752">
        <f>($P$9+$P$10)*'ARP Timing'!E$16</f>
        <v>2.036146</v>
      </c>
      <c r="T41" s="752">
        <f>($P$9+$P$10)*'ARP Timing'!F$16</f>
        <v>2.036146</v>
      </c>
      <c r="U41" s="752">
        <f>($P$9+$P$10)*'ARP Timing'!G$16</f>
        <v>2.036146</v>
      </c>
      <c r="V41" s="752">
        <f>($P$9+$P$10)*'ARP Timing'!H$16</f>
        <v>2.036146</v>
      </c>
    </row>
    <row r="42" spans="1:23" x14ac:dyDescent="0.25">
      <c r="B42" s="33" t="s">
        <v>330</v>
      </c>
      <c r="C42" s="1197"/>
      <c r="H42" s="1197"/>
      <c r="Q42" s="752">
        <f>($Q$9+$Q$10)*'ARP Timing'!B$16</f>
        <v>2.9087800000000006</v>
      </c>
      <c r="R42" s="752">
        <f>($Q$9+$Q$10)*'ARP Timing'!C$16</f>
        <v>2.9087800000000006</v>
      </c>
      <c r="S42" s="752">
        <f>($Q$9+$Q$10)*'ARP Timing'!D$16</f>
        <v>2.036146</v>
      </c>
      <c r="T42" s="752">
        <f>($Q$9+$Q$10)*'ARP Timing'!E$16</f>
        <v>2.036146</v>
      </c>
      <c r="U42" s="752">
        <f>($Q$9+$Q$10)*'ARP Timing'!F$16</f>
        <v>2.036146</v>
      </c>
      <c r="V42" s="752">
        <f>($Q$9+$Q$10)*'ARP Timing'!G$16</f>
        <v>2.036146</v>
      </c>
    </row>
    <row r="43" spans="1:23" x14ac:dyDescent="0.25">
      <c r="B43" s="33" t="s">
        <v>774</v>
      </c>
      <c r="C43" s="1197"/>
      <c r="H43" s="1197"/>
      <c r="R43" s="752">
        <f>($R$9+$R$10)*'ARP Timing'!B$16</f>
        <v>1.9374600000000002</v>
      </c>
      <c r="S43" s="752">
        <f>($R$9+$R$10)*'ARP Timing'!C$16</f>
        <v>1.9374600000000002</v>
      </c>
      <c r="T43" s="752">
        <f>($R$9+$R$10)*'ARP Timing'!D$16</f>
        <v>1.356222</v>
      </c>
      <c r="U43" s="752">
        <f>($R$9+$R$10)*'ARP Timing'!E$16</f>
        <v>1.356222</v>
      </c>
      <c r="V43" s="752">
        <f>($R$9+$R$10)*'ARP Timing'!F$16</f>
        <v>1.356222</v>
      </c>
    </row>
    <row r="44" spans="1:23" x14ac:dyDescent="0.25">
      <c r="S44" s="752">
        <f>($S$9+$S$10)*'ARP Timing'!B$16</f>
        <v>1.9374600000000002</v>
      </c>
      <c r="T44" s="752">
        <f>($S$9+$S$10)*'ARP Timing'!C$16</f>
        <v>1.9374600000000002</v>
      </c>
      <c r="U44" s="752">
        <f>($S$9+$S$10)*'ARP Timing'!D$16</f>
        <v>1.356222</v>
      </c>
      <c r="V44" s="752">
        <f>($S$9+$S$10)*'ARP Timing'!E$16</f>
        <v>1.356222</v>
      </c>
    </row>
    <row r="46" spans="1:23" x14ac:dyDescent="0.25">
      <c r="B46" s="752" t="s">
        <v>775</v>
      </c>
      <c r="D46" s="622" t="s">
        <v>250</v>
      </c>
      <c r="E46" s="622" t="s">
        <v>180</v>
      </c>
      <c r="F46" s="622" t="s">
        <v>181</v>
      </c>
      <c r="G46" s="622" t="s">
        <v>182</v>
      </c>
      <c r="H46" s="622" t="s">
        <v>183</v>
      </c>
      <c r="I46" s="622" t="s">
        <v>184</v>
      </c>
      <c r="J46" s="622" t="s">
        <v>185</v>
      </c>
      <c r="K46" s="622" t="s">
        <v>186</v>
      </c>
      <c r="L46" s="622" t="s">
        <v>187</v>
      </c>
      <c r="M46" s="622" t="s">
        <v>188</v>
      </c>
      <c r="N46" s="622" t="s">
        <v>189</v>
      </c>
      <c r="O46" s="622" t="s">
        <v>190</v>
      </c>
      <c r="P46" s="622" t="s">
        <v>191</v>
      </c>
      <c r="Q46" s="622" t="s">
        <v>175</v>
      </c>
      <c r="R46" s="622" t="s">
        <v>176</v>
      </c>
      <c r="S46" s="622" t="s">
        <v>177</v>
      </c>
      <c r="T46" s="622" t="s">
        <v>763</v>
      </c>
      <c r="U46" s="622" t="s">
        <v>764</v>
      </c>
      <c r="V46" s="622" t="s">
        <v>765</v>
      </c>
    </row>
    <row r="47" spans="1:23" x14ac:dyDescent="0.25">
      <c r="B47" s="33"/>
      <c r="C47" s="1197" t="s">
        <v>311</v>
      </c>
      <c r="D47" s="1201">
        <f t="shared" ref="D47:U47" si="42">SUM(D48:D66)</f>
        <v>0</v>
      </c>
      <c r="E47" s="1201">
        <f t="shared" si="42"/>
        <v>0</v>
      </c>
      <c r="F47" s="1201">
        <f t="shared" si="42"/>
        <v>34.620851999999999</v>
      </c>
      <c r="G47" s="1201">
        <f t="shared" si="42"/>
        <v>50.996274799999995</v>
      </c>
      <c r="H47" s="1201">
        <f t="shared" si="42"/>
        <v>69.350031999999999</v>
      </c>
      <c r="I47" s="1201">
        <f t="shared" si="42"/>
        <v>79.295867999999999</v>
      </c>
      <c r="J47" s="1201">
        <f t="shared" si="42"/>
        <v>80.538927999999999</v>
      </c>
      <c r="K47" s="1201">
        <f t="shared" si="42"/>
        <v>80.122543199999996</v>
      </c>
      <c r="L47" s="1201">
        <f t="shared" si="42"/>
        <v>88.916719999999998</v>
      </c>
      <c r="M47" s="1201">
        <f t="shared" si="42"/>
        <v>92.213943999999998</v>
      </c>
      <c r="N47" s="1201">
        <f t="shared" si="42"/>
        <v>92.213943999999998</v>
      </c>
      <c r="O47" s="1201">
        <f t="shared" si="42"/>
        <v>94.213943999999998</v>
      </c>
      <c r="P47" s="1201">
        <f t="shared" si="42"/>
        <v>98.916719999999998</v>
      </c>
      <c r="Q47" s="1201">
        <f t="shared" si="42"/>
        <v>98.916719999999998</v>
      </c>
      <c r="R47" s="1201">
        <f t="shared" si="42"/>
        <v>99.081581199999988</v>
      </c>
      <c r="S47" s="1201">
        <f t="shared" si="42"/>
        <v>93.146578000000005</v>
      </c>
      <c r="T47" s="1201">
        <f t="shared" si="42"/>
        <v>86.552129999999991</v>
      </c>
      <c r="U47" s="1201">
        <f t="shared" si="42"/>
        <v>86.552129999999991</v>
      </c>
      <c r="V47" s="1201">
        <f>SUM(V48:V66)</f>
        <v>82.265738799999994</v>
      </c>
      <c r="W47" s="752">
        <f>SUM(G47:V47)/4</f>
        <v>343.32344900000004</v>
      </c>
    </row>
    <row r="48" spans="1:23" x14ac:dyDescent="0.25">
      <c r="A48" s="752">
        <v>2021</v>
      </c>
      <c r="B48" s="33" t="s">
        <v>773</v>
      </c>
      <c r="C48" s="1197"/>
      <c r="D48" s="752">
        <f>($D$8)*'ARP Timing'!B17</f>
        <v>0</v>
      </c>
      <c r="E48" s="752">
        <f>($D$8)*'ARP Timing'!C17</f>
        <v>0</v>
      </c>
      <c r="F48" s="752">
        <f>($D$8)*'ARP Timing'!D17</f>
        <v>34.620851999999999</v>
      </c>
      <c r="G48" s="752">
        <f>($D$8)*'ARP Timing'!E17</f>
        <v>45.996274799999995</v>
      </c>
      <c r="H48" s="752">
        <f>($D$8)*'ARP Timing'!F17</f>
        <v>59.350031999999992</v>
      </c>
      <c r="I48" s="752">
        <f>($D$8)*'ARP Timing'!G17</f>
        <v>64.295867999999999</v>
      </c>
      <c r="J48" s="752">
        <f>($D$8)*'ARP Timing'!H17</f>
        <v>49.458359999999999</v>
      </c>
      <c r="K48" s="752">
        <f>($D$8)*'ARP Timing'!I17</f>
        <v>49.458359999999999</v>
      </c>
      <c r="L48" s="752">
        <f>($D$8)*'ARP Timing'!J17</f>
        <v>59.350031999999992</v>
      </c>
      <c r="M48" s="752">
        <f>($D$8)*'ARP Timing'!K17</f>
        <v>59.350031999999992</v>
      </c>
      <c r="N48" s="752">
        <f>($D$8)*'ARP Timing'!L17</f>
        <v>69.241703999999999</v>
      </c>
      <c r="O48" s="752">
        <f>($D$8)*'ARP Timing'!M17</f>
        <v>69.241703999999999</v>
      </c>
      <c r="P48" s="752">
        <f>($D$8)*'ARP Timing'!N17</f>
        <v>59.350031999999992</v>
      </c>
      <c r="Q48" s="752">
        <f>($D$8)*'ARP Timing'!O17</f>
        <v>59.350031999999992</v>
      </c>
      <c r="R48" s="752">
        <f>($D$8)*'ARP Timing'!P17</f>
        <v>52.920445199999989</v>
      </c>
      <c r="S48" s="752">
        <f>($D$8)*'ARP Timing'!Q17</f>
        <v>46.985441999999992</v>
      </c>
      <c r="T48" s="752">
        <f>($D$8)*'ARP Timing'!R17</f>
        <v>46.985441999999992</v>
      </c>
      <c r="U48" s="752">
        <f>($D$8)*'ARP Timing'!S17</f>
        <v>46.985441999999992</v>
      </c>
      <c r="V48" s="752">
        <f>($D$8)*'ARP Timing'!T17</f>
        <v>46.985441999999992</v>
      </c>
    </row>
    <row r="49" spans="1:22" x14ac:dyDescent="0.25">
      <c r="B49" s="33" t="s">
        <v>330</v>
      </c>
      <c r="C49" s="1197"/>
      <c r="E49" s="752">
        <f>($E$8)*'ARP Timing'!B$17</f>
        <v>0</v>
      </c>
      <c r="F49" s="752">
        <f>($E$8)*'ARP Timing'!C$16</f>
        <v>0</v>
      </c>
      <c r="G49" s="752">
        <f>($E$8)*'ARP Timing'!D$16</f>
        <v>0</v>
      </c>
      <c r="H49" s="752">
        <f>($E$8)*'ARP Timing'!E$16</f>
        <v>0</v>
      </c>
      <c r="I49" s="752">
        <f>($E$8)*'ARP Timing'!F$16</f>
        <v>0</v>
      </c>
      <c r="J49" s="752">
        <f>($E$8)*'ARP Timing'!G$16</f>
        <v>0</v>
      </c>
      <c r="K49" s="752">
        <f>($E$8)*'ARP Timing'!H$16</f>
        <v>0</v>
      </c>
      <c r="L49" s="752">
        <f>($E$8)*'ARP Timing'!I$16</f>
        <v>0</v>
      </c>
      <c r="M49" s="752">
        <f>($E$8)*'ARP Timing'!J$16</f>
        <v>0</v>
      </c>
      <c r="N49" s="752">
        <f>($E$8)*'ARP Timing'!K$16</f>
        <v>0</v>
      </c>
      <c r="O49" s="752">
        <f>($E$8)*'ARP Timing'!L$16</f>
        <v>0</v>
      </c>
      <c r="P49" s="752">
        <f>($E$8)*'ARP Timing'!M$16</f>
        <v>0</v>
      </c>
      <c r="Q49" s="752">
        <f>($E$8)*'ARP Timing'!N$16</f>
        <v>0</v>
      </c>
      <c r="R49" s="752">
        <f>($E$8)*'ARP Timing'!O$16</f>
        <v>0</v>
      </c>
      <c r="S49" s="752">
        <f>($E$8)*'ARP Timing'!P$16</f>
        <v>0</v>
      </c>
      <c r="T49" s="752">
        <f>($E$8)*'ARP Timing'!Q$16</f>
        <v>0</v>
      </c>
      <c r="U49" s="752">
        <f>($E$8)*'ARP Timing'!R$16</f>
        <v>0</v>
      </c>
      <c r="V49" s="752">
        <f>($E$8)*'ARP Timing'!S$16</f>
        <v>0</v>
      </c>
    </row>
    <row r="50" spans="1:22" x14ac:dyDescent="0.25">
      <c r="B50" s="33" t="s">
        <v>774</v>
      </c>
      <c r="C50" s="1197"/>
      <c r="F50" s="752">
        <f>($F$8)*'ARP Timing'!C$17</f>
        <v>0</v>
      </c>
      <c r="G50" s="752">
        <f>($F$8)*'ARP Timing'!D$17</f>
        <v>0</v>
      </c>
      <c r="H50" s="752">
        <f>($F$8)*'ARP Timing'!E$17</f>
        <v>0</v>
      </c>
      <c r="I50" s="752">
        <f>($F$8)*'ARP Timing'!F$17</f>
        <v>0</v>
      </c>
      <c r="J50" s="752">
        <f>($F$8)*'ARP Timing'!G$17</f>
        <v>0</v>
      </c>
      <c r="K50" s="752">
        <f>($F$8)*'ARP Timing'!H$17</f>
        <v>0</v>
      </c>
      <c r="L50" s="752">
        <f>($F$8)*'ARP Timing'!I$17</f>
        <v>0</v>
      </c>
      <c r="M50" s="752">
        <f>($F$8)*'ARP Timing'!J$17</f>
        <v>0</v>
      </c>
      <c r="N50" s="752">
        <f>($F$8)*'ARP Timing'!K$17</f>
        <v>0</v>
      </c>
      <c r="O50" s="752">
        <f>($F$8)*'ARP Timing'!L$17</f>
        <v>0</v>
      </c>
      <c r="P50" s="752">
        <f>($F$8)*'ARP Timing'!M$17</f>
        <v>0</v>
      </c>
      <c r="Q50" s="752">
        <f>($F$8)*'ARP Timing'!N$17</f>
        <v>0</v>
      </c>
      <c r="R50" s="752">
        <f>($F$8)*'ARP Timing'!O$17</f>
        <v>0</v>
      </c>
      <c r="S50" s="752">
        <f>($F$8)*'ARP Timing'!P$17</f>
        <v>0</v>
      </c>
      <c r="T50" s="752">
        <f>($F$8)*'ARP Timing'!Q$17</f>
        <v>0</v>
      </c>
      <c r="U50" s="752">
        <f>($F$8)*'ARP Timing'!R$17</f>
        <v>0</v>
      </c>
      <c r="V50" s="752">
        <f>($F$8)*'ARP Timing'!S$17</f>
        <v>0</v>
      </c>
    </row>
    <row r="51" spans="1:22" x14ac:dyDescent="0.25">
      <c r="A51" s="752">
        <v>2022</v>
      </c>
      <c r="B51" s="33" t="s">
        <v>240</v>
      </c>
      <c r="C51" s="1197"/>
      <c r="G51" s="752">
        <f>($G$8)*'ARP Timing'!D$17</f>
        <v>0</v>
      </c>
      <c r="H51" s="752">
        <f>($G$8)*'ARP Timing'!E$17</f>
        <v>0</v>
      </c>
      <c r="I51" s="752">
        <f>($G$8)*'ARP Timing'!F$17</f>
        <v>0</v>
      </c>
      <c r="J51" s="752">
        <f>($G$8)*'ARP Timing'!G$17</f>
        <v>0</v>
      </c>
      <c r="K51" s="752">
        <f>($G$8)*'ARP Timing'!H$17</f>
        <v>0</v>
      </c>
      <c r="L51" s="752">
        <f>($G$8)*'ARP Timing'!I$17</f>
        <v>0</v>
      </c>
      <c r="M51" s="752">
        <f>($G$8)*'ARP Timing'!J$17</f>
        <v>0</v>
      </c>
      <c r="N51" s="752">
        <f>($G$8)*'ARP Timing'!K$17</f>
        <v>0</v>
      </c>
      <c r="O51" s="752">
        <f>($G$8)*'ARP Timing'!L$17</f>
        <v>0</v>
      </c>
      <c r="P51" s="752">
        <f>($G$8)*'ARP Timing'!M$17</f>
        <v>0</v>
      </c>
      <c r="Q51" s="752">
        <f>($G$8)*'ARP Timing'!N$17</f>
        <v>0</v>
      </c>
      <c r="R51" s="752">
        <f>($G$8)*'ARP Timing'!O$17</f>
        <v>0</v>
      </c>
      <c r="S51" s="752">
        <f>($G$8)*'ARP Timing'!P$17</f>
        <v>0</v>
      </c>
      <c r="T51" s="752">
        <f>($G$8)*'ARP Timing'!Q$17</f>
        <v>0</v>
      </c>
      <c r="U51" s="752">
        <f>($G$8)*'ARP Timing'!R$17</f>
        <v>0</v>
      </c>
      <c r="V51" s="752">
        <f>($G$8)*'ARP Timing'!S$17</f>
        <v>0</v>
      </c>
    </row>
    <row r="52" spans="1:22" x14ac:dyDescent="0.25">
      <c r="B52" s="33" t="s">
        <v>241</v>
      </c>
      <c r="C52" s="1197"/>
      <c r="H52" s="752">
        <f>($H$8)*'ARP Timing'!B$17</f>
        <v>0</v>
      </c>
      <c r="I52" s="752">
        <f>($H$8)*'ARP Timing'!C$17</f>
        <v>0</v>
      </c>
      <c r="J52" s="752">
        <f>($H$8)*'ARP Timing'!D$17</f>
        <v>23.080568000000003</v>
      </c>
      <c r="K52" s="752">
        <f>($H$8)*'ARP Timing'!E$17</f>
        <v>30.6641832</v>
      </c>
      <c r="L52" s="752">
        <f>($H$8)*'ARP Timing'!F$17</f>
        <v>39.566687999999999</v>
      </c>
      <c r="M52" s="752">
        <f>($H$8)*'ARP Timing'!G$17</f>
        <v>42.863911999999999</v>
      </c>
      <c r="N52" s="752">
        <f>($H$8)*'ARP Timing'!H$17</f>
        <v>32.972239999999999</v>
      </c>
      <c r="O52" s="752">
        <f>($H$8)*'ARP Timing'!I$17</f>
        <v>32.972239999999999</v>
      </c>
      <c r="P52" s="752">
        <f>($H$8)*'ARP Timing'!J$17</f>
        <v>39.566687999999999</v>
      </c>
      <c r="Q52" s="752">
        <f>($H$8)*'ARP Timing'!K$17</f>
        <v>39.566687999999999</v>
      </c>
      <c r="R52" s="752">
        <f>($H$8)*'ARP Timing'!L$17</f>
        <v>46.161136000000006</v>
      </c>
      <c r="S52" s="752">
        <f>($H$8)*'ARP Timing'!M$17</f>
        <v>46.161136000000006</v>
      </c>
      <c r="T52" s="752">
        <f>($H$8)*'ARP Timing'!N$17</f>
        <v>39.566687999999999</v>
      </c>
      <c r="U52" s="752">
        <f>($H$8)*'ARP Timing'!O$17</f>
        <v>39.566687999999999</v>
      </c>
      <c r="V52" s="752">
        <f>($H$8)*'ARP Timing'!P$17</f>
        <v>35.280296800000002</v>
      </c>
    </row>
    <row r="53" spans="1:22" x14ac:dyDescent="0.25">
      <c r="B53" s="33" t="s">
        <v>330</v>
      </c>
      <c r="C53" s="1197"/>
      <c r="H53" s="1197"/>
      <c r="I53" s="752">
        <f>($I$8)*'ARP Timing'!B$17</f>
        <v>0</v>
      </c>
      <c r="J53" s="752">
        <f>($I$8)*'ARP Timing'!C$17</f>
        <v>0</v>
      </c>
      <c r="K53" s="752">
        <f>($I$8)*'ARP Timing'!D$17</f>
        <v>0</v>
      </c>
      <c r="L53" s="752">
        <f>($I$8)*'ARP Timing'!E$17</f>
        <v>0</v>
      </c>
      <c r="M53" s="752">
        <f>($I$8)*'ARP Timing'!F$17</f>
        <v>0</v>
      </c>
      <c r="N53" s="752">
        <f>($I$8)*'ARP Timing'!G$17</f>
        <v>0</v>
      </c>
      <c r="O53" s="752">
        <f>($I$8)*'ARP Timing'!H$17</f>
        <v>0</v>
      </c>
      <c r="P53" s="752">
        <f>($I$8)*'ARP Timing'!I$17</f>
        <v>0</v>
      </c>
      <c r="Q53" s="752">
        <f>($I$8)*'ARP Timing'!J$17</f>
        <v>0</v>
      </c>
      <c r="R53" s="752">
        <f>($I$8)*'ARP Timing'!K$17</f>
        <v>0</v>
      </c>
      <c r="S53" s="752">
        <f>($I$8)*'ARP Timing'!L$17</f>
        <v>0</v>
      </c>
      <c r="T53" s="752">
        <f>($I$8)*'ARP Timing'!M$17</f>
        <v>0</v>
      </c>
      <c r="U53" s="752">
        <f>($I$8)*'ARP Timing'!N$17</f>
        <v>0</v>
      </c>
      <c r="V53" s="752">
        <f>($I$8)*'ARP Timing'!O$17</f>
        <v>0</v>
      </c>
    </row>
    <row r="54" spans="1:22" x14ac:dyDescent="0.25">
      <c r="B54" s="33" t="s">
        <v>774</v>
      </c>
      <c r="C54" s="1197"/>
      <c r="H54" s="1197"/>
    </row>
    <row r="55" spans="1:22" x14ac:dyDescent="0.25">
      <c r="A55" s="752">
        <v>2023</v>
      </c>
      <c r="B55" s="33" t="s">
        <v>240</v>
      </c>
      <c r="C55" s="1197"/>
      <c r="H55" s="1197"/>
    </row>
    <row r="56" spans="1:22" x14ac:dyDescent="0.25">
      <c r="B56" s="33" t="s">
        <v>241</v>
      </c>
      <c r="C56" s="1197"/>
      <c r="H56" s="1197"/>
    </row>
    <row r="57" spans="1:22" x14ac:dyDescent="0.25">
      <c r="B57" s="33" t="s">
        <v>330</v>
      </c>
      <c r="C57" s="1197"/>
      <c r="H57" s="1197"/>
    </row>
    <row r="58" spans="1:22" x14ac:dyDescent="0.25">
      <c r="B58" s="33" t="s">
        <v>774</v>
      </c>
      <c r="C58" s="1197"/>
      <c r="H58" s="1197"/>
    </row>
    <row r="59" spans="1:22" x14ac:dyDescent="0.25">
      <c r="A59" s="752">
        <v>2024</v>
      </c>
      <c r="B59" s="33" t="s">
        <v>240</v>
      </c>
      <c r="C59" s="1197"/>
      <c r="H59" s="1197"/>
    </row>
    <row r="60" spans="1:22" x14ac:dyDescent="0.25">
      <c r="B60" s="33" t="s">
        <v>241</v>
      </c>
      <c r="C60" s="1197"/>
      <c r="H60" s="1197"/>
    </row>
    <row r="61" spans="1:22" x14ac:dyDescent="0.25">
      <c r="B61" s="33" t="s">
        <v>330</v>
      </c>
      <c r="C61" s="1197"/>
      <c r="H61" s="1197"/>
    </row>
    <row r="62" spans="1:22" x14ac:dyDescent="0.25">
      <c r="B62" s="33" t="s">
        <v>774</v>
      </c>
      <c r="C62" s="1197"/>
      <c r="H62" s="1197"/>
    </row>
    <row r="63" spans="1:22" x14ac:dyDescent="0.25">
      <c r="A63" t="s">
        <v>887</v>
      </c>
      <c r="B63" s="33"/>
      <c r="C63" s="1197"/>
      <c r="G63">
        <v>5</v>
      </c>
      <c r="H63" s="1197">
        <v>10</v>
      </c>
      <c r="I63">
        <v>15</v>
      </c>
      <c r="J63">
        <v>8</v>
      </c>
      <c r="K63">
        <v>0</v>
      </c>
      <c r="L63">
        <v>-10</v>
      </c>
      <c r="M63">
        <v>-10</v>
      </c>
      <c r="N63">
        <v>-10</v>
      </c>
      <c r="O63">
        <v>-8</v>
      </c>
    </row>
    <row r="64" spans="1:22" x14ac:dyDescent="0.25">
      <c r="B64" s="33"/>
      <c r="C64" s="1197"/>
      <c r="H64" s="1197"/>
    </row>
    <row r="65" spans="2:24" x14ac:dyDescent="0.25">
      <c r="B65" s="33"/>
      <c r="C65" s="1197"/>
      <c r="H65" s="1197"/>
    </row>
    <row r="66" spans="2:24" x14ac:dyDescent="0.25">
      <c r="B66" s="33"/>
      <c r="C66" s="1197"/>
      <c r="H66" s="1197"/>
    </row>
    <row r="67" spans="2:24" x14ac:dyDescent="0.25">
      <c r="B67" s="33"/>
      <c r="C67" s="1197"/>
      <c r="H67" s="1197"/>
    </row>
    <row r="68" spans="2:24" x14ac:dyDescent="0.25">
      <c r="B68" s="33"/>
      <c r="C68" s="1197"/>
      <c r="H68" s="1197"/>
    </row>
    <row r="69" spans="2:24" x14ac:dyDescent="0.25">
      <c r="B69" s="33"/>
      <c r="C69" s="1197"/>
      <c r="H69" s="1197"/>
    </row>
    <row r="70" spans="2:24" x14ac:dyDescent="0.25">
      <c r="B70" s="33"/>
      <c r="C70" s="1197"/>
      <c r="H70" s="1197"/>
    </row>
    <row r="71" spans="2:24" x14ac:dyDescent="0.25">
      <c r="B71" s="33"/>
      <c r="C71" s="1197"/>
      <c r="H71" s="1197"/>
    </row>
    <row r="72" spans="2:24" x14ac:dyDescent="0.25">
      <c r="B72" s="33"/>
      <c r="C72" s="1197"/>
      <c r="H72" s="1197"/>
    </row>
    <row r="73" spans="2:24" x14ac:dyDescent="0.25">
      <c r="B73" s="33" t="s">
        <v>776</v>
      </c>
      <c r="C73" s="1198">
        <v>2021</v>
      </c>
      <c r="D73" s="1198">
        <v>2022</v>
      </c>
      <c r="E73" s="1198">
        <v>2023</v>
      </c>
      <c r="F73" s="1198">
        <v>2024</v>
      </c>
      <c r="G73" s="1198">
        <v>2025</v>
      </c>
      <c r="H73" s="1197"/>
    </row>
    <row r="74" spans="2:24" x14ac:dyDescent="0.25">
      <c r="B74" s="33" t="s">
        <v>673</v>
      </c>
      <c r="C74" s="1202">
        <f t="shared" ref="C74:C85" si="43">SUM(C4:E4)/4</f>
        <v>0.77600000000001046</v>
      </c>
      <c r="D74" s="1202">
        <f t="shared" ref="D74:D85" si="44">SUM(F4:I4)/4</f>
        <v>19.719000000000005</v>
      </c>
      <c r="E74" s="1202">
        <f t="shared" ref="E74:E85" si="45">SUM(J4:M4)/4</f>
        <v>1.4159999999999999</v>
      </c>
      <c r="F74" s="1202">
        <f t="shared" ref="F74:F85" si="46">SUM(N4:Q4)/4</f>
        <v>1.4790000000000001</v>
      </c>
      <c r="G74" s="1202">
        <f t="shared" ref="G74:G85" si="47">SUM(R4:U4)/4</f>
        <v>1.63</v>
      </c>
    </row>
    <row r="75" spans="2:24" x14ac:dyDescent="0.25">
      <c r="B75" s="33" t="s">
        <v>674</v>
      </c>
      <c r="C75" s="1202">
        <f t="shared" si="43"/>
        <v>19.722000000000016</v>
      </c>
      <c r="D75" s="1202">
        <f t="shared" si="44"/>
        <v>52.756999999999998</v>
      </c>
      <c r="E75" s="1202">
        <f t="shared" si="45"/>
        <v>12</v>
      </c>
      <c r="F75" s="1202">
        <f t="shared" si="46"/>
        <v>4.2219999999999995</v>
      </c>
      <c r="G75" s="1202">
        <f t="shared" si="47"/>
        <v>2.3719999999999999</v>
      </c>
      <c r="H75" s="1197"/>
    </row>
    <row r="76" spans="2:24" x14ac:dyDescent="0.25">
      <c r="B76" s="33" t="s">
        <v>52</v>
      </c>
      <c r="C76" s="1202">
        <f t="shared" si="43"/>
        <v>81.643000000000001</v>
      </c>
      <c r="D76" s="1202">
        <f t="shared" si="44"/>
        <v>110.24799999999999</v>
      </c>
      <c r="E76" s="1202">
        <f t="shared" si="45"/>
        <v>12.726000000000001</v>
      </c>
      <c r="F76" s="1202">
        <f t="shared" si="46"/>
        <v>1.365</v>
      </c>
      <c r="G76" s="1202">
        <f t="shared" si="47"/>
        <v>-0.90100000000000025</v>
      </c>
      <c r="H76" s="1197"/>
      <c r="O76" s="33"/>
      <c r="P76" s="33"/>
      <c r="Q76" s="33"/>
      <c r="R76" s="33"/>
      <c r="S76" s="1203"/>
      <c r="T76" s="1203"/>
      <c r="U76" s="1203"/>
      <c r="V76" s="14"/>
      <c r="W76" s="33"/>
      <c r="X76" s="33"/>
    </row>
    <row r="77" spans="2:24" x14ac:dyDescent="0.25">
      <c r="B77" s="33" t="s">
        <v>131</v>
      </c>
      <c r="C77" s="1202">
        <f t="shared" si="43"/>
        <v>7.798</v>
      </c>
      <c r="D77" s="1202">
        <f t="shared" si="44"/>
        <v>7.9489999999999998</v>
      </c>
      <c r="E77" s="1202">
        <f t="shared" si="45"/>
        <v>4.7519999999999998</v>
      </c>
      <c r="F77" s="1202">
        <f t="shared" si="46"/>
        <v>4.637999999999999</v>
      </c>
      <c r="G77" s="1202">
        <f t="shared" si="47"/>
        <v>1.8800000000000001</v>
      </c>
      <c r="H77" s="1197"/>
    </row>
    <row r="78" spans="2:24" x14ac:dyDescent="0.25">
      <c r="B78" s="1200" t="s">
        <v>347</v>
      </c>
      <c r="C78" s="1202">
        <f t="shared" si="43"/>
        <v>247.29179999999997</v>
      </c>
      <c r="D78" s="1202">
        <f t="shared" si="44"/>
        <v>164.8612</v>
      </c>
      <c r="E78" s="1202">
        <f t="shared" si="45"/>
        <v>0</v>
      </c>
      <c r="F78" s="1202">
        <f t="shared" si="46"/>
        <v>0</v>
      </c>
      <c r="G78" s="1202">
        <f t="shared" si="47"/>
        <v>0</v>
      </c>
      <c r="H78" s="1197"/>
      <c r="R78" s="1168"/>
      <c r="S78" s="1168"/>
    </row>
    <row r="79" spans="2:24" x14ac:dyDescent="0.25">
      <c r="B79" s="1200" t="s">
        <v>150</v>
      </c>
      <c r="C79" s="1202">
        <f t="shared" si="43"/>
        <v>12.347</v>
      </c>
      <c r="D79" s="1202">
        <f t="shared" si="44"/>
        <v>46.79</v>
      </c>
      <c r="E79" s="1202">
        <f t="shared" si="45"/>
        <v>38.595999999999997</v>
      </c>
      <c r="F79" s="1202">
        <f t="shared" si="46"/>
        <v>31.911000000000001</v>
      </c>
      <c r="G79" s="1202">
        <f t="shared" si="47"/>
        <v>23.099</v>
      </c>
      <c r="H79" s="1197"/>
      <c r="R79" s="1168"/>
      <c r="S79" s="1168"/>
    </row>
    <row r="80" spans="2:24" x14ac:dyDescent="0.25">
      <c r="B80" s="1200" t="s">
        <v>363</v>
      </c>
      <c r="C80" s="1202">
        <f t="shared" si="43"/>
        <v>29.628</v>
      </c>
      <c r="D80" s="1202">
        <f t="shared" si="44"/>
        <v>35.671000000000006</v>
      </c>
      <c r="E80" s="1202">
        <f t="shared" si="45"/>
        <v>24.216000000000001</v>
      </c>
      <c r="F80" s="1202">
        <f t="shared" si="46"/>
        <v>9.6430000000000007</v>
      </c>
      <c r="G80" s="1202">
        <f t="shared" si="47"/>
        <v>4.5789999999999997</v>
      </c>
      <c r="H80" s="1197"/>
      <c r="R80" s="1168"/>
      <c r="S80" s="1168"/>
    </row>
    <row r="81" spans="2:19" x14ac:dyDescent="0.25">
      <c r="B81" s="14" t="s">
        <v>159</v>
      </c>
      <c r="C81" s="1202">
        <f t="shared" si="43"/>
        <v>25.75</v>
      </c>
      <c r="D81" s="1202">
        <f t="shared" si="44"/>
        <v>0</v>
      </c>
      <c r="E81" s="1202">
        <f t="shared" si="45"/>
        <v>0</v>
      </c>
      <c r="F81" s="1202">
        <f t="shared" si="46"/>
        <v>0</v>
      </c>
      <c r="G81" s="1202">
        <f t="shared" si="47"/>
        <v>0</v>
      </c>
      <c r="H81" s="1197"/>
      <c r="R81" s="1168"/>
      <c r="S81" s="1168"/>
    </row>
    <row r="82" spans="2:19" x14ac:dyDescent="0.25">
      <c r="B82" s="33" t="s">
        <v>109</v>
      </c>
      <c r="C82" s="1202">
        <f t="shared" si="43"/>
        <v>31.939</v>
      </c>
      <c r="D82" s="1202">
        <f t="shared" si="44"/>
        <v>56.413000000000004</v>
      </c>
      <c r="E82" s="1202">
        <f t="shared" si="45"/>
        <v>15.652999999999999</v>
      </c>
      <c r="F82" s="1202">
        <f t="shared" si="46"/>
        <v>3.9320000000000004</v>
      </c>
      <c r="G82" s="1202">
        <f t="shared" si="47"/>
        <v>-0.74299999999999988</v>
      </c>
      <c r="R82" s="1168"/>
      <c r="S82" s="1168"/>
    </row>
    <row r="83" spans="2:19" x14ac:dyDescent="0.25">
      <c r="B83" s="752" t="s">
        <v>767</v>
      </c>
      <c r="C83" s="1202">
        <f t="shared" si="43"/>
        <v>1.02</v>
      </c>
      <c r="D83" s="1202">
        <f t="shared" si="44"/>
        <v>1.5299999999999998</v>
      </c>
      <c r="E83" s="1202">
        <f t="shared" si="45"/>
        <v>0</v>
      </c>
      <c r="F83" s="1202">
        <f t="shared" si="46"/>
        <v>0</v>
      </c>
      <c r="G83" s="1202">
        <f t="shared" si="47"/>
        <v>0</v>
      </c>
      <c r="R83" s="1168"/>
      <c r="S83" s="1168"/>
    </row>
    <row r="84" spans="2:19" x14ac:dyDescent="0.25">
      <c r="B84" s="752" t="s">
        <v>768</v>
      </c>
      <c r="C84" s="1202">
        <f t="shared" si="43"/>
        <v>0.67999999999999994</v>
      </c>
      <c r="D84" s="1202">
        <f t="shared" si="44"/>
        <v>1.02</v>
      </c>
      <c r="E84" s="1202">
        <f t="shared" si="45"/>
        <v>0</v>
      </c>
      <c r="F84" s="1202">
        <f t="shared" si="46"/>
        <v>0</v>
      </c>
      <c r="G84" s="1202">
        <f t="shared" si="47"/>
        <v>0</v>
      </c>
      <c r="R84" s="1168"/>
      <c r="S84" s="1168"/>
    </row>
    <row r="85" spans="2:19" x14ac:dyDescent="0.25">
      <c r="B85" s="752" t="s">
        <v>469</v>
      </c>
      <c r="C85" s="1202">
        <f t="shared" si="43"/>
        <v>1.6999999999999997</v>
      </c>
      <c r="D85" s="1202">
        <f t="shared" si="44"/>
        <v>2.5499999999999998</v>
      </c>
      <c r="E85" s="1202">
        <f t="shared" si="45"/>
        <v>0</v>
      </c>
      <c r="F85" s="1202">
        <f t="shared" si="46"/>
        <v>0</v>
      </c>
      <c r="G85" s="1202">
        <f t="shared" si="47"/>
        <v>0</v>
      </c>
      <c r="R85" s="1168"/>
      <c r="S85" s="1168"/>
    </row>
    <row r="86" spans="2:19" x14ac:dyDescent="0.25">
      <c r="C86" s="1198">
        <v>2021</v>
      </c>
      <c r="D86" s="1198">
        <v>2022</v>
      </c>
      <c r="E86" s="1198">
        <v>2023</v>
      </c>
      <c r="F86" s="1198">
        <v>2024</v>
      </c>
      <c r="G86" s="1198">
        <v>2025</v>
      </c>
      <c r="R86" s="1168"/>
      <c r="S86" s="1168"/>
    </row>
    <row r="87" spans="2:19" x14ac:dyDescent="0.25">
      <c r="B87" s="752" t="s">
        <v>777</v>
      </c>
      <c r="C87" s="1201">
        <f>SUM(C83:C85)</f>
        <v>3.3999999999999995</v>
      </c>
      <c r="D87" s="1201">
        <f t="shared" ref="D87:G87" si="48">SUM(D83:D85)</f>
        <v>5.0999999999999996</v>
      </c>
      <c r="E87" s="1201">
        <f t="shared" si="48"/>
        <v>0</v>
      </c>
      <c r="F87" s="1201">
        <f t="shared" si="48"/>
        <v>0</v>
      </c>
      <c r="G87" s="1201">
        <f t="shared" si="48"/>
        <v>0</v>
      </c>
      <c r="R87" s="1168"/>
      <c r="S87" s="1168"/>
    </row>
    <row r="90" spans="2:19" x14ac:dyDescent="0.25">
      <c r="B90" s="752" t="s">
        <v>673</v>
      </c>
      <c r="C90" s="1202">
        <v>26.636000000000024</v>
      </c>
      <c r="D90" s="1202">
        <v>98.978999999999999</v>
      </c>
      <c r="E90" s="1202">
        <v>2.1159999999999997</v>
      </c>
      <c r="F90" s="1202">
        <v>2.1789999999999998</v>
      </c>
      <c r="G90" s="1202">
        <v>2.33</v>
      </c>
      <c r="H90" s="1202"/>
      <c r="I90" s="1202"/>
      <c r="J90" s="1202"/>
      <c r="K90" s="1202"/>
      <c r="L90" s="1202"/>
      <c r="M90" s="1202"/>
    </row>
    <row r="91" spans="2:19" x14ac:dyDescent="0.25">
      <c r="B91" s="752" t="s">
        <v>674</v>
      </c>
      <c r="C91" s="1202">
        <v>47.722000000000016</v>
      </c>
      <c r="D91" s="1202">
        <v>52.756999999999998</v>
      </c>
      <c r="E91" s="1202">
        <v>12</v>
      </c>
      <c r="F91" s="1202">
        <v>4.2219999999999995</v>
      </c>
      <c r="G91" s="1202">
        <v>2.3719999999999999</v>
      </c>
      <c r="H91" s="1202"/>
      <c r="I91" s="1202"/>
      <c r="J91" s="1202"/>
      <c r="K91" s="1202"/>
      <c r="L91" s="1202"/>
      <c r="M91" s="1202"/>
    </row>
    <row r="92" spans="2:19" x14ac:dyDescent="0.25">
      <c r="B92" s="752" t="s">
        <v>52</v>
      </c>
      <c r="C92" s="1202">
        <v>81.842999999999989</v>
      </c>
      <c r="D92" s="1202">
        <v>110.24799999999999</v>
      </c>
      <c r="E92" s="1202">
        <v>12.726000000000001</v>
      </c>
      <c r="F92" s="1202">
        <v>1.365</v>
      </c>
      <c r="G92" s="1202">
        <v>-0.90100000000000025</v>
      </c>
      <c r="H92" s="1202"/>
      <c r="I92" s="1202"/>
      <c r="J92" s="1202"/>
      <c r="K92" s="1202"/>
      <c r="L92" s="1202"/>
      <c r="M92" s="1202"/>
    </row>
    <row r="93" spans="2:19" x14ac:dyDescent="0.25">
      <c r="B93" s="752" t="s">
        <v>131</v>
      </c>
      <c r="C93" s="1202">
        <v>7.798</v>
      </c>
      <c r="D93" s="1202">
        <v>7.9489999999999998</v>
      </c>
      <c r="E93" s="1202">
        <v>4.7519999999999998</v>
      </c>
      <c r="F93" s="1202">
        <v>4.637999999999999</v>
      </c>
      <c r="G93" s="1202">
        <v>1.8800000000000001</v>
      </c>
      <c r="H93" s="1202"/>
      <c r="I93" s="1202"/>
      <c r="J93" s="1202"/>
      <c r="K93" s="1202"/>
      <c r="L93" s="1202"/>
      <c r="M93" s="1202"/>
    </row>
    <row r="94" spans="2:19" x14ac:dyDescent="0.25">
      <c r="B94" s="752" t="s">
        <v>347</v>
      </c>
      <c r="C94" s="1202">
        <v>283.95749999999998</v>
      </c>
      <c r="D94" s="1202">
        <v>77.092500000000001</v>
      </c>
      <c r="E94" s="1202">
        <v>1</v>
      </c>
      <c r="F94" s="1202">
        <v>0</v>
      </c>
      <c r="G94" s="1202">
        <v>0</v>
      </c>
      <c r="H94" s="1202"/>
      <c r="I94" s="1202"/>
      <c r="J94" s="1202"/>
      <c r="K94" s="1202"/>
      <c r="L94" s="1202"/>
      <c r="M94" s="1202"/>
    </row>
    <row r="95" spans="2:19" x14ac:dyDescent="0.25">
      <c r="B95" s="752" t="s">
        <v>150</v>
      </c>
      <c r="C95" s="1202">
        <v>12.347</v>
      </c>
      <c r="D95" s="1202">
        <v>46.79</v>
      </c>
      <c r="E95" s="1202">
        <v>38.595999999999997</v>
      </c>
      <c r="F95" s="1202">
        <v>31.911000000000001</v>
      </c>
      <c r="G95" s="1202">
        <v>23.099</v>
      </c>
      <c r="H95" s="1202"/>
      <c r="I95" s="1202"/>
      <c r="J95" s="1202"/>
      <c r="K95" s="1202"/>
      <c r="L95" s="1202"/>
      <c r="M95" s="1202"/>
    </row>
    <row r="96" spans="2:19" x14ac:dyDescent="0.25">
      <c r="B96" s="752" t="s">
        <v>363</v>
      </c>
      <c r="C96" s="1202">
        <v>2.286</v>
      </c>
      <c r="D96" s="1202">
        <v>4.6049999999999995</v>
      </c>
      <c r="E96" s="1202">
        <v>1.349</v>
      </c>
      <c r="F96" s="1202">
        <v>0.441</v>
      </c>
      <c r="G96" s="1202">
        <v>0.313</v>
      </c>
      <c r="H96" s="1202"/>
      <c r="I96" s="1202"/>
      <c r="J96" s="1202"/>
      <c r="K96" s="1202"/>
      <c r="L96" s="1202"/>
      <c r="M96" s="1202"/>
    </row>
    <row r="97" spans="2:13" x14ac:dyDescent="0.25">
      <c r="B97" s="752" t="s">
        <v>159</v>
      </c>
      <c r="C97" s="1202">
        <v>25.75</v>
      </c>
      <c r="D97" s="1202">
        <v>0</v>
      </c>
      <c r="E97" s="1202">
        <v>0</v>
      </c>
      <c r="F97" s="1202">
        <v>0</v>
      </c>
      <c r="G97" s="1202">
        <v>0</v>
      </c>
      <c r="H97" s="1202"/>
      <c r="I97" s="1202"/>
      <c r="J97" s="1202"/>
      <c r="K97" s="1202"/>
      <c r="L97" s="1202"/>
      <c r="M97" s="1202"/>
    </row>
    <row r="98" spans="2:13" x14ac:dyDescent="0.25">
      <c r="B98" s="752" t="s">
        <v>109</v>
      </c>
      <c r="C98" s="1202">
        <v>60.441000000000003</v>
      </c>
      <c r="D98" s="1202">
        <v>91.678999999999988</v>
      </c>
      <c r="E98" s="1202">
        <v>41.220000000000006</v>
      </c>
      <c r="F98" s="1202">
        <v>14.004000000000003</v>
      </c>
      <c r="G98" s="1202">
        <v>3.8530000000000006</v>
      </c>
      <c r="H98" s="1202"/>
      <c r="I98" s="1202"/>
      <c r="J98" s="1202"/>
      <c r="K98" s="1202"/>
      <c r="L98" s="1202"/>
      <c r="M98" s="1202"/>
    </row>
    <row r="99" spans="2:13" x14ac:dyDescent="0.25">
      <c r="C99" s="1198">
        <v>3.4</v>
      </c>
      <c r="D99" s="1198">
        <v>5.0999999999999996</v>
      </c>
      <c r="E99" s="1198">
        <v>0</v>
      </c>
      <c r="F99" s="1198">
        <v>0</v>
      </c>
    </row>
  </sheetData>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252"/>
  <sheetViews>
    <sheetView workbookViewId="0"/>
  </sheetViews>
  <sheetFormatPr defaultColWidth="10.85546875" defaultRowHeight="15" x14ac:dyDescent="0.25"/>
  <sheetData>
    <row r="1" spans="1:12" x14ac:dyDescent="0.25">
      <c r="A1" s="69" t="s">
        <v>1429</v>
      </c>
      <c r="B1" s="69" t="s">
        <v>1430</v>
      </c>
      <c r="C1" s="69" t="s">
        <v>1431</v>
      </c>
      <c r="D1" s="69" t="s">
        <v>1432</v>
      </c>
      <c r="E1" s="69" t="s">
        <v>1433</v>
      </c>
      <c r="F1" s="69" t="s">
        <v>1434</v>
      </c>
      <c r="G1" s="69" t="s">
        <v>919</v>
      </c>
      <c r="H1" s="69" t="s">
        <v>920</v>
      </c>
      <c r="I1" s="69" t="s">
        <v>921</v>
      </c>
      <c r="J1" s="69" t="s">
        <v>922</v>
      </c>
      <c r="K1" s="69" t="s">
        <v>923</v>
      </c>
      <c r="L1" s="69" t="s">
        <v>924</v>
      </c>
    </row>
    <row r="2" spans="1:12" x14ac:dyDescent="0.25">
      <c r="A2">
        <v>4.5079018442711401E-2</v>
      </c>
      <c r="B2">
        <v>5.3878515900577198E-2</v>
      </c>
      <c r="C2">
        <v>8.2063006909154398E-2</v>
      </c>
      <c r="D2">
        <v>0.104421067414309</v>
      </c>
      <c r="E2" t="s">
        <v>1435</v>
      </c>
      <c r="F2" t="s">
        <v>1436</v>
      </c>
      <c r="G2">
        <v>13.106999999999999</v>
      </c>
      <c r="H2">
        <v>1.9913023575188999E-2</v>
      </c>
      <c r="I2">
        <v>16.824999999999999</v>
      </c>
      <c r="J2">
        <v>2.51411589895989E-2</v>
      </c>
      <c r="K2" t="s">
        <v>925</v>
      </c>
      <c r="L2" t="s">
        <v>926</v>
      </c>
    </row>
    <row r="3" spans="1:12" x14ac:dyDescent="0.25">
      <c r="A3">
        <v>4.5079018442711401E-2</v>
      </c>
      <c r="B3">
        <v>5.3878515900577198E-2</v>
      </c>
      <c r="C3">
        <v>8.2063006909154398E-2</v>
      </c>
      <c r="D3">
        <v>0.104421067414309</v>
      </c>
      <c r="E3" t="s">
        <v>1437</v>
      </c>
      <c r="F3" t="s">
        <v>1436</v>
      </c>
      <c r="G3">
        <v>13.368</v>
      </c>
      <c r="H3">
        <v>1.9913023575188999E-2</v>
      </c>
      <c r="I3">
        <v>17.248000000000001</v>
      </c>
      <c r="J3">
        <v>2.51411589895989E-2</v>
      </c>
      <c r="K3" t="s">
        <v>927</v>
      </c>
      <c r="L3" t="s">
        <v>926</v>
      </c>
    </row>
    <row r="4" spans="1:12" x14ac:dyDescent="0.25">
      <c r="A4">
        <v>3.9419555818651898E-2</v>
      </c>
      <c r="B4">
        <v>6.9938689583740596E-2</v>
      </c>
      <c r="C4">
        <v>7.2508506661211405E-2</v>
      </c>
      <c r="D4">
        <v>7.9737360467493398E-2</v>
      </c>
      <c r="E4" t="s">
        <v>1438</v>
      </c>
      <c r="F4" t="s">
        <v>1436</v>
      </c>
      <c r="G4">
        <v>13.603999999999999</v>
      </c>
      <c r="H4">
        <v>1.7654099341711402E-2</v>
      </c>
      <c r="I4">
        <v>17.582000000000001</v>
      </c>
      <c r="J4">
        <v>1.9364564007421099E-2</v>
      </c>
      <c r="K4" t="s">
        <v>928</v>
      </c>
      <c r="L4" t="s">
        <v>926</v>
      </c>
    </row>
    <row r="5" spans="1:12" x14ac:dyDescent="0.25">
      <c r="A5">
        <v>5.2824828770235303E-2</v>
      </c>
      <c r="B5">
        <v>5.1823422551402501E-2</v>
      </c>
      <c r="C5">
        <v>6.9052453854286294E-2</v>
      </c>
      <c r="D5">
        <v>0.10539397910227</v>
      </c>
      <c r="E5" t="s">
        <v>1439</v>
      </c>
      <c r="F5" t="s">
        <v>1436</v>
      </c>
      <c r="G5">
        <v>13.833</v>
      </c>
      <c r="H5">
        <v>1.6833284328138898E-2</v>
      </c>
      <c r="I5">
        <v>18.027999999999999</v>
      </c>
      <c r="J5">
        <v>2.5366852462745899E-2</v>
      </c>
      <c r="K5" t="s">
        <v>929</v>
      </c>
      <c r="L5" t="s">
        <v>926</v>
      </c>
    </row>
    <row r="6" spans="1:12" x14ac:dyDescent="0.25">
      <c r="A6">
        <v>3.85286878692137E-2</v>
      </c>
      <c r="B6">
        <v>0.132788480581229</v>
      </c>
      <c r="C6">
        <v>0.10231116414477499</v>
      </c>
      <c r="D6">
        <v>6.9175988166702701E-2</v>
      </c>
      <c r="E6" t="s">
        <v>1440</v>
      </c>
      <c r="F6" t="s">
        <v>1436</v>
      </c>
      <c r="G6">
        <v>14.173999999999999</v>
      </c>
      <c r="H6">
        <v>2.4651196414371399E-2</v>
      </c>
      <c r="I6">
        <v>18.332000000000001</v>
      </c>
      <c r="J6">
        <v>1.6862658087419598E-2</v>
      </c>
      <c r="K6" t="s">
        <v>930</v>
      </c>
      <c r="L6" t="s">
        <v>926</v>
      </c>
    </row>
    <row r="7" spans="1:12" x14ac:dyDescent="0.25">
      <c r="A7">
        <v>4.6230845754161802E-2</v>
      </c>
      <c r="B7">
        <v>7.6806429060699302E-2</v>
      </c>
      <c r="C7">
        <v>7.6908368677740299E-2</v>
      </c>
      <c r="D7">
        <v>6.5481053360561203E-2</v>
      </c>
      <c r="E7" t="s">
        <v>1441</v>
      </c>
      <c r="F7" t="s">
        <v>1436</v>
      </c>
      <c r="G7">
        <v>14.439</v>
      </c>
      <c r="H7">
        <v>1.8696204317764999E-2</v>
      </c>
      <c r="I7">
        <v>18.625</v>
      </c>
      <c r="J7">
        <v>1.59829805804057E-2</v>
      </c>
      <c r="K7" t="s">
        <v>931</v>
      </c>
      <c r="L7" t="s">
        <v>926</v>
      </c>
    </row>
    <row r="8" spans="1:12" x14ac:dyDescent="0.25">
      <c r="A8">
        <v>4.0000704948734103E-2</v>
      </c>
      <c r="B8">
        <v>5.9184461037305798E-2</v>
      </c>
      <c r="C8">
        <v>6.1773509542664397E-2</v>
      </c>
      <c r="D8">
        <v>4.4315280925248897E-2</v>
      </c>
      <c r="E8" t="s">
        <v>1442</v>
      </c>
      <c r="F8" t="s">
        <v>1436</v>
      </c>
      <c r="G8">
        <v>14.657</v>
      </c>
      <c r="H8">
        <v>1.5097998476348899E-2</v>
      </c>
      <c r="I8">
        <v>18.827999999999999</v>
      </c>
      <c r="J8">
        <v>1.0899328859060401E-2</v>
      </c>
      <c r="K8" t="s">
        <v>932</v>
      </c>
      <c r="L8" t="s">
        <v>926</v>
      </c>
    </row>
    <row r="9" spans="1:12" x14ac:dyDescent="0.25">
      <c r="A9">
        <v>2.5035607973723999E-2</v>
      </c>
      <c r="B9">
        <v>8.3819893360376693E-2</v>
      </c>
      <c r="C9">
        <v>3.6793688078589702E-2</v>
      </c>
      <c r="D9">
        <v>7.0854524877743894E-2</v>
      </c>
      <c r="E9" t="s">
        <v>1443</v>
      </c>
      <c r="F9" t="s">
        <v>1436</v>
      </c>
      <c r="G9">
        <v>14.79</v>
      </c>
      <c r="H9">
        <v>9.0741625162038507E-3</v>
      </c>
      <c r="I9">
        <v>19.152999999999999</v>
      </c>
      <c r="J9">
        <v>1.7261525387720401E-2</v>
      </c>
      <c r="K9" t="s">
        <v>933</v>
      </c>
      <c r="L9" t="s">
        <v>926</v>
      </c>
    </row>
    <row r="10" spans="1:12" x14ac:dyDescent="0.25">
      <c r="A10">
        <v>4.2906681103859E-2</v>
      </c>
      <c r="B10">
        <v>0.175097239288524</v>
      </c>
      <c r="C10">
        <v>0.10446834522691199</v>
      </c>
      <c r="D10">
        <v>5.2157088254066501E-2</v>
      </c>
      <c r="E10" t="s">
        <v>1444</v>
      </c>
      <c r="F10" t="s">
        <v>1436</v>
      </c>
      <c r="G10">
        <v>15.162000000000001</v>
      </c>
      <c r="H10">
        <v>2.5152129817444399E-2</v>
      </c>
      <c r="I10">
        <v>19.398</v>
      </c>
      <c r="J10">
        <v>1.27917297551299E-2</v>
      </c>
      <c r="K10" t="s">
        <v>934</v>
      </c>
      <c r="L10" t="s">
        <v>926</v>
      </c>
    </row>
    <row r="11" spans="1:12" x14ac:dyDescent="0.25">
      <c r="A11">
        <v>2.3157030840978501E-2</v>
      </c>
      <c r="B11">
        <v>4.0963848741786497E-2</v>
      </c>
      <c r="C11">
        <v>5.35423244430666E-2</v>
      </c>
      <c r="D11">
        <v>2.83404365976123E-2</v>
      </c>
      <c r="E11" t="s">
        <v>1445</v>
      </c>
      <c r="F11" t="s">
        <v>1436</v>
      </c>
      <c r="G11">
        <v>15.361000000000001</v>
      </c>
      <c r="H11">
        <v>1.3124917557050499E-2</v>
      </c>
      <c r="I11">
        <v>19.533999999999999</v>
      </c>
      <c r="J11">
        <v>7.0110320651612899E-3</v>
      </c>
      <c r="K11" t="s">
        <v>935</v>
      </c>
      <c r="L11" t="s">
        <v>926</v>
      </c>
    </row>
    <row r="12" spans="1:12" x14ac:dyDescent="0.25">
      <c r="A12">
        <v>3.55986781186481E-2</v>
      </c>
      <c r="B12">
        <v>3.3186191278740597E-2</v>
      </c>
      <c r="C12">
        <v>6.3703129067968198E-2</v>
      </c>
      <c r="D12">
        <v>5.6658506033298299E-2</v>
      </c>
      <c r="E12" t="s">
        <v>1446</v>
      </c>
      <c r="F12" t="s">
        <v>1436</v>
      </c>
      <c r="G12">
        <v>15.6</v>
      </c>
      <c r="H12">
        <v>1.5558882885228701E-2</v>
      </c>
      <c r="I12">
        <v>19.805</v>
      </c>
      <c r="J12">
        <v>1.38732466468721E-2</v>
      </c>
      <c r="K12" t="s">
        <v>936</v>
      </c>
      <c r="L12" t="s">
        <v>926</v>
      </c>
    </row>
    <row r="13" spans="1:12" x14ac:dyDescent="0.25">
      <c r="A13">
        <v>3.3109052200751603E-2</v>
      </c>
      <c r="B13">
        <v>8.9944620716435594E-2</v>
      </c>
      <c r="C13">
        <v>5.0679215853917103E-2</v>
      </c>
      <c r="D13">
        <v>7.6848944278385095E-2</v>
      </c>
      <c r="E13" t="s">
        <v>1447</v>
      </c>
      <c r="F13" t="s">
        <v>1436</v>
      </c>
      <c r="G13">
        <v>15.794</v>
      </c>
      <c r="H13">
        <v>1.2435897435897601E-2</v>
      </c>
      <c r="I13">
        <v>20.175000000000001</v>
      </c>
      <c r="J13">
        <v>1.8682150971976799E-2</v>
      </c>
      <c r="K13" t="s">
        <v>937</v>
      </c>
      <c r="L13" t="s">
        <v>926</v>
      </c>
    </row>
    <row r="14" spans="1:12" x14ac:dyDescent="0.25">
      <c r="A14">
        <v>4.91014015888558E-2</v>
      </c>
      <c r="B14">
        <v>6.5908483031781095E-2</v>
      </c>
      <c r="C14">
        <v>8.1389738888574495E-2</v>
      </c>
      <c r="D14">
        <v>7.93845743471608E-2</v>
      </c>
      <c r="E14" t="s">
        <v>1448</v>
      </c>
      <c r="F14" t="s">
        <v>1436</v>
      </c>
      <c r="G14">
        <v>16.106000000000002</v>
      </c>
      <c r="H14">
        <v>1.9754337090034199E-2</v>
      </c>
      <c r="I14">
        <v>20.564</v>
      </c>
      <c r="J14">
        <v>1.9281288723668001E-2</v>
      </c>
      <c r="K14" t="s">
        <v>938</v>
      </c>
      <c r="L14" t="s">
        <v>926</v>
      </c>
    </row>
    <row r="15" spans="1:12" x14ac:dyDescent="0.25">
      <c r="A15">
        <v>7.9177652454341899E-2</v>
      </c>
      <c r="B15">
        <v>7.1493559288280994E-2</v>
      </c>
      <c r="C15">
        <v>6.9283063617710403E-2</v>
      </c>
      <c r="D15">
        <v>8.6922582910256702E-2</v>
      </c>
      <c r="E15" t="s">
        <v>1449</v>
      </c>
      <c r="F15" t="s">
        <v>1436</v>
      </c>
      <c r="G15">
        <v>16.378</v>
      </c>
      <c r="H15">
        <v>1.68881162299763E-2</v>
      </c>
      <c r="I15">
        <v>20.997</v>
      </c>
      <c r="J15">
        <v>2.1056214744213299E-2</v>
      </c>
      <c r="K15" t="s">
        <v>939</v>
      </c>
      <c r="L15" t="s">
        <v>926</v>
      </c>
    </row>
    <row r="16" spans="1:12" x14ac:dyDescent="0.25">
      <c r="A16">
        <v>7.4767520593947104E-2</v>
      </c>
      <c r="B16">
        <v>8.5362600720222198E-2</v>
      </c>
      <c r="C16">
        <v>4.7217464684975501E-2</v>
      </c>
      <c r="D16">
        <v>8.4062519785650797E-2</v>
      </c>
      <c r="E16" t="s">
        <v>1450</v>
      </c>
      <c r="F16" t="s">
        <v>1436</v>
      </c>
      <c r="G16">
        <v>16.568000000000001</v>
      </c>
      <c r="H16">
        <v>1.1600928074246E-2</v>
      </c>
      <c r="I16">
        <v>21.425000000000001</v>
      </c>
      <c r="J16">
        <v>2.03838643615755E-2</v>
      </c>
      <c r="K16" t="s">
        <v>940</v>
      </c>
      <c r="L16" t="s">
        <v>926</v>
      </c>
    </row>
    <row r="17" spans="1:12" x14ac:dyDescent="0.25">
      <c r="A17">
        <v>8.4354048501589896E-2</v>
      </c>
      <c r="B17">
        <v>8.8313277531109999E-2</v>
      </c>
      <c r="C17">
        <v>6.8825586736247696E-2</v>
      </c>
      <c r="D17">
        <v>0.111750672708145</v>
      </c>
      <c r="E17" t="s">
        <v>1451</v>
      </c>
      <c r="F17" t="s">
        <v>1436</v>
      </c>
      <c r="G17">
        <v>16.846</v>
      </c>
      <c r="H17">
        <v>1.6779333655238898E-2</v>
      </c>
      <c r="I17">
        <v>22</v>
      </c>
      <c r="J17">
        <v>2.68378063010501E-2</v>
      </c>
      <c r="K17" t="s">
        <v>941</v>
      </c>
      <c r="L17" t="s">
        <v>926</v>
      </c>
    </row>
    <row r="18" spans="1:12" x14ac:dyDescent="0.25">
      <c r="A18">
        <v>0.124536540877934</v>
      </c>
      <c r="B18">
        <v>4.1616768277239702E-2</v>
      </c>
      <c r="C18">
        <v>0.100709384145876</v>
      </c>
      <c r="D18">
        <v>0.19875533747763099</v>
      </c>
      <c r="E18" t="s">
        <v>1452</v>
      </c>
      <c r="F18" t="s">
        <v>1436</v>
      </c>
      <c r="G18">
        <v>17.254999999999999</v>
      </c>
      <c r="H18">
        <v>2.42787605366259E-2</v>
      </c>
      <c r="I18">
        <v>23.02</v>
      </c>
      <c r="J18">
        <v>4.6363636363636399E-2</v>
      </c>
      <c r="K18" t="s">
        <v>942</v>
      </c>
      <c r="L18" t="s">
        <v>926</v>
      </c>
    </row>
    <row r="19" spans="1:12" x14ac:dyDescent="0.25">
      <c r="A19">
        <v>0.118186339709689</v>
      </c>
      <c r="B19">
        <v>7.4336480554695494E-2</v>
      </c>
      <c r="C19">
        <v>0.111980004946894</v>
      </c>
      <c r="D19">
        <v>0.27614966476000502</v>
      </c>
      <c r="E19" t="s">
        <v>1453</v>
      </c>
      <c r="F19" t="s">
        <v>1436</v>
      </c>
      <c r="G19">
        <v>17.719000000000001</v>
      </c>
      <c r="H19">
        <v>2.68907563025211E-2</v>
      </c>
      <c r="I19">
        <v>24.466999999999999</v>
      </c>
      <c r="J19">
        <v>6.2858384013900995E-2</v>
      </c>
      <c r="K19" t="s">
        <v>943</v>
      </c>
      <c r="L19" t="s">
        <v>926</v>
      </c>
    </row>
    <row r="20" spans="1:12" x14ac:dyDescent="0.25">
      <c r="A20">
        <v>0.112285409166716</v>
      </c>
      <c r="B20">
        <v>0.121923532437656</v>
      </c>
      <c r="C20">
        <v>0.119951580753957</v>
      </c>
      <c r="D20">
        <v>0.28126959643585903</v>
      </c>
      <c r="E20" t="s">
        <v>1454</v>
      </c>
      <c r="F20" t="s">
        <v>1436</v>
      </c>
      <c r="G20">
        <v>18.228000000000002</v>
      </c>
      <c r="H20">
        <v>2.8726226084993398E-2</v>
      </c>
      <c r="I20">
        <v>26.030999999999999</v>
      </c>
      <c r="J20">
        <v>6.3922834838762405E-2</v>
      </c>
      <c r="K20" t="s">
        <v>944</v>
      </c>
      <c r="L20" t="s">
        <v>926</v>
      </c>
    </row>
    <row r="21" spans="1:12" x14ac:dyDescent="0.25">
      <c r="A21">
        <v>0.10564888426900799</v>
      </c>
      <c r="B21">
        <v>0.139689749601554</v>
      </c>
      <c r="C21">
        <v>0.10861792322335199</v>
      </c>
      <c r="D21">
        <v>0.17691984955710299</v>
      </c>
      <c r="E21" t="s">
        <v>1455</v>
      </c>
      <c r="F21" t="s">
        <v>1436</v>
      </c>
      <c r="G21">
        <v>18.704000000000001</v>
      </c>
      <c r="H21">
        <v>2.6113671274961399E-2</v>
      </c>
      <c r="I21">
        <v>27.113</v>
      </c>
      <c r="J21">
        <v>4.15658253620683E-2</v>
      </c>
      <c r="K21" t="s">
        <v>945</v>
      </c>
      <c r="L21" t="s">
        <v>926</v>
      </c>
    </row>
    <row r="22" spans="1:12" x14ac:dyDescent="0.25">
      <c r="A22">
        <v>7.7418031911128199E-2</v>
      </c>
      <c r="B22">
        <v>7.47377264200315E-2</v>
      </c>
      <c r="C22">
        <v>8.2414004288707196E-2</v>
      </c>
      <c r="D22">
        <v>8.77241949354641E-2</v>
      </c>
      <c r="E22" t="s">
        <v>1456</v>
      </c>
      <c r="F22" t="s">
        <v>1436</v>
      </c>
      <c r="G22">
        <v>19.077999999999999</v>
      </c>
      <c r="H22">
        <v>1.99957228400343E-2</v>
      </c>
      <c r="I22">
        <v>27.689</v>
      </c>
      <c r="J22">
        <v>2.1244421495223698E-2</v>
      </c>
      <c r="K22" t="s">
        <v>946</v>
      </c>
      <c r="L22" t="s">
        <v>926</v>
      </c>
    </row>
    <row r="23" spans="1:12" x14ac:dyDescent="0.25">
      <c r="A23">
        <v>5.00188837807687E-2</v>
      </c>
      <c r="B23">
        <v>5.9076854521070303E-2</v>
      </c>
      <c r="C23">
        <v>9.99907756879512E-2</v>
      </c>
      <c r="D23">
        <v>1.9938623083631101E-2</v>
      </c>
      <c r="E23" t="s">
        <v>1457</v>
      </c>
      <c r="F23" t="s">
        <v>1436</v>
      </c>
      <c r="G23">
        <v>19.538</v>
      </c>
      <c r="H23">
        <v>2.4111542090365898E-2</v>
      </c>
      <c r="I23">
        <v>27.826000000000001</v>
      </c>
      <c r="J23">
        <v>4.9478132110223304E-3</v>
      </c>
      <c r="K23" t="s">
        <v>947</v>
      </c>
      <c r="L23" t="s">
        <v>926</v>
      </c>
    </row>
    <row r="24" spans="1:12" x14ac:dyDescent="0.25">
      <c r="A24">
        <v>7.6956317974106001E-2</v>
      </c>
      <c r="B24">
        <v>5.5091330920863602E-2</v>
      </c>
      <c r="C24">
        <v>6.2847909413525901E-2</v>
      </c>
      <c r="D24">
        <v>1.2710174962932599E-2</v>
      </c>
      <c r="E24" t="s">
        <v>1458</v>
      </c>
      <c r="F24" t="s">
        <v>1436</v>
      </c>
      <c r="G24">
        <v>19.838000000000001</v>
      </c>
      <c r="H24">
        <v>1.5354693417954699E-2</v>
      </c>
      <c r="I24">
        <v>27.914000000000001</v>
      </c>
      <c r="J24">
        <v>3.16250988284339E-3</v>
      </c>
      <c r="K24" t="s">
        <v>948</v>
      </c>
      <c r="L24" t="s">
        <v>926</v>
      </c>
    </row>
    <row r="25" spans="1:12" x14ac:dyDescent="0.25">
      <c r="A25">
        <v>6.8882772668885706E-2</v>
      </c>
      <c r="B25">
        <v>9.5097426388938394E-2</v>
      </c>
      <c r="C25">
        <v>5.9557775023163499E-2</v>
      </c>
      <c r="D25">
        <v>2.4583979224767301E-2</v>
      </c>
      <c r="E25" t="s">
        <v>1459</v>
      </c>
      <c r="F25" t="s">
        <v>1436</v>
      </c>
      <c r="G25">
        <v>20.126999999999999</v>
      </c>
      <c r="H25">
        <v>1.45680008065328E-2</v>
      </c>
      <c r="I25">
        <v>28.084</v>
      </c>
      <c r="J25">
        <v>6.0901339829475499E-3</v>
      </c>
      <c r="K25" t="s">
        <v>949</v>
      </c>
      <c r="L25" t="s">
        <v>926</v>
      </c>
    </row>
    <row r="26" spans="1:12" x14ac:dyDescent="0.25">
      <c r="A26">
        <v>4.46796784787249E-2</v>
      </c>
      <c r="B26">
        <v>5.9702158874865199E-2</v>
      </c>
      <c r="C26">
        <v>5.3094918319799497E-2</v>
      </c>
      <c r="D26">
        <v>1.9800669277978002E-2</v>
      </c>
      <c r="E26" t="s">
        <v>1460</v>
      </c>
      <c r="F26" t="s">
        <v>1436</v>
      </c>
      <c r="G26">
        <v>20.388999999999999</v>
      </c>
      <c r="H26">
        <v>1.30173398916877E-2</v>
      </c>
      <c r="I26">
        <v>28.222000000000001</v>
      </c>
      <c r="J26">
        <v>4.91382993875522E-3</v>
      </c>
      <c r="K26" t="s">
        <v>950</v>
      </c>
      <c r="L26" t="s">
        <v>926</v>
      </c>
    </row>
    <row r="27" spans="1:12" x14ac:dyDescent="0.25">
      <c r="A27">
        <v>3.3979822161052303E-2</v>
      </c>
      <c r="B27">
        <v>3.3961135638896502E-2</v>
      </c>
      <c r="C27">
        <v>5.3215140717762302E-2</v>
      </c>
      <c r="D27">
        <v>3.4743180507705002E-2</v>
      </c>
      <c r="E27" t="s">
        <v>1461</v>
      </c>
      <c r="F27" t="s">
        <v>1436</v>
      </c>
      <c r="G27">
        <v>20.655000000000001</v>
      </c>
      <c r="H27">
        <v>1.3046250429153101E-2</v>
      </c>
      <c r="I27">
        <v>28.463999999999999</v>
      </c>
      <c r="J27">
        <v>8.5748706682728902E-3</v>
      </c>
      <c r="K27" t="s">
        <v>951</v>
      </c>
      <c r="L27" t="s">
        <v>926</v>
      </c>
    </row>
    <row r="28" spans="1:12" x14ac:dyDescent="0.25">
      <c r="A28">
        <v>6.2157602764701697E-2</v>
      </c>
      <c r="B28">
        <v>4.6572413553721298E-2</v>
      </c>
      <c r="C28">
        <v>3.5515485276211803E-2</v>
      </c>
      <c r="D28">
        <v>8.7412684077270396E-3</v>
      </c>
      <c r="E28" t="s">
        <v>1462</v>
      </c>
      <c r="F28" t="s">
        <v>1436</v>
      </c>
      <c r="G28">
        <v>20.835999999999999</v>
      </c>
      <c r="H28">
        <v>8.7630113773904394E-3</v>
      </c>
      <c r="I28">
        <v>28.526</v>
      </c>
      <c r="J28">
        <v>2.17818999437891E-3</v>
      </c>
      <c r="K28" t="s">
        <v>952</v>
      </c>
      <c r="L28" t="s">
        <v>926</v>
      </c>
    </row>
    <row r="29" spans="1:12" x14ac:dyDescent="0.25">
      <c r="A29">
        <v>6.4679796349943294E-2</v>
      </c>
      <c r="B29">
        <v>0.11140543202132699</v>
      </c>
      <c r="C29">
        <v>5.3847641567893498E-2</v>
      </c>
      <c r="D29">
        <v>2.7482019859727602E-2</v>
      </c>
      <c r="E29" t="s">
        <v>1463</v>
      </c>
      <c r="F29" t="s">
        <v>1436</v>
      </c>
      <c r="G29">
        <v>21.111000000000001</v>
      </c>
      <c r="H29">
        <v>1.31983106162412E-2</v>
      </c>
      <c r="I29">
        <v>28.72</v>
      </c>
      <c r="J29">
        <v>6.8008132931360902E-3</v>
      </c>
      <c r="K29" t="s">
        <v>953</v>
      </c>
      <c r="L29" t="s">
        <v>926</v>
      </c>
    </row>
    <row r="30" spans="1:12" x14ac:dyDescent="0.25">
      <c r="A30">
        <v>7.4088172350420103E-2</v>
      </c>
      <c r="B30">
        <v>5.7739458159661701E-2</v>
      </c>
      <c r="C30">
        <v>8.3796072481744796E-2</v>
      </c>
      <c r="D30">
        <v>5.2825931688943499E-2</v>
      </c>
      <c r="E30" t="s">
        <v>1464</v>
      </c>
      <c r="F30" t="s">
        <v>1436</v>
      </c>
      <c r="G30">
        <v>21.54</v>
      </c>
      <c r="H30">
        <v>2.0321159585050302E-2</v>
      </c>
      <c r="I30">
        <v>29.091999999999999</v>
      </c>
      <c r="J30">
        <v>1.2952646239554401E-2</v>
      </c>
      <c r="K30" t="s">
        <v>954</v>
      </c>
      <c r="L30" t="s">
        <v>926</v>
      </c>
    </row>
    <row r="31" spans="1:12" x14ac:dyDescent="0.25">
      <c r="A31">
        <v>7.0308632461715301E-2</v>
      </c>
      <c r="B31">
        <v>4.6296846180206901E-2</v>
      </c>
      <c r="C31">
        <v>8.1880476726010801E-2</v>
      </c>
      <c r="D31">
        <v>4.0048809702137603E-2</v>
      </c>
      <c r="E31" t="s">
        <v>1465</v>
      </c>
      <c r="F31" t="s">
        <v>1436</v>
      </c>
      <c r="G31">
        <v>21.968</v>
      </c>
      <c r="H31">
        <v>1.9870009285051001E-2</v>
      </c>
      <c r="I31">
        <v>29.379000000000001</v>
      </c>
      <c r="J31">
        <v>9.8652550529356696E-3</v>
      </c>
      <c r="K31" t="s">
        <v>955</v>
      </c>
      <c r="L31" t="s">
        <v>926</v>
      </c>
    </row>
    <row r="32" spans="1:12" x14ac:dyDescent="0.25">
      <c r="A32">
        <v>6.1553542794543503E-2</v>
      </c>
      <c r="B32">
        <v>1.98663105662467E-2</v>
      </c>
      <c r="C32">
        <v>7.3501873886998997E-2</v>
      </c>
      <c r="D32">
        <v>5.4874269706492597E-2</v>
      </c>
      <c r="E32" t="s">
        <v>1466</v>
      </c>
      <c r="F32" t="s">
        <v>1436</v>
      </c>
      <c r="G32">
        <v>22.361000000000001</v>
      </c>
      <c r="H32">
        <v>1.7889657683903801E-2</v>
      </c>
      <c r="I32">
        <v>29.774000000000001</v>
      </c>
      <c r="J32">
        <v>1.3444977705163501E-2</v>
      </c>
      <c r="K32" t="s">
        <v>956</v>
      </c>
      <c r="L32" t="s">
        <v>926</v>
      </c>
    </row>
    <row r="33" spans="1:12" x14ac:dyDescent="0.25">
      <c r="A33">
        <v>5.8025197908700303E-2</v>
      </c>
      <c r="B33">
        <v>0.12112082718011299</v>
      </c>
      <c r="C33">
        <v>7.5383891455237398E-2</v>
      </c>
      <c r="D33">
        <v>4.34111575180351E-2</v>
      </c>
      <c r="E33" t="s">
        <v>1467</v>
      </c>
      <c r="F33" t="s">
        <v>1436</v>
      </c>
      <c r="G33">
        <v>22.771000000000001</v>
      </c>
      <c r="H33">
        <v>1.83354948347569E-2</v>
      </c>
      <c r="I33">
        <v>30.091999999999999</v>
      </c>
      <c r="J33">
        <v>1.0680459461274799E-2</v>
      </c>
      <c r="K33" t="s">
        <v>957</v>
      </c>
      <c r="L33" t="s">
        <v>926</v>
      </c>
    </row>
    <row r="34" spans="1:12" x14ac:dyDescent="0.25">
      <c r="A34">
        <v>6.7326294927223501E-2</v>
      </c>
      <c r="B34">
        <v>4.65097292728067E-2</v>
      </c>
      <c r="C34">
        <v>5.9424238450433299E-2</v>
      </c>
      <c r="D34">
        <v>5.0510789433123801E-2</v>
      </c>
      <c r="E34" t="s">
        <v>1468</v>
      </c>
      <c r="F34" t="s">
        <v>1436</v>
      </c>
      <c r="G34">
        <v>23.102</v>
      </c>
      <c r="H34">
        <v>1.4536032673137E-2</v>
      </c>
      <c r="I34">
        <v>30.465</v>
      </c>
      <c r="J34">
        <v>1.23953210155523E-2</v>
      </c>
      <c r="K34" t="s">
        <v>958</v>
      </c>
      <c r="L34" t="s">
        <v>926</v>
      </c>
    </row>
    <row r="35" spans="1:12" x14ac:dyDescent="0.25">
      <c r="A35">
        <v>8.4675701203493298E-2</v>
      </c>
      <c r="B35">
        <v>8.09066486989478E-2</v>
      </c>
      <c r="C35">
        <v>6.5619276167123694E-2</v>
      </c>
      <c r="D35">
        <v>8.0997725857898203E-2</v>
      </c>
      <c r="E35" t="s">
        <v>1469</v>
      </c>
      <c r="F35" t="s">
        <v>1436</v>
      </c>
      <c r="G35">
        <v>23.472000000000001</v>
      </c>
      <c r="H35">
        <v>1.6015929356765699E-2</v>
      </c>
      <c r="I35">
        <v>31.064</v>
      </c>
      <c r="J35">
        <v>1.9661907106515601E-2</v>
      </c>
      <c r="K35" t="s">
        <v>959</v>
      </c>
      <c r="L35" t="s">
        <v>926</v>
      </c>
    </row>
    <row r="36" spans="1:12" x14ac:dyDescent="0.25">
      <c r="A36">
        <v>7.2050406034996906E-2</v>
      </c>
      <c r="B36">
        <v>6.8549166168664605E-2</v>
      </c>
      <c r="C36">
        <v>5.8500992246239197E-2</v>
      </c>
      <c r="D36">
        <v>7.8709215306017405E-2</v>
      </c>
      <c r="E36" t="s">
        <v>1470</v>
      </c>
      <c r="F36" t="s">
        <v>1436</v>
      </c>
      <c r="G36">
        <v>23.808</v>
      </c>
      <c r="H36">
        <v>1.4314928425357899E-2</v>
      </c>
      <c r="I36">
        <v>31.658000000000001</v>
      </c>
      <c r="J36">
        <v>1.9121813031161401E-2</v>
      </c>
      <c r="K36" t="s">
        <v>960</v>
      </c>
      <c r="L36" t="s">
        <v>926</v>
      </c>
    </row>
    <row r="37" spans="1:12" x14ac:dyDescent="0.25">
      <c r="A37">
        <v>7.7759817693589403E-2</v>
      </c>
      <c r="B37">
        <v>7.0826828171957498E-2</v>
      </c>
      <c r="C37">
        <v>5.4682260590980698E-2</v>
      </c>
      <c r="D37">
        <v>7.3455131593814296E-2</v>
      </c>
      <c r="E37" t="s">
        <v>1471</v>
      </c>
      <c r="F37" t="s">
        <v>1436</v>
      </c>
      <c r="G37">
        <v>24.126999999999999</v>
      </c>
      <c r="H37">
        <v>1.33988575268817E-2</v>
      </c>
      <c r="I37">
        <v>32.223999999999997</v>
      </c>
      <c r="J37">
        <v>1.78785772948384E-2</v>
      </c>
      <c r="K37" t="s">
        <v>961</v>
      </c>
      <c r="L37" t="s">
        <v>926</v>
      </c>
    </row>
    <row r="38" spans="1:12" x14ac:dyDescent="0.25">
      <c r="A38">
        <v>7.7602845525897898E-2</v>
      </c>
      <c r="B38">
        <v>7.5755853629737399E-2</v>
      </c>
      <c r="C38">
        <v>0.101819091447914</v>
      </c>
      <c r="D38">
        <v>8.5137769356933707E-2</v>
      </c>
      <c r="E38" t="s">
        <v>1472</v>
      </c>
      <c r="F38" t="s">
        <v>1436</v>
      </c>
      <c r="G38">
        <v>24.719000000000001</v>
      </c>
      <c r="H38">
        <v>2.4536825962614601E-2</v>
      </c>
      <c r="I38">
        <v>32.889000000000003</v>
      </c>
      <c r="J38">
        <v>2.0636792452830299E-2</v>
      </c>
      <c r="K38" t="s">
        <v>962</v>
      </c>
      <c r="L38" t="s">
        <v>926</v>
      </c>
    </row>
    <row r="39" spans="1:12" x14ac:dyDescent="0.25">
      <c r="A39">
        <v>0.113838252689951</v>
      </c>
      <c r="B39">
        <v>6.1815502695247999E-2</v>
      </c>
      <c r="C39">
        <v>9.0287471336475605E-2</v>
      </c>
      <c r="D39">
        <v>0.11311171886032199</v>
      </c>
      <c r="E39" t="s">
        <v>1473</v>
      </c>
      <c r="F39" t="s">
        <v>1436</v>
      </c>
      <c r="G39">
        <v>25.259</v>
      </c>
      <c r="H39">
        <v>2.18455439135887E-2</v>
      </c>
      <c r="I39">
        <v>33.781999999999996</v>
      </c>
      <c r="J39">
        <v>2.7151935297515601E-2</v>
      </c>
      <c r="K39" t="s">
        <v>963</v>
      </c>
      <c r="L39" t="s">
        <v>926</v>
      </c>
    </row>
    <row r="40" spans="1:12" x14ac:dyDescent="0.25">
      <c r="A40">
        <v>0.10293672514128201</v>
      </c>
      <c r="B40">
        <v>9.6664179784869297E-2</v>
      </c>
      <c r="C40">
        <v>0.148038402658868</v>
      </c>
      <c r="D40">
        <v>0.121960082107911</v>
      </c>
      <c r="E40" t="s">
        <v>1474</v>
      </c>
      <c r="F40" t="s">
        <v>1436</v>
      </c>
      <c r="G40">
        <v>26.146000000000001</v>
      </c>
      <c r="H40">
        <v>3.5116196207292602E-2</v>
      </c>
      <c r="I40">
        <v>34.768000000000001</v>
      </c>
      <c r="J40">
        <v>2.9187141081049101E-2</v>
      </c>
      <c r="K40" t="s">
        <v>964</v>
      </c>
      <c r="L40" t="s">
        <v>926</v>
      </c>
    </row>
    <row r="41" spans="1:12" x14ac:dyDescent="0.25">
      <c r="A41">
        <v>0.100470180706661</v>
      </c>
      <c r="B41">
        <v>9.1027084037313494E-2</v>
      </c>
      <c r="C41">
        <v>7.0641984000731503E-2</v>
      </c>
      <c r="D41">
        <v>0.118355060703055</v>
      </c>
      <c r="E41" t="s">
        <v>1475</v>
      </c>
      <c r="F41" t="s">
        <v>1436</v>
      </c>
      <c r="G41">
        <v>26.596</v>
      </c>
      <c r="H41">
        <v>1.7211045666641198E-2</v>
      </c>
      <c r="I41">
        <v>35.753999999999998</v>
      </c>
      <c r="J41">
        <v>2.83594109526E-2</v>
      </c>
      <c r="K41" t="s">
        <v>965</v>
      </c>
      <c r="L41" t="s">
        <v>926</v>
      </c>
    </row>
    <row r="42" spans="1:12" x14ac:dyDescent="0.25">
      <c r="A42">
        <v>0.12552467874009099</v>
      </c>
      <c r="B42">
        <v>8.1451601423466094E-2</v>
      </c>
      <c r="C42">
        <v>0.106909632651843</v>
      </c>
      <c r="D42">
        <v>0.113864763230328</v>
      </c>
      <c r="E42" t="s">
        <v>1476</v>
      </c>
      <c r="F42" t="s">
        <v>1436</v>
      </c>
      <c r="G42">
        <v>27.28</v>
      </c>
      <c r="H42">
        <v>2.5718153105730199E-2</v>
      </c>
      <c r="I42">
        <v>36.731000000000002</v>
      </c>
      <c r="J42">
        <v>2.7325613917324101E-2</v>
      </c>
      <c r="K42" t="s">
        <v>966</v>
      </c>
      <c r="L42" t="s">
        <v>926</v>
      </c>
    </row>
    <row r="43" spans="1:12" x14ac:dyDescent="0.25">
      <c r="A43">
        <v>0.101539889707692</v>
      </c>
      <c r="B43">
        <v>0.163874229132176</v>
      </c>
      <c r="C43">
        <v>0.11299973225785501</v>
      </c>
      <c r="D43">
        <v>0.119816075191493</v>
      </c>
      <c r="E43" t="s">
        <v>1477</v>
      </c>
      <c r="F43" t="s">
        <v>1436</v>
      </c>
      <c r="G43">
        <v>28.02</v>
      </c>
      <c r="H43">
        <v>2.7126099706744799E-2</v>
      </c>
      <c r="I43">
        <v>37.784999999999997</v>
      </c>
      <c r="J43">
        <v>2.8695107674715899E-2</v>
      </c>
      <c r="K43" t="s">
        <v>967</v>
      </c>
      <c r="L43" t="s">
        <v>926</v>
      </c>
    </row>
    <row r="44" spans="1:12" x14ac:dyDescent="0.25">
      <c r="A44">
        <v>9.6919062654431398E-2</v>
      </c>
      <c r="B44">
        <v>4.1150587007602997E-2</v>
      </c>
      <c r="C44">
        <v>0.115930396885483</v>
      </c>
      <c r="D44">
        <v>0.138106666956619</v>
      </c>
      <c r="E44" t="s">
        <v>1478</v>
      </c>
      <c r="F44" t="s">
        <v>1436</v>
      </c>
      <c r="G44">
        <v>28.798999999999999</v>
      </c>
      <c r="H44">
        <v>2.7801570306923699E-2</v>
      </c>
      <c r="I44">
        <v>39.027000000000001</v>
      </c>
      <c r="J44">
        <v>3.2870186581977198E-2</v>
      </c>
      <c r="K44" t="s">
        <v>968</v>
      </c>
      <c r="L44" t="s">
        <v>926</v>
      </c>
    </row>
    <row r="45" spans="1:12" x14ac:dyDescent="0.25">
      <c r="A45">
        <v>0.102667735598145</v>
      </c>
      <c r="B45">
        <v>0.12591483160208999</v>
      </c>
      <c r="C45">
        <v>0.11071312036879399</v>
      </c>
      <c r="D45">
        <v>0.12373918134004901</v>
      </c>
      <c r="E45" t="s">
        <v>1479</v>
      </c>
      <c r="F45" t="s">
        <v>1436</v>
      </c>
      <c r="G45">
        <v>29.565000000000001</v>
      </c>
      <c r="H45">
        <v>2.65981457689504E-2</v>
      </c>
      <c r="I45">
        <v>40.182000000000002</v>
      </c>
      <c r="J45">
        <v>2.9594895841340601E-2</v>
      </c>
      <c r="K45" t="s">
        <v>969</v>
      </c>
      <c r="L45" t="s">
        <v>926</v>
      </c>
    </row>
    <row r="46" spans="1:12" x14ac:dyDescent="0.25">
      <c r="A46">
        <v>0.107873886984393</v>
      </c>
      <c r="B46">
        <v>8.2350511297398302E-2</v>
      </c>
      <c r="C46">
        <v>0.14097064786198199</v>
      </c>
      <c r="D46">
        <v>0.118188584098933</v>
      </c>
      <c r="E46" t="s">
        <v>1480</v>
      </c>
      <c r="F46" t="s">
        <v>1436</v>
      </c>
      <c r="G46">
        <v>30.556000000000001</v>
      </c>
      <c r="H46">
        <v>3.3519364112971399E-2</v>
      </c>
      <c r="I46">
        <v>41.32</v>
      </c>
      <c r="J46">
        <v>2.8321138818376401E-2</v>
      </c>
      <c r="K46" t="s">
        <v>970</v>
      </c>
      <c r="L46" t="s">
        <v>926</v>
      </c>
    </row>
    <row r="47" spans="1:12" x14ac:dyDescent="0.25">
      <c r="A47">
        <v>6.8864078536554199E-2</v>
      </c>
      <c r="B47">
        <v>9.6264819656522296E-2</v>
      </c>
      <c r="C47">
        <v>8.6310442735713797E-2</v>
      </c>
      <c r="D47">
        <v>9.9129163647753094E-2</v>
      </c>
      <c r="E47" t="s">
        <v>1481</v>
      </c>
      <c r="F47" t="s">
        <v>1436</v>
      </c>
      <c r="G47">
        <v>31.195</v>
      </c>
      <c r="H47">
        <v>2.0912423092027701E-2</v>
      </c>
      <c r="I47">
        <v>42.308</v>
      </c>
      <c r="J47">
        <v>2.39109390125847E-2</v>
      </c>
      <c r="K47" t="s">
        <v>971</v>
      </c>
      <c r="L47" t="s">
        <v>926</v>
      </c>
    </row>
    <row r="48" spans="1:12" x14ac:dyDescent="0.25">
      <c r="A48">
        <v>6.7510216956085903E-2</v>
      </c>
      <c r="B48">
        <v>9.0754628296435505E-2</v>
      </c>
      <c r="C48">
        <v>4.8692861535788202E-2</v>
      </c>
      <c r="D48">
        <v>8.4524586959714404E-2</v>
      </c>
      <c r="E48" t="s">
        <v>1482</v>
      </c>
      <c r="F48" t="s">
        <v>1436</v>
      </c>
      <c r="G48">
        <v>31.568000000000001</v>
      </c>
      <c r="H48">
        <v>1.1957044398140699E-2</v>
      </c>
      <c r="I48">
        <v>43.174999999999997</v>
      </c>
      <c r="J48">
        <v>2.0492578235794499E-2</v>
      </c>
      <c r="K48" t="s">
        <v>972</v>
      </c>
      <c r="L48" t="s">
        <v>926</v>
      </c>
    </row>
    <row r="49" spans="1:12" x14ac:dyDescent="0.25">
      <c r="A49">
        <v>6.2684205945477106E-2</v>
      </c>
      <c r="B49">
        <v>7.8781408158281802E-2</v>
      </c>
      <c r="C49">
        <v>6.2752816594642893E-2</v>
      </c>
      <c r="D49">
        <v>7.3171075998094998E-2</v>
      </c>
      <c r="E49" t="s">
        <v>1483</v>
      </c>
      <c r="F49" t="s">
        <v>1436</v>
      </c>
      <c r="G49">
        <v>32.052</v>
      </c>
      <c r="H49">
        <v>1.53319817536746E-2</v>
      </c>
      <c r="I49">
        <v>43.944000000000003</v>
      </c>
      <c r="J49">
        <v>1.7811233352634799E-2</v>
      </c>
      <c r="K49" t="s">
        <v>973</v>
      </c>
      <c r="L49" t="s">
        <v>926</v>
      </c>
    </row>
    <row r="50" spans="1:12" x14ac:dyDescent="0.25">
      <c r="A50">
        <v>5.1825632418063497E-2</v>
      </c>
      <c r="B50">
        <v>6.5520529029189395E-2</v>
      </c>
      <c r="C50">
        <v>7.2002334651775995E-2</v>
      </c>
      <c r="D50">
        <v>5.7261419360111997E-2</v>
      </c>
      <c r="E50" t="s">
        <v>1484</v>
      </c>
      <c r="F50" t="s">
        <v>1436</v>
      </c>
      <c r="G50">
        <v>32.613999999999997</v>
      </c>
      <c r="H50">
        <v>1.7534007238237701E-2</v>
      </c>
      <c r="I50">
        <v>44.56</v>
      </c>
      <c r="J50">
        <v>1.40178408884035E-2</v>
      </c>
      <c r="K50" t="s">
        <v>974</v>
      </c>
      <c r="L50" t="s">
        <v>926</v>
      </c>
    </row>
    <row r="51" spans="1:12" x14ac:dyDescent="0.25">
      <c r="A51">
        <v>3.9076838958162399E-2</v>
      </c>
      <c r="B51">
        <v>8.1541548822787496E-2</v>
      </c>
      <c r="C51">
        <v>6.5317850608274997E-2</v>
      </c>
      <c r="D51">
        <v>6.8572049720328196E-2</v>
      </c>
      <c r="E51" t="s">
        <v>1485</v>
      </c>
      <c r="F51" t="s">
        <v>1436</v>
      </c>
      <c r="G51">
        <v>33.134</v>
      </c>
      <c r="H51">
        <v>1.5944073097442901E-2</v>
      </c>
      <c r="I51">
        <v>45.305</v>
      </c>
      <c r="J51">
        <v>1.6719030520646199E-2</v>
      </c>
      <c r="K51" t="s">
        <v>975</v>
      </c>
      <c r="L51" t="s">
        <v>926</v>
      </c>
    </row>
    <row r="52" spans="1:12" x14ac:dyDescent="0.25">
      <c r="A52">
        <v>6.4698202701339205E-2</v>
      </c>
      <c r="B52">
        <v>3.4072636599968002E-2</v>
      </c>
      <c r="C52">
        <v>6.8068638365729198E-2</v>
      </c>
      <c r="D52">
        <v>4.8078704643683703E-2</v>
      </c>
      <c r="E52" t="s">
        <v>1486</v>
      </c>
      <c r="F52" t="s">
        <v>1436</v>
      </c>
      <c r="G52">
        <v>33.683999999999997</v>
      </c>
      <c r="H52">
        <v>1.65992635963059E-2</v>
      </c>
      <c r="I52">
        <v>45.84</v>
      </c>
      <c r="J52">
        <v>1.1808851120185501E-2</v>
      </c>
      <c r="K52" t="s">
        <v>976</v>
      </c>
      <c r="L52" t="s">
        <v>926</v>
      </c>
    </row>
    <row r="53" spans="1:12" x14ac:dyDescent="0.25">
      <c r="A53">
        <v>4.4829664945906803E-2</v>
      </c>
      <c r="B53">
        <v>4.8009313734526098E-2</v>
      </c>
      <c r="C53">
        <v>6.1455443169872802E-2</v>
      </c>
      <c r="D53">
        <v>1.01606507354322E-2</v>
      </c>
      <c r="E53" t="s">
        <v>1487</v>
      </c>
      <c r="F53" t="s">
        <v>1436</v>
      </c>
      <c r="G53">
        <v>34.19</v>
      </c>
      <c r="H53">
        <v>1.5021968887305399E-2</v>
      </c>
      <c r="I53">
        <v>45.956000000000003</v>
      </c>
      <c r="J53">
        <v>2.5305410122164998E-3</v>
      </c>
      <c r="K53" t="s">
        <v>977</v>
      </c>
      <c r="L53" t="s">
        <v>926</v>
      </c>
    </row>
    <row r="54" spans="1:12" x14ac:dyDescent="0.25">
      <c r="A54">
        <v>3.3496613159939903E-2</v>
      </c>
      <c r="B54">
        <v>7.5539459294806698E-3</v>
      </c>
      <c r="C54">
        <v>3.4722196261408399E-2</v>
      </c>
      <c r="D54">
        <v>3.7479666516224701E-3</v>
      </c>
      <c r="E54" t="s">
        <v>1488</v>
      </c>
      <c r="F54" t="s">
        <v>1436</v>
      </c>
      <c r="G54">
        <v>34.482999999999997</v>
      </c>
      <c r="H54">
        <v>8.5697572389587008E-3</v>
      </c>
      <c r="I54">
        <v>45.999000000000002</v>
      </c>
      <c r="J54">
        <v>9.3567760466539696E-4</v>
      </c>
      <c r="K54" t="s">
        <v>978</v>
      </c>
      <c r="L54" t="s">
        <v>926</v>
      </c>
    </row>
    <row r="55" spans="1:12" x14ac:dyDescent="0.25">
      <c r="A55">
        <v>3.7100673423204902E-2</v>
      </c>
      <c r="B55">
        <v>3.1269437697415199E-2</v>
      </c>
      <c r="C55">
        <v>5.5765239502398901E-2</v>
      </c>
      <c r="D55">
        <v>-5.3805310591299397E-3</v>
      </c>
      <c r="E55" t="s">
        <v>1489</v>
      </c>
      <c r="F55" t="s">
        <v>1436</v>
      </c>
      <c r="G55">
        <v>34.954000000000001</v>
      </c>
      <c r="H55">
        <v>1.36589043876694E-2</v>
      </c>
      <c r="I55">
        <v>45.936999999999998</v>
      </c>
      <c r="J55">
        <v>-1.3478553881607299E-3</v>
      </c>
      <c r="K55" t="s">
        <v>979</v>
      </c>
      <c r="L55" t="s">
        <v>926</v>
      </c>
    </row>
    <row r="56" spans="1:12" x14ac:dyDescent="0.25">
      <c r="A56">
        <v>5.3607020035561601E-2</v>
      </c>
      <c r="B56">
        <v>4.5007889346835098E-2</v>
      </c>
      <c r="C56">
        <v>4.7632291898301399E-2</v>
      </c>
      <c r="D56">
        <v>2.2658930308778699E-3</v>
      </c>
      <c r="E56" t="s">
        <v>1490</v>
      </c>
      <c r="F56" t="s">
        <v>1436</v>
      </c>
      <c r="G56">
        <v>35.363</v>
      </c>
      <c r="H56">
        <v>1.17010928649082E-2</v>
      </c>
      <c r="I56">
        <v>45.963000000000001</v>
      </c>
      <c r="J56">
        <v>5.6599255502098899E-4</v>
      </c>
      <c r="K56" t="s">
        <v>980</v>
      </c>
      <c r="L56" t="s">
        <v>926</v>
      </c>
    </row>
    <row r="57" spans="1:12" x14ac:dyDescent="0.25">
      <c r="A57">
        <v>2.6644627827705498E-2</v>
      </c>
      <c r="B57">
        <v>2.64126969592136E-2</v>
      </c>
      <c r="C57">
        <v>3.7969215238040602E-2</v>
      </c>
      <c r="D57">
        <v>-1.13086488994096E-3</v>
      </c>
      <c r="E57" t="s">
        <v>1491</v>
      </c>
      <c r="F57" t="s">
        <v>1436</v>
      </c>
      <c r="G57">
        <v>35.694000000000003</v>
      </c>
      <c r="H57">
        <v>9.3600656052936805E-3</v>
      </c>
      <c r="I57">
        <v>45.95</v>
      </c>
      <c r="J57">
        <v>-2.82836194330227E-4</v>
      </c>
      <c r="K57" t="s">
        <v>981</v>
      </c>
      <c r="L57" t="s">
        <v>926</v>
      </c>
    </row>
    <row r="58" spans="1:12" x14ac:dyDescent="0.25">
      <c r="A58">
        <v>4.3935723897537297E-2</v>
      </c>
      <c r="B58">
        <v>5.28225710519643E-2</v>
      </c>
      <c r="C58">
        <v>7.2018998740306803E-2</v>
      </c>
      <c r="D58">
        <v>4.3596665649268101E-3</v>
      </c>
      <c r="E58" t="s">
        <v>1492</v>
      </c>
      <c r="F58" t="s">
        <v>1436</v>
      </c>
      <c r="G58">
        <v>36.32</v>
      </c>
      <c r="H58">
        <v>1.7537961562167099E-2</v>
      </c>
      <c r="I58">
        <v>46</v>
      </c>
      <c r="J58">
        <v>1.0881392818280499E-3</v>
      </c>
      <c r="K58" t="s">
        <v>982</v>
      </c>
      <c r="L58" t="s">
        <v>926</v>
      </c>
    </row>
    <row r="59" spans="1:12" x14ac:dyDescent="0.25">
      <c r="A59">
        <v>3.93022623248813E-2</v>
      </c>
      <c r="B59">
        <v>4.0487191821635002E-2</v>
      </c>
      <c r="C59">
        <v>4.4330796852368702E-2</v>
      </c>
      <c r="D59">
        <v>1.4249428601276599E-2</v>
      </c>
      <c r="E59" t="s">
        <v>1493</v>
      </c>
      <c r="F59" t="s">
        <v>1436</v>
      </c>
      <c r="G59">
        <v>36.716000000000001</v>
      </c>
      <c r="H59">
        <v>1.09030837004405E-2</v>
      </c>
      <c r="I59">
        <v>46.162999999999997</v>
      </c>
      <c r="J59">
        <v>3.5434782608694299E-3</v>
      </c>
      <c r="K59" t="s">
        <v>983</v>
      </c>
      <c r="L59" t="s">
        <v>926</v>
      </c>
    </row>
    <row r="60" spans="1:12" x14ac:dyDescent="0.25">
      <c r="A60">
        <v>3.1206818640470101E-2</v>
      </c>
      <c r="B60">
        <v>6.08178890509075E-2</v>
      </c>
      <c r="C60">
        <v>4.3619950255883798E-2</v>
      </c>
      <c r="D60">
        <v>1.29734153291148E-2</v>
      </c>
      <c r="E60" t="s">
        <v>1494</v>
      </c>
      <c r="F60" t="s">
        <v>1436</v>
      </c>
      <c r="G60">
        <v>37.11</v>
      </c>
      <c r="H60">
        <v>1.07310164505936E-2</v>
      </c>
      <c r="I60">
        <v>46.311999999999998</v>
      </c>
      <c r="J60">
        <v>3.22769317418703E-3</v>
      </c>
      <c r="K60" t="s">
        <v>984</v>
      </c>
      <c r="L60" t="s">
        <v>926</v>
      </c>
    </row>
    <row r="61" spans="1:12" x14ac:dyDescent="0.25">
      <c r="A61">
        <v>2.4937045869749999E-2</v>
      </c>
      <c r="B61">
        <v>5.0188195911601098E-2</v>
      </c>
      <c r="C61">
        <v>4.8053419713626901E-2</v>
      </c>
      <c r="D61">
        <v>8.1435979249952998E-3</v>
      </c>
      <c r="E61" t="s">
        <v>1495</v>
      </c>
      <c r="F61" t="s">
        <v>1436</v>
      </c>
      <c r="G61">
        <v>37.548000000000002</v>
      </c>
      <c r="H61">
        <v>1.1802748585286999E-2</v>
      </c>
      <c r="I61">
        <v>46.405999999999999</v>
      </c>
      <c r="J61">
        <v>2.0297115218517198E-3</v>
      </c>
      <c r="K61" t="s">
        <v>985</v>
      </c>
      <c r="L61" t="s">
        <v>926</v>
      </c>
    </row>
    <row r="62" spans="1:12" x14ac:dyDescent="0.25">
      <c r="A62">
        <v>4.8021891562025902E-2</v>
      </c>
      <c r="B62">
        <v>-1.5869949670850401E-2</v>
      </c>
      <c r="C62">
        <v>5.3895269710959599E-2</v>
      </c>
      <c r="D62">
        <v>2.2424648618448499E-2</v>
      </c>
      <c r="E62" t="s">
        <v>1496</v>
      </c>
      <c r="F62" t="s">
        <v>1436</v>
      </c>
      <c r="G62">
        <v>38.043999999999997</v>
      </c>
      <c r="H62">
        <v>1.3209758176201E-2</v>
      </c>
      <c r="I62">
        <v>46.664000000000001</v>
      </c>
      <c r="J62">
        <v>5.5596259104426799E-3</v>
      </c>
      <c r="K62" t="s">
        <v>986</v>
      </c>
      <c r="L62" t="s">
        <v>926</v>
      </c>
    </row>
    <row r="63" spans="1:12" x14ac:dyDescent="0.25">
      <c r="A63">
        <v>3.2831975950411901E-2</v>
      </c>
      <c r="B63">
        <v>9.4485381047573203E-3</v>
      </c>
      <c r="C63">
        <v>4.6526948089148097E-2</v>
      </c>
      <c r="D63">
        <v>1.2400816449865701E-2</v>
      </c>
      <c r="E63" t="s">
        <v>1497</v>
      </c>
      <c r="F63" t="s">
        <v>1436</v>
      </c>
      <c r="G63">
        <v>38.478999999999999</v>
      </c>
      <c r="H63">
        <v>1.1434128903375E-2</v>
      </c>
      <c r="I63">
        <v>46.808</v>
      </c>
      <c r="J63">
        <v>3.0858906223212301E-3</v>
      </c>
      <c r="K63" t="s">
        <v>987</v>
      </c>
      <c r="L63" t="s">
        <v>926</v>
      </c>
    </row>
    <row r="64" spans="1:12" x14ac:dyDescent="0.25">
      <c r="A64">
        <v>3.1711964087017402E-2</v>
      </c>
      <c r="B64">
        <v>2.1519541922931699E-2</v>
      </c>
      <c r="C64">
        <v>3.7630817464174598E-2</v>
      </c>
      <c r="D64">
        <v>1.6508679737656601E-2</v>
      </c>
      <c r="E64" t="s">
        <v>1498</v>
      </c>
      <c r="F64" t="s">
        <v>1436</v>
      </c>
      <c r="G64">
        <v>38.835999999999999</v>
      </c>
      <c r="H64">
        <v>9.2777878843004497E-3</v>
      </c>
      <c r="I64">
        <v>47</v>
      </c>
      <c r="J64">
        <v>4.1018629294138397E-3</v>
      </c>
      <c r="K64" t="s">
        <v>988</v>
      </c>
      <c r="L64" t="s">
        <v>926</v>
      </c>
    </row>
    <row r="65" spans="1:12" x14ac:dyDescent="0.25">
      <c r="A65">
        <v>2.8237310351865798E-2</v>
      </c>
      <c r="B65">
        <v>2.6513418939119401E-2</v>
      </c>
      <c r="C65">
        <v>4.0884190168569902E-2</v>
      </c>
      <c r="D65">
        <v>2.40435812756121E-2</v>
      </c>
      <c r="E65" t="s">
        <v>1499</v>
      </c>
      <c r="F65" t="s">
        <v>1436</v>
      </c>
      <c r="G65">
        <v>39.226999999999997</v>
      </c>
      <c r="H65">
        <v>1.0067978164589601E-2</v>
      </c>
      <c r="I65">
        <v>47.28</v>
      </c>
      <c r="J65">
        <v>5.9574468085106204E-3</v>
      </c>
      <c r="K65" t="s">
        <v>989</v>
      </c>
      <c r="L65" t="s">
        <v>926</v>
      </c>
    </row>
    <row r="66" spans="1:12" x14ac:dyDescent="0.25">
      <c r="A66">
        <v>2.86487834236928E-2</v>
      </c>
      <c r="B66">
        <v>-1.00878062845416E-2</v>
      </c>
      <c r="C66">
        <v>1.47648166353573E-2</v>
      </c>
      <c r="D66">
        <v>2.5106061305751201E-2</v>
      </c>
      <c r="E66" t="s">
        <v>1500</v>
      </c>
      <c r="F66" t="s">
        <v>1436</v>
      </c>
      <c r="G66">
        <v>39.371000000000002</v>
      </c>
      <c r="H66">
        <v>3.6709409335409201E-3</v>
      </c>
      <c r="I66">
        <v>47.573999999999998</v>
      </c>
      <c r="J66">
        <v>6.2182741116749698E-3</v>
      </c>
      <c r="K66" t="s">
        <v>990</v>
      </c>
      <c r="L66" t="s">
        <v>926</v>
      </c>
    </row>
    <row r="67" spans="1:12" x14ac:dyDescent="0.25">
      <c r="A67">
        <v>-4.2153079272678803E-3</v>
      </c>
      <c r="B67">
        <v>-9.8843189037382002E-3</v>
      </c>
      <c r="C67">
        <v>1.2042523964300099E-2</v>
      </c>
      <c r="D67">
        <v>4.1753162692227598E-2</v>
      </c>
      <c r="E67" t="s">
        <v>1501</v>
      </c>
      <c r="F67" t="s">
        <v>1436</v>
      </c>
      <c r="G67">
        <v>39.488999999999997</v>
      </c>
      <c r="H67">
        <v>2.9971298671609401E-3</v>
      </c>
      <c r="I67">
        <v>48.063000000000002</v>
      </c>
      <c r="J67">
        <v>1.02787236725943E-2</v>
      </c>
      <c r="K67" t="s">
        <v>991</v>
      </c>
      <c r="L67" t="s">
        <v>926</v>
      </c>
    </row>
    <row r="68" spans="1:12" x14ac:dyDescent="0.25">
      <c r="A68">
        <v>2.1224970793817698E-2</v>
      </c>
      <c r="B68">
        <v>5.6401548408471199E-3</v>
      </c>
      <c r="C68">
        <v>3.4679470629119601E-2</v>
      </c>
      <c r="D68">
        <v>3.6953475595025202E-2</v>
      </c>
      <c r="E68" t="s">
        <v>1502</v>
      </c>
      <c r="F68" t="s">
        <v>1436</v>
      </c>
      <c r="G68">
        <v>39.826999999999998</v>
      </c>
      <c r="H68">
        <v>8.5593456405581598E-3</v>
      </c>
      <c r="I68">
        <v>48.500999999999998</v>
      </c>
      <c r="J68">
        <v>9.1130391361338194E-3</v>
      </c>
      <c r="K68" t="s">
        <v>992</v>
      </c>
      <c r="L68" t="s">
        <v>926</v>
      </c>
    </row>
    <row r="69" spans="1:12" x14ac:dyDescent="0.25">
      <c r="A69">
        <v>2.4413629868112598E-2</v>
      </c>
      <c r="B69">
        <v>4.55022354216461E-3</v>
      </c>
      <c r="C69">
        <v>5.3779833992726497E-2</v>
      </c>
      <c r="D69">
        <v>4.4006184582173501E-2</v>
      </c>
      <c r="E69" t="s">
        <v>1503</v>
      </c>
      <c r="F69" t="s">
        <v>1436</v>
      </c>
      <c r="G69">
        <v>40.351999999999997</v>
      </c>
      <c r="H69">
        <v>1.3182012202777E-2</v>
      </c>
      <c r="I69">
        <v>49.026000000000003</v>
      </c>
      <c r="J69">
        <v>1.08245190820808E-2</v>
      </c>
      <c r="K69" t="s">
        <v>993</v>
      </c>
      <c r="L69" t="s">
        <v>926</v>
      </c>
    </row>
    <row r="70" spans="1:12" x14ac:dyDescent="0.25">
      <c r="A70">
        <v>3.8220568833408297E-2</v>
      </c>
      <c r="B70">
        <v>-6.8268953681047701E-3</v>
      </c>
      <c r="C70">
        <v>6.6318650583382599E-2</v>
      </c>
      <c r="D70">
        <v>2.5866237951436302E-2</v>
      </c>
      <c r="E70" t="s">
        <v>1504</v>
      </c>
      <c r="F70" t="s">
        <v>1436</v>
      </c>
      <c r="G70">
        <v>41.005000000000003</v>
      </c>
      <c r="H70">
        <v>1.61825931800159E-2</v>
      </c>
      <c r="I70">
        <v>49.34</v>
      </c>
      <c r="J70">
        <v>6.4047648186675897E-3</v>
      </c>
      <c r="K70" t="s">
        <v>994</v>
      </c>
      <c r="L70" t="s">
        <v>926</v>
      </c>
    </row>
    <row r="71" spans="1:12" x14ac:dyDescent="0.25">
      <c r="A71">
        <v>3.9129087464599803E-2</v>
      </c>
      <c r="B71">
        <v>1.9164012541417402E-2</v>
      </c>
      <c r="C71">
        <v>5.3726223643289599E-2</v>
      </c>
      <c r="D71">
        <v>3.4070959420577702E-2</v>
      </c>
      <c r="E71" t="s">
        <v>1505</v>
      </c>
      <c r="F71" t="s">
        <v>1436</v>
      </c>
      <c r="G71">
        <v>41.545000000000002</v>
      </c>
      <c r="H71">
        <v>1.3169125716376E-2</v>
      </c>
      <c r="I71">
        <v>49.755000000000003</v>
      </c>
      <c r="J71">
        <v>8.4110255370895004E-3</v>
      </c>
      <c r="K71" t="s">
        <v>995</v>
      </c>
      <c r="L71" t="s">
        <v>926</v>
      </c>
    </row>
    <row r="72" spans="1:12" x14ac:dyDescent="0.25">
      <c r="A72">
        <v>3.8454021368670203E-2</v>
      </c>
      <c r="B72">
        <v>2.9219770282175001E-2</v>
      </c>
      <c r="C72">
        <v>5.1713813262120399E-2</v>
      </c>
      <c r="D72">
        <v>3.6092988240003197E-2</v>
      </c>
      <c r="E72" t="s">
        <v>1506</v>
      </c>
      <c r="F72" t="s">
        <v>1436</v>
      </c>
      <c r="G72">
        <v>42.072000000000003</v>
      </c>
      <c r="H72">
        <v>1.2685040317727899E-2</v>
      </c>
      <c r="I72">
        <v>50.198</v>
      </c>
      <c r="J72">
        <v>8.9036277761027592E-3</v>
      </c>
      <c r="K72" t="s">
        <v>996</v>
      </c>
      <c r="L72" t="s">
        <v>926</v>
      </c>
    </row>
    <row r="73" spans="1:12" x14ac:dyDescent="0.25">
      <c r="A73">
        <v>3.5013174112648898E-2</v>
      </c>
      <c r="B73">
        <v>8.3996255435596599E-3</v>
      </c>
      <c r="C73">
        <v>2.4659104438458999E-2</v>
      </c>
      <c r="D73">
        <v>2.13651369698558E-2</v>
      </c>
      <c r="E73" t="s">
        <v>1507</v>
      </c>
      <c r="F73" t="s">
        <v>1436</v>
      </c>
      <c r="G73">
        <v>42.329000000000001</v>
      </c>
      <c r="H73">
        <v>6.1085757748620103E-3</v>
      </c>
      <c r="I73">
        <v>50.463999999999999</v>
      </c>
      <c r="J73">
        <v>5.29901589704762E-3</v>
      </c>
      <c r="K73" t="s">
        <v>997</v>
      </c>
      <c r="L73" t="s">
        <v>926</v>
      </c>
    </row>
    <row r="74" spans="1:12" x14ac:dyDescent="0.25">
      <c r="A74">
        <v>3.19577361885768E-2</v>
      </c>
      <c r="B74">
        <v>5.5666299963321703E-2</v>
      </c>
      <c r="C74">
        <v>1.7884305064996799E-2</v>
      </c>
      <c r="D74">
        <v>3.2571809116936898E-2</v>
      </c>
      <c r="E74" t="s">
        <v>1508</v>
      </c>
      <c r="F74" t="s">
        <v>1436</v>
      </c>
      <c r="G74">
        <v>42.517000000000003</v>
      </c>
      <c r="H74">
        <v>4.4413995133361101E-3</v>
      </c>
      <c r="I74">
        <v>50.87</v>
      </c>
      <c r="J74">
        <v>8.0453392517438899E-3</v>
      </c>
      <c r="K74" t="s">
        <v>998</v>
      </c>
      <c r="L74" t="s">
        <v>926</v>
      </c>
    </row>
    <row r="75" spans="1:12" x14ac:dyDescent="0.25">
      <c r="A75">
        <v>4.4899260052234199E-2</v>
      </c>
      <c r="B75">
        <v>3.99278081765242E-2</v>
      </c>
      <c r="C75">
        <v>4.3789897152202203E-2</v>
      </c>
      <c r="D75">
        <v>2.2279292577718199E-2</v>
      </c>
      <c r="E75" t="s">
        <v>1509</v>
      </c>
      <c r="F75" t="s">
        <v>1436</v>
      </c>
      <c r="G75">
        <v>42.975000000000001</v>
      </c>
      <c r="H75">
        <v>1.0772161723545901E-2</v>
      </c>
      <c r="I75">
        <v>51.151000000000003</v>
      </c>
      <c r="J75">
        <v>5.5238844112444098E-3</v>
      </c>
      <c r="K75" t="s">
        <v>999</v>
      </c>
      <c r="L75" t="s">
        <v>926</v>
      </c>
    </row>
    <row r="76" spans="1:12" x14ac:dyDescent="0.25">
      <c r="A76">
        <v>5.0215068802573502E-2</v>
      </c>
      <c r="B76">
        <v>2.3053377277420399E-2</v>
      </c>
      <c r="C76">
        <v>3.6032445200426998E-2</v>
      </c>
      <c r="D76">
        <v>2.6056753006691701E-2</v>
      </c>
      <c r="E76" t="s">
        <v>1510</v>
      </c>
      <c r="F76" t="s">
        <v>1436</v>
      </c>
      <c r="G76">
        <v>43.356999999999999</v>
      </c>
      <c r="H76">
        <v>8.8888888888889496E-3</v>
      </c>
      <c r="I76">
        <v>51.481000000000002</v>
      </c>
      <c r="J76">
        <v>6.45148677445206E-3</v>
      </c>
      <c r="K76" t="s">
        <v>1000</v>
      </c>
      <c r="L76" t="s">
        <v>926</v>
      </c>
    </row>
    <row r="77" spans="1:12" x14ac:dyDescent="0.25">
      <c r="A77">
        <v>4.1025346631292002E-2</v>
      </c>
      <c r="B77">
        <v>3.2561998713341901E-2</v>
      </c>
      <c r="C77">
        <v>5.2865449677459202E-2</v>
      </c>
      <c r="D77">
        <v>2.13020937510979E-2</v>
      </c>
      <c r="E77" t="s">
        <v>1511</v>
      </c>
      <c r="F77" t="s">
        <v>1436</v>
      </c>
      <c r="G77">
        <v>43.918999999999997</v>
      </c>
      <c r="H77">
        <v>1.29621514403671E-2</v>
      </c>
      <c r="I77">
        <v>51.753</v>
      </c>
      <c r="J77">
        <v>5.2835026514637101E-3</v>
      </c>
      <c r="K77" t="s">
        <v>1001</v>
      </c>
      <c r="L77" t="s">
        <v>926</v>
      </c>
    </row>
    <row r="78" spans="1:12" x14ac:dyDescent="0.25">
      <c r="A78">
        <v>4.6770164599538401E-2</v>
      </c>
      <c r="B78">
        <v>3.00519488200592E-2</v>
      </c>
      <c r="C78">
        <v>6.2050852369377699E-2</v>
      </c>
      <c r="D78">
        <v>1.9463013158635498E-2</v>
      </c>
      <c r="E78" t="s">
        <v>1512</v>
      </c>
      <c r="F78" t="s">
        <v>1436</v>
      </c>
      <c r="G78">
        <v>44.585000000000001</v>
      </c>
      <c r="H78">
        <v>1.5164279696714401E-2</v>
      </c>
      <c r="I78">
        <v>52.003</v>
      </c>
      <c r="J78">
        <v>4.8306378374200999E-3</v>
      </c>
      <c r="K78" t="s">
        <v>1002</v>
      </c>
      <c r="L78" t="s">
        <v>926</v>
      </c>
    </row>
    <row r="79" spans="1:12" x14ac:dyDescent="0.25">
      <c r="A79">
        <v>5.4994617531312101E-2</v>
      </c>
      <c r="B79">
        <v>2.9679316947533299E-2</v>
      </c>
      <c r="C79">
        <v>6.0821876360983101E-2</v>
      </c>
      <c r="D79">
        <v>3.2856918868300999E-2</v>
      </c>
      <c r="E79" t="s">
        <v>1513</v>
      </c>
      <c r="F79" t="s">
        <v>1436</v>
      </c>
      <c r="G79">
        <v>45.247999999999998</v>
      </c>
      <c r="H79">
        <v>1.48704721318829E-2</v>
      </c>
      <c r="I79">
        <v>52.424999999999997</v>
      </c>
      <c r="J79">
        <v>8.1149164471279196E-3</v>
      </c>
      <c r="K79" t="s">
        <v>1003</v>
      </c>
      <c r="L79" t="s">
        <v>926</v>
      </c>
    </row>
    <row r="80" spans="1:12" x14ac:dyDescent="0.25">
      <c r="A80">
        <v>2.3822978628153201E-2</v>
      </c>
      <c r="B80">
        <v>2.0057150963272801E-2</v>
      </c>
      <c r="C80">
        <v>3.9922896172757301E-2</v>
      </c>
      <c r="D80">
        <v>3.0012482573731999E-2</v>
      </c>
      <c r="E80" t="s">
        <v>1514</v>
      </c>
      <c r="F80" t="s">
        <v>1436</v>
      </c>
      <c r="G80">
        <v>45.692999999999998</v>
      </c>
      <c r="H80">
        <v>9.8346888260254506E-3</v>
      </c>
      <c r="I80">
        <v>52.814</v>
      </c>
      <c r="J80">
        <v>7.4201239866476002E-3</v>
      </c>
      <c r="K80" t="s">
        <v>1004</v>
      </c>
      <c r="L80" t="s">
        <v>926</v>
      </c>
    </row>
    <row r="81" spans="1:12" x14ac:dyDescent="0.25">
      <c r="A81">
        <v>3.1803231650019199E-2</v>
      </c>
      <c r="B81">
        <v>1.4432124176051201E-2</v>
      </c>
      <c r="C81">
        <v>6.0046453160524503E-2</v>
      </c>
      <c r="D81">
        <v>2.2222434897181301E-2</v>
      </c>
      <c r="E81" t="s">
        <v>1515</v>
      </c>
      <c r="F81" t="s">
        <v>1436</v>
      </c>
      <c r="G81">
        <v>46.363999999999997</v>
      </c>
      <c r="H81">
        <v>1.46849626857506E-2</v>
      </c>
      <c r="I81">
        <v>53.104999999999997</v>
      </c>
      <c r="J81">
        <v>5.5099026773204303E-3</v>
      </c>
      <c r="K81" t="s">
        <v>1005</v>
      </c>
      <c r="L81" t="s">
        <v>926</v>
      </c>
    </row>
    <row r="82" spans="1:12" x14ac:dyDescent="0.25">
      <c r="A82">
        <v>5.92740793130948E-2</v>
      </c>
      <c r="B82">
        <v>2.8330647899498702E-2</v>
      </c>
      <c r="C82">
        <v>6.4935137330784501E-2</v>
      </c>
      <c r="D82">
        <v>2.9085137772108E-2</v>
      </c>
      <c r="E82" t="s">
        <v>1516</v>
      </c>
      <c r="F82" t="s">
        <v>1436</v>
      </c>
      <c r="G82">
        <v>47.098999999999997</v>
      </c>
      <c r="H82">
        <v>1.5852816840652199E-2</v>
      </c>
      <c r="I82">
        <v>53.487000000000002</v>
      </c>
      <c r="J82">
        <v>7.1932962997835999E-3</v>
      </c>
      <c r="K82" t="s">
        <v>1006</v>
      </c>
      <c r="L82" t="s">
        <v>926</v>
      </c>
    </row>
    <row r="83" spans="1:12" x14ac:dyDescent="0.25">
      <c r="A83">
        <v>3.6833081072387398E-2</v>
      </c>
      <c r="B83">
        <v>7.0464261662823505E-2</v>
      </c>
      <c r="C83">
        <v>4.34077415784246E-2</v>
      </c>
      <c r="D83">
        <v>3.5768290293157798E-2</v>
      </c>
      <c r="E83" t="s">
        <v>1517</v>
      </c>
      <c r="F83" t="s">
        <v>1436</v>
      </c>
      <c r="G83">
        <v>47.601999999999997</v>
      </c>
      <c r="H83">
        <v>1.0679632263954599E-2</v>
      </c>
      <c r="I83">
        <v>53.959000000000003</v>
      </c>
      <c r="J83">
        <v>8.8245741955990092E-3</v>
      </c>
      <c r="K83" t="s">
        <v>1007</v>
      </c>
      <c r="L83" t="s">
        <v>926</v>
      </c>
    </row>
    <row r="84" spans="1:12" x14ac:dyDescent="0.25">
      <c r="A84">
        <v>5.1769155239957503E-2</v>
      </c>
      <c r="B84">
        <v>5.3870047588526803E-3</v>
      </c>
      <c r="C84">
        <v>5.9429132401131797E-2</v>
      </c>
      <c r="D84">
        <v>3.9413809912278698E-2</v>
      </c>
      <c r="E84" t="s">
        <v>1518</v>
      </c>
      <c r="F84" t="s">
        <v>1436</v>
      </c>
      <c r="G84">
        <v>48.293999999999997</v>
      </c>
      <c r="H84">
        <v>1.4537204319146299E-2</v>
      </c>
      <c r="I84">
        <v>54.482999999999997</v>
      </c>
      <c r="J84">
        <v>9.7110769287791499E-3</v>
      </c>
      <c r="K84" t="s">
        <v>1008</v>
      </c>
      <c r="L84" t="s">
        <v>926</v>
      </c>
    </row>
    <row r="85" spans="1:12" x14ac:dyDescent="0.25">
      <c r="A85">
        <v>5.3985249536158401E-2</v>
      </c>
      <c r="B85">
        <v>4.8480456964960797E-2</v>
      </c>
      <c r="C85">
        <v>7.7879333039596599E-2</v>
      </c>
      <c r="D85">
        <v>1.0688095589023601E-2</v>
      </c>
      <c r="E85" t="s">
        <v>1519</v>
      </c>
      <c r="F85" t="s">
        <v>1436</v>
      </c>
      <c r="G85">
        <v>49.207999999999998</v>
      </c>
      <c r="H85">
        <v>1.8925746469540702E-2</v>
      </c>
      <c r="I85">
        <v>54.628</v>
      </c>
      <c r="J85">
        <v>2.66138061413668E-3</v>
      </c>
      <c r="K85" t="s">
        <v>1009</v>
      </c>
      <c r="L85" t="s">
        <v>926</v>
      </c>
    </row>
    <row r="86" spans="1:12" x14ac:dyDescent="0.25">
      <c r="A86">
        <v>2.1158982786186002E-2</v>
      </c>
      <c r="B86">
        <v>3.6386290478485302E-2</v>
      </c>
      <c r="C86">
        <v>1.91574066493869E-2</v>
      </c>
      <c r="D86">
        <v>7.9315148019272197E-3</v>
      </c>
      <c r="E86" t="s">
        <v>1520</v>
      </c>
      <c r="F86" t="s">
        <v>1436</v>
      </c>
      <c r="G86">
        <v>49.442</v>
      </c>
      <c r="H86">
        <v>4.7553243375060301E-3</v>
      </c>
      <c r="I86">
        <v>54.735999999999997</v>
      </c>
      <c r="J86">
        <v>1.9770081276999601E-3</v>
      </c>
      <c r="K86" t="s">
        <v>1010</v>
      </c>
      <c r="L86" t="s">
        <v>926</v>
      </c>
    </row>
    <row r="87" spans="1:12" x14ac:dyDescent="0.25">
      <c r="A87">
        <v>2.2052154501282398E-2</v>
      </c>
      <c r="B87">
        <v>1.9883287825612099E-2</v>
      </c>
      <c r="C87">
        <v>2.5316754451185201E-2</v>
      </c>
      <c r="D87">
        <v>2.0767815828135701E-2</v>
      </c>
      <c r="E87" t="s">
        <v>1521</v>
      </c>
      <c r="F87" t="s">
        <v>1436</v>
      </c>
      <c r="G87">
        <v>49.752000000000002</v>
      </c>
      <c r="H87">
        <v>6.2699728975366097E-3</v>
      </c>
      <c r="I87">
        <v>55.018000000000001</v>
      </c>
      <c r="J87">
        <v>5.1520023384976597E-3</v>
      </c>
      <c r="K87" t="s">
        <v>1011</v>
      </c>
      <c r="L87" t="s">
        <v>926</v>
      </c>
    </row>
    <row r="88" spans="1:12" x14ac:dyDescent="0.25">
      <c r="A88">
        <v>2.7438615126695699E-2</v>
      </c>
      <c r="B88">
        <v>5.2374465161812503E-2</v>
      </c>
      <c r="C88">
        <v>3.8739820782161899E-2</v>
      </c>
      <c r="D88">
        <v>1.0657034721188501E-2</v>
      </c>
      <c r="E88" t="s">
        <v>1522</v>
      </c>
      <c r="F88" t="s">
        <v>1436</v>
      </c>
      <c r="G88">
        <v>50.226999999999997</v>
      </c>
      <c r="H88">
        <v>9.5473548802056402E-3</v>
      </c>
      <c r="I88">
        <v>55.164000000000001</v>
      </c>
      <c r="J88">
        <v>2.6536769784435399E-3</v>
      </c>
      <c r="K88" t="s">
        <v>1012</v>
      </c>
      <c r="L88" t="s">
        <v>926</v>
      </c>
    </row>
    <row r="89" spans="1:12" x14ac:dyDescent="0.25">
      <c r="A89">
        <v>2.9370792816648401E-2</v>
      </c>
      <c r="B89">
        <v>4.1076934031538899E-2</v>
      </c>
      <c r="C89">
        <v>4.6254885206873202E-2</v>
      </c>
      <c r="D89">
        <v>-9.9690396175571294E-3</v>
      </c>
      <c r="E89" t="s">
        <v>1523</v>
      </c>
      <c r="F89" t="s">
        <v>1436</v>
      </c>
      <c r="G89">
        <v>50.798000000000002</v>
      </c>
      <c r="H89">
        <v>1.13683875206563E-2</v>
      </c>
      <c r="I89">
        <v>55.026000000000003</v>
      </c>
      <c r="J89">
        <v>-2.5016314988035599E-3</v>
      </c>
      <c r="K89" t="s">
        <v>1013</v>
      </c>
      <c r="L89" t="s">
        <v>926</v>
      </c>
    </row>
    <row r="90" spans="1:12" x14ac:dyDescent="0.25">
      <c r="A90">
        <v>2.5261592124571599E-2</v>
      </c>
      <c r="B90">
        <v>5.8581566563336001E-3</v>
      </c>
      <c r="C90">
        <v>3.8335869645315497E-2</v>
      </c>
      <c r="D90">
        <v>-1.04267601108922E-2</v>
      </c>
      <c r="E90" t="s">
        <v>1524</v>
      </c>
      <c r="F90" t="s">
        <v>1436</v>
      </c>
      <c r="G90">
        <v>51.277999999999999</v>
      </c>
      <c r="H90">
        <v>9.4491909130280903E-3</v>
      </c>
      <c r="I90">
        <v>54.881999999999998</v>
      </c>
      <c r="J90">
        <v>-2.61694471704299E-3</v>
      </c>
      <c r="K90" t="s">
        <v>1014</v>
      </c>
      <c r="L90" t="s">
        <v>926</v>
      </c>
    </row>
    <row r="91" spans="1:12" x14ac:dyDescent="0.25">
      <c r="A91">
        <v>2.6883329197386899E-2</v>
      </c>
      <c r="B91">
        <v>1.4672046081608801E-2</v>
      </c>
      <c r="C91">
        <v>5.5488923116520997E-2</v>
      </c>
      <c r="D91">
        <v>1.90848323659343E-2</v>
      </c>
      <c r="E91" t="s">
        <v>1525</v>
      </c>
      <c r="F91" t="s">
        <v>1436</v>
      </c>
      <c r="G91">
        <v>51.975000000000001</v>
      </c>
      <c r="H91">
        <v>1.35925738133313E-2</v>
      </c>
      <c r="I91">
        <v>55.142000000000003</v>
      </c>
      <c r="J91">
        <v>4.7374366823367299E-3</v>
      </c>
      <c r="K91" t="s">
        <v>1015</v>
      </c>
      <c r="L91" t="s">
        <v>926</v>
      </c>
    </row>
    <row r="92" spans="1:12" x14ac:dyDescent="0.25">
      <c r="A92">
        <v>2.57889573012124E-2</v>
      </c>
      <c r="B92">
        <v>3.5352763805176303E-2</v>
      </c>
      <c r="C92">
        <v>3.4689577494526398E-2</v>
      </c>
      <c r="D92">
        <v>8.1492648352745594E-3</v>
      </c>
      <c r="E92" t="s">
        <v>1526</v>
      </c>
      <c r="F92" t="s">
        <v>1436</v>
      </c>
      <c r="G92">
        <v>52.42</v>
      </c>
      <c r="H92">
        <v>8.5618085618086592E-3</v>
      </c>
      <c r="I92">
        <v>55.253999999999998</v>
      </c>
      <c r="J92">
        <v>2.03111965470959E-3</v>
      </c>
      <c r="K92" t="s">
        <v>1016</v>
      </c>
      <c r="L92" t="s">
        <v>926</v>
      </c>
    </row>
    <row r="93" spans="1:12" x14ac:dyDescent="0.25">
      <c r="A93">
        <v>2.8170464275272301E-2</v>
      </c>
      <c r="B93">
        <v>2.5395981622951001E-2</v>
      </c>
      <c r="C93">
        <v>2.9547347848341E-2</v>
      </c>
      <c r="D93">
        <v>1.8368205985927599E-2</v>
      </c>
      <c r="E93" t="s">
        <v>1527</v>
      </c>
      <c r="F93" t="s">
        <v>1436</v>
      </c>
      <c r="G93">
        <v>52.802999999999997</v>
      </c>
      <c r="H93">
        <v>7.3063716138877001E-3</v>
      </c>
      <c r="I93">
        <v>55.506</v>
      </c>
      <c r="J93">
        <v>4.5607557823867896E-3</v>
      </c>
      <c r="K93" t="s">
        <v>1017</v>
      </c>
      <c r="L93" t="s">
        <v>926</v>
      </c>
    </row>
    <row r="94" spans="1:12" x14ac:dyDescent="0.25">
      <c r="A94">
        <v>2.40619409805858E-2</v>
      </c>
      <c r="B94">
        <v>9.9983702538513092E-3</v>
      </c>
      <c r="C94">
        <v>2.2073085991106502E-2</v>
      </c>
      <c r="D94">
        <v>3.0096377482488099E-2</v>
      </c>
      <c r="E94" t="s">
        <v>1528</v>
      </c>
      <c r="F94" t="s">
        <v>1436</v>
      </c>
      <c r="G94">
        <v>53.091999999999999</v>
      </c>
      <c r="H94">
        <v>5.4731738726967504E-3</v>
      </c>
      <c r="I94">
        <v>55.918999999999997</v>
      </c>
      <c r="J94">
        <v>7.4406370482469298E-3</v>
      </c>
      <c r="K94" t="s">
        <v>1018</v>
      </c>
      <c r="L94" t="s">
        <v>926</v>
      </c>
    </row>
    <row r="95" spans="1:12" x14ac:dyDescent="0.25">
      <c r="A95">
        <v>2.70873737268695E-2</v>
      </c>
      <c r="B95">
        <v>1.7716185249098602E-2</v>
      </c>
      <c r="C95">
        <v>2.3867747826854101E-2</v>
      </c>
      <c r="D95">
        <v>2.3524161594785199E-2</v>
      </c>
      <c r="E95" t="s">
        <v>1529</v>
      </c>
      <c r="F95" t="s">
        <v>1436</v>
      </c>
      <c r="G95">
        <v>53.405999999999999</v>
      </c>
      <c r="H95">
        <v>5.91426203571155E-3</v>
      </c>
      <c r="I95">
        <v>56.244999999999997</v>
      </c>
      <c r="J95">
        <v>5.8298610490172802E-3</v>
      </c>
      <c r="K95" t="s">
        <v>1019</v>
      </c>
      <c r="L95" t="s">
        <v>926</v>
      </c>
    </row>
    <row r="96" spans="1:12" x14ac:dyDescent="0.25">
      <c r="A96">
        <v>1.7542540867755401E-2</v>
      </c>
      <c r="B96">
        <v>2.9283418694515902E-2</v>
      </c>
      <c r="C96">
        <v>1.3096071782226999E-2</v>
      </c>
      <c r="D96">
        <v>4.0598599880798903E-3</v>
      </c>
      <c r="E96" t="s">
        <v>1530</v>
      </c>
      <c r="F96" t="s">
        <v>1436</v>
      </c>
      <c r="G96">
        <v>53.58</v>
      </c>
      <c r="H96">
        <v>3.2580608920345102E-3</v>
      </c>
      <c r="I96">
        <v>56.302</v>
      </c>
      <c r="J96">
        <v>1.01342341541466E-3</v>
      </c>
      <c r="K96" t="s">
        <v>1020</v>
      </c>
      <c r="L96" t="s">
        <v>926</v>
      </c>
    </row>
    <row r="97" spans="1:12" x14ac:dyDescent="0.25">
      <c r="A97">
        <v>2.3240038949048102E-2</v>
      </c>
      <c r="B97">
        <v>3.6370296177081797E-2</v>
      </c>
      <c r="C97">
        <v>2.0612838101556001E-2</v>
      </c>
      <c r="D97">
        <v>1.8816279960193898E-2</v>
      </c>
      <c r="E97" t="s">
        <v>1531</v>
      </c>
      <c r="F97" t="s">
        <v>1436</v>
      </c>
      <c r="G97">
        <v>53.853999999999999</v>
      </c>
      <c r="H97">
        <v>5.1138484509145599E-3</v>
      </c>
      <c r="I97">
        <v>56.564999999999998</v>
      </c>
      <c r="J97">
        <v>4.6712372562254202E-3</v>
      </c>
      <c r="K97" t="s">
        <v>1021</v>
      </c>
      <c r="L97" t="s">
        <v>926</v>
      </c>
    </row>
    <row r="98" spans="1:12" x14ac:dyDescent="0.25">
      <c r="A98">
        <v>1.4387423449919501E-2</v>
      </c>
      <c r="B98">
        <v>1.8449816517922799E-2</v>
      </c>
      <c r="C98">
        <v>3.3921123111567301E-2</v>
      </c>
      <c r="D98">
        <v>2.9526755688726598E-2</v>
      </c>
      <c r="E98" t="s">
        <v>1532</v>
      </c>
      <c r="F98" t="s">
        <v>1436</v>
      </c>
      <c r="G98">
        <v>54.305</v>
      </c>
      <c r="H98">
        <v>8.3744940023024999E-3</v>
      </c>
      <c r="I98">
        <v>56.978000000000002</v>
      </c>
      <c r="J98">
        <v>7.3013347476356101E-3</v>
      </c>
      <c r="K98" t="s">
        <v>1022</v>
      </c>
      <c r="L98" t="s">
        <v>926</v>
      </c>
    </row>
    <row r="99" spans="1:12" x14ac:dyDescent="0.25">
      <c r="A99">
        <v>2.2496438657089599E-2</v>
      </c>
      <c r="B99">
        <v>3.3991498444716703E-2</v>
      </c>
      <c r="C99">
        <v>2.3479894269272002E-2</v>
      </c>
      <c r="D99">
        <v>1.7453105874537699E-2</v>
      </c>
      <c r="E99" t="s">
        <v>1533</v>
      </c>
      <c r="F99" t="s">
        <v>1436</v>
      </c>
      <c r="G99">
        <v>54.621000000000002</v>
      </c>
      <c r="H99">
        <v>5.8189853604639899E-3</v>
      </c>
      <c r="I99">
        <v>57.225000000000001</v>
      </c>
      <c r="J99">
        <v>4.3350064937344203E-3</v>
      </c>
      <c r="K99" t="s">
        <v>1023</v>
      </c>
      <c r="L99" t="s">
        <v>926</v>
      </c>
    </row>
    <row r="100" spans="1:12" x14ac:dyDescent="0.25">
      <c r="A100">
        <v>2.90726218207682E-2</v>
      </c>
      <c r="B100">
        <v>2.3185974053502999E-2</v>
      </c>
      <c r="C100">
        <v>3.5391871305663798E-2</v>
      </c>
      <c r="D100">
        <v>3.5482240520336501E-2</v>
      </c>
      <c r="E100" t="s">
        <v>1534</v>
      </c>
      <c r="F100" t="s">
        <v>1436</v>
      </c>
      <c r="G100">
        <v>55.097999999999999</v>
      </c>
      <c r="H100">
        <v>8.7329049266764401E-3</v>
      </c>
      <c r="I100">
        <v>57.725999999999999</v>
      </c>
      <c r="J100">
        <v>8.7549148099605994E-3</v>
      </c>
      <c r="K100" t="s">
        <v>1024</v>
      </c>
      <c r="L100" t="s">
        <v>926</v>
      </c>
    </row>
    <row r="101" spans="1:12" x14ac:dyDescent="0.25">
      <c r="A101">
        <v>1.88663260541506E-2</v>
      </c>
      <c r="B101">
        <v>3.3254108726641599E-2</v>
      </c>
      <c r="C101">
        <v>3.4634574022881899E-2</v>
      </c>
      <c r="D101">
        <v>3.3748767658719397E-2</v>
      </c>
      <c r="E101" t="s">
        <v>1535</v>
      </c>
      <c r="F101" t="s">
        <v>1436</v>
      </c>
      <c r="G101">
        <v>55.569000000000003</v>
      </c>
      <c r="H101">
        <v>8.5484046607862095E-3</v>
      </c>
      <c r="I101">
        <v>58.207000000000001</v>
      </c>
      <c r="J101">
        <v>8.3324671725046907E-3</v>
      </c>
      <c r="K101" t="s">
        <v>1025</v>
      </c>
      <c r="L101" t="s">
        <v>926</v>
      </c>
    </row>
    <row r="102" spans="1:12" x14ac:dyDescent="0.25">
      <c r="A102">
        <v>1.9752209109685798E-2</v>
      </c>
      <c r="B102">
        <v>3.4122786590531799E-2</v>
      </c>
      <c r="C102">
        <v>1.8555272424330301E-2</v>
      </c>
      <c r="D102">
        <v>4.0528253340275301E-2</v>
      </c>
      <c r="E102" t="s">
        <v>1536</v>
      </c>
      <c r="F102" t="s">
        <v>1436</v>
      </c>
      <c r="G102">
        <v>55.825000000000003</v>
      </c>
      <c r="H102">
        <v>4.6068851337977001E-3</v>
      </c>
      <c r="I102">
        <v>58.787999999999997</v>
      </c>
      <c r="J102">
        <v>9.9816173312487991E-3</v>
      </c>
      <c r="K102" t="s">
        <v>1026</v>
      </c>
      <c r="L102" t="s">
        <v>926</v>
      </c>
    </row>
    <row r="103" spans="1:12" x14ac:dyDescent="0.25">
      <c r="A103">
        <v>2.3426148348960799E-2</v>
      </c>
      <c r="B103">
        <v>2.6924495262994098E-2</v>
      </c>
      <c r="C103">
        <v>3.10950653969519E-2</v>
      </c>
      <c r="D103">
        <v>2.8884969324625399E-2</v>
      </c>
      <c r="E103" t="s">
        <v>1537</v>
      </c>
      <c r="F103" t="s">
        <v>1436</v>
      </c>
      <c r="G103">
        <v>56.253999999999998</v>
      </c>
      <c r="H103">
        <v>7.6847290640393896E-3</v>
      </c>
      <c r="I103">
        <v>59.207999999999998</v>
      </c>
      <c r="J103">
        <v>7.1443151663605998E-3</v>
      </c>
      <c r="K103" t="s">
        <v>1027</v>
      </c>
      <c r="L103" t="s">
        <v>926</v>
      </c>
    </row>
    <row r="104" spans="1:12" x14ac:dyDescent="0.25">
      <c r="A104">
        <v>1.6481276503132601E-2</v>
      </c>
      <c r="B104">
        <v>2.0844963333619401E-2</v>
      </c>
      <c r="C104">
        <v>1.5303746558651399E-2</v>
      </c>
      <c r="D104">
        <v>2.2275298720186399E-2</v>
      </c>
      <c r="E104" t="s">
        <v>1538</v>
      </c>
      <c r="F104" t="s">
        <v>1436</v>
      </c>
      <c r="G104">
        <v>56.468000000000004</v>
      </c>
      <c r="H104">
        <v>3.8041739254097702E-3</v>
      </c>
      <c r="I104">
        <v>59.534999999999997</v>
      </c>
      <c r="J104">
        <v>5.5229023104985701E-3</v>
      </c>
      <c r="K104" t="s">
        <v>1028</v>
      </c>
      <c r="L104" t="s">
        <v>926</v>
      </c>
    </row>
    <row r="105" spans="1:12" x14ac:dyDescent="0.25">
      <c r="A105">
        <v>1.77105887350755E-2</v>
      </c>
      <c r="B105">
        <v>5.6392491810183902E-2</v>
      </c>
      <c r="C105">
        <v>1.3670147091618101E-2</v>
      </c>
      <c r="D105">
        <v>2.3245190160411201E-2</v>
      </c>
      <c r="E105" t="s">
        <v>1539</v>
      </c>
      <c r="F105" t="s">
        <v>1436</v>
      </c>
      <c r="G105">
        <v>56.66</v>
      </c>
      <c r="H105">
        <v>3.4001558404759299E-3</v>
      </c>
      <c r="I105">
        <v>59.878</v>
      </c>
      <c r="J105">
        <v>5.7613168724279804E-3</v>
      </c>
      <c r="K105" t="s">
        <v>1029</v>
      </c>
      <c r="L105" t="s">
        <v>926</v>
      </c>
    </row>
    <row r="106" spans="1:12" x14ac:dyDescent="0.25">
      <c r="A106">
        <v>2.24149830534284E-2</v>
      </c>
      <c r="B106">
        <v>9.43340099661172E-3</v>
      </c>
      <c r="C106">
        <v>4.4785324127958097E-2</v>
      </c>
      <c r="D106">
        <v>2.1616654614663E-2</v>
      </c>
      <c r="E106" t="s">
        <v>1540</v>
      </c>
      <c r="F106" t="s">
        <v>1436</v>
      </c>
      <c r="G106">
        <v>57.283999999999999</v>
      </c>
      <c r="H106">
        <v>1.1013060360042499E-2</v>
      </c>
      <c r="I106">
        <v>60.198999999999998</v>
      </c>
      <c r="J106">
        <v>5.3609004976786804E-3</v>
      </c>
      <c r="K106" t="s">
        <v>1030</v>
      </c>
      <c r="L106" t="s">
        <v>926</v>
      </c>
    </row>
    <row r="107" spans="1:12" x14ac:dyDescent="0.25">
      <c r="A107">
        <v>2.7006131410312901E-2</v>
      </c>
      <c r="B107">
        <v>-2.1272525988481301E-2</v>
      </c>
      <c r="C107">
        <v>5.7381634098421204E-3</v>
      </c>
      <c r="D107">
        <v>4.4593389946305803E-3</v>
      </c>
      <c r="E107" t="s">
        <v>1541</v>
      </c>
      <c r="F107" t="s">
        <v>1436</v>
      </c>
      <c r="G107">
        <v>57.366</v>
      </c>
      <c r="H107">
        <v>1.4314642832204999E-3</v>
      </c>
      <c r="I107">
        <v>60.265999999999998</v>
      </c>
      <c r="J107">
        <v>1.1129752985929999E-3</v>
      </c>
      <c r="K107" t="s">
        <v>1031</v>
      </c>
      <c r="L107" t="s">
        <v>926</v>
      </c>
    </row>
    <row r="108" spans="1:12" x14ac:dyDescent="0.25">
      <c r="A108">
        <v>1.7195373350960198E-2</v>
      </c>
      <c r="B108">
        <v>2.3444846886997699E-2</v>
      </c>
      <c r="C108">
        <v>2.6760970425558899E-2</v>
      </c>
      <c r="D108">
        <v>1.9993530620905801E-2</v>
      </c>
      <c r="E108" t="s">
        <v>1542</v>
      </c>
      <c r="F108" t="s">
        <v>1436</v>
      </c>
      <c r="G108">
        <v>57.746000000000002</v>
      </c>
      <c r="H108">
        <v>6.62413276156615E-3</v>
      </c>
      <c r="I108">
        <v>60.564999999999998</v>
      </c>
      <c r="J108">
        <v>4.9613380678989998E-3</v>
      </c>
      <c r="K108" t="s">
        <v>1032</v>
      </c>
      <c r="L108" t="s">
        <v>926</v>
      </c>
    </row>
    <row r="109" spans="1:12" x14ac:dyDescent="0.25">
      <c r="A109">
        <v>2.7544322225657499E-2</v>
      </c>
      <c r="B109">
        <v>1.3803868113502E-2</v>
      </c>
      <c r="C109">
        <v>3.2814056779429501E-2</v>
      </c>
      <c r="D109">
        <v>1.3007743413415899E-2</v>
      </c>
      <c r="E109" t="s">
        <v>1543</v>
      </c>
      <c r="F109" t="s">
        <v>1436</v>
      </c>
      <c r="G109">
        <v>58.213999999999999</v>
      </c>
      <c r="H109">
        <v>8.1044574515982699E-3</v>
      </c>
      <c r="I109">
        <v>60.761000000000003</v>
      </c>
      <c r="J109">
        <v>3.2361925204327201E-3</v>
      </c>
      <c r="K109" t="s">
        <v>1033</v>
      </c>
      <c r="L109" t="s">
        <v>926</v>
      </c>
    </row>
    <row r="110" spans="1:12" x14ac:dyDescent="0.25">
      <c r="A110">
        <v>1.7773223680601899E-2</v>
      </c>
      <c r="B110">
        <v>1.36962800731413E-2</v>
      </c>
      <c r="C110">
        <v>2.76992412803541E-2</v>
      </c>
      <c r="D110">
        <v>2.2772194889475902E-2</v>
      </c>
      <c r="E110" t="s">
        <v>1544</v>
      </c>
      <c r="F110" t="s">
        <v>1436</v>
      </c>
      <c r="G110">
        <v>58.613</v>
      </c>
      <c r="H110">
        <v>6.8540213694301402E-3</v>
      </c>
      <c r="I110">
        <v>61.103999999999999</v>
      </c>
      <c r="J110">
        <v>5.6450683826796402E-3</v>
      </c>
      <c r="K110" t="s">
        <v>1034</v>
      </c>
      <c r="L110" t="s">
        <v>926</v>
      </c>
    </row>
    <row r="111" spans="1:12" x14ac:dyDescent="0.25">
      <c r="A111">
        <v>1.0067171002752701E-2</v>
      </c>
      <c r="B111">
        <v>2.65913479501769E-2</v>
      </c>
      <c r="C111">
        <v>9.5884799897107999E-3</v>
      </c>
      <c r="D111">
        <v>2.7578432526699701E-2</v>
      </c>
      <c r="E111" t="s">
        <v>1545</v>
      </c>
      <c r="F111" t="s">
        <v>1436</v>
      </c>
      <c r="G111">
        <v>58.753</v>
      </c>
      <c r="H111">
        <v>2.3885486154948698E-3</v>
      </c>
      <c r="I111">
        <v>61.521000000000001</v>
      </c>
      <c r="J111">
        <v>6.8244304791831301E-3</v>
      </c>
      <c r="K111" t="s">
        <v>1035</v>
      </c>
      <c r="L111" t="s">
        <v>926</v>
      </c>
    </row>
    <row r="112" spans="1:12" x14ac:dyDescent="0.25">
      <c r="A112">
        <v>1.05839184448571E-2</v>
      </c>
      <c r="B112">
        <v>9.2223862003817398E-3</v>
      </c>
      <c r="C112">
        <v>1.9268623425193102E-2</v>
      </c>
      <c r="D112">
        <v>1.0181522541022199E-2</v>
      </c>
      <c r="E112" t="s">
        <v>1546</v>
      </c>
      <c r="F112" t="s">
        <v>1436</v>
      </c>
      <c r="G112">
        <v>59.033999999999999</v>
      </c>
      <c r="H112">
        <v>4.7827344986639498E-3</v>
      </c>
      <c r="I112">
        <v>61.677</v>
      </c>
      <c r="J112">
        <v>2.5357195104109801E-3</v>
      </c>
      <c r="K112" t="s">
        <v>1036</v>
      </c>
      <c r="L112" t="s">
        <v>926</v>
      </c>
    </row>
    <row r="113" spans="1:12" x14ac:dyDescent="0.25">
      <c r="A113">
        <v>1.26121897911931E-2</v>
      </c>
      <c r="B113">
        <v>2.8333969394931401E-2</v>
      </c>
      <c r="C113">
        <v>3.3061309623051399E-2</v>
      </c>
      <c r="D113">
        <v>2.5996696664996499E-2</v>
      </c>
      <c r="E113" t="s">
        <v>1547</v>
      </c>
      <c r="F113" t="s">
        <v>1436</v>
      </c>
      <c r="G113">
        <v>59.515999999999998</v>
      </c>
      <c r="H113">
        <v>8.1647863942813093E-3</v>
      </c>
      <c r="I113">
        <v>62.073999999999998</v>
      </c>
      <c r="J113">
        <v>6.4367592457479396E-3</v>
      </c>
      <c r="K113" t="s">
        <v>1037</v>
      </c>
      <c r="L113" t="s">
        <v>926</v>
      </c>
    </row>
    <row r="114" spans="1:12" x14ac:dyDescent="0.25">
      <c r="A114">
        <v>3.2090280398078302E-4</v>
      </c>
      <c r="B114">
        <v>-1.66473304304918E-2</v>
      </c>
      <c r="C114">
        <v>6.3326118015940604E-3</v>
      </c>
      <c r="D114">
        <v>1.3539104320199301E-3</v>
      </c>
      <c r="E114" t="s">
        <v>1548</v>
      </c>
      <c r="F114" t="s">
        <v>1436</v>
      </c>
      <c r="G114">
        <v>59.61</v>
      </c>
      <c r="H114">
        <v>1.57940721822714E-3</v>
      </c>
      <c r="I114">
        <v>62.094999999999999</v>
      </c>
      <c r="J114">
        <v>3.3830589296646201E-4</v>
      </c>
      <c r="K114" t="s">
        <v>1038</v>
      </c>
      <c r="L114" t="s">
        <v>926</v>
      </c>
    </row>
    <row r="115" spans="1:12" x14ac:dyDescent="0.25">
      <c r="A115">
        <v>7.2384308298694099E-3</v>
      </c>
      <c r="B115">
        <v>2.5981704959145799E-2</v>
      </c>
      <c r="C115">
        <v>2.14418814289523E-2</v>
      </c>
      <c r="D115">
        <v>2.5146473935451202E-3</v>
      </c>
      <c r="E115" t="s">
        <v>1549</v>
      </c>
      <c r="F115" t="s">
        <v>1436</v>
      </c>
      <c r="G115">
        <v>59.927</v>
      </c>
      <c r="H115">
        <v>5.3178996812615099E-3</v>
      </c>
      <c r="I115">
        <v>62.134</v>
      </c>
      <c r="J115">
        <v>6.2806989290598004E-4</v>
      </c>
      <c r="K115" t="s">
        <v>1039</v>
      </c>
      <c r="L115" t="s">
        <v>926</v>
      </c>
    </row>
    <row r="116" spans="1:12" x14ac:dyDescent="0.25">
      <c r="A116">
        <v>1.2387156771827E-2</v>
      </c>
      <c r="B116">
        <v>2.6407820145390601E-2</v>
      </c>
      <c r="C116">
        <v>3.1605845001569703E-2</v>
      </c>
      <c r="D116">
        <v>2.4885302644445099E-2</v>
      </c>
      <c r="E116" t="s">
        <v>1550</v>
      </c>
      <c r="F116" t="s">
        <v>1436</v>
      </c>
      <c r="G116">
        <v>60.395000000000003</v>
      </c>
      <c r="H116">
        <v>7.8095015602317498E-3</v>
      </c>
      <c r="I116">
        <v>62.517000000000003</v>
      </c>
      <c r="J116">
        <v>6.1640969517495802E-3</v>
      </c>
      <c r="K116" t="s">
        <v>1040</v>
      </c>
      <c r="L116" t="s">
        <v>926</v>
      </c>
    </row>
    <row r="117" spans="1:12" x14ac:dyDescent="0.25">
      <c r="A117">
        <v>1.0631455336088899E-2</v>
      </c>
      <c r="B117">
        <v>1.29075602616771E-2</v>
      </c>
      <c r="C117">
        <v>3.6519198475668799E-2</v>
      </c>
      <c r="D117">
        <v>2.2777873103542599E-2</v>
      </c>
      <c r="E117" t="s">
        <v>1551</v>
      </c>
      <c r="F117" t="s">
        <v>1436</v>
      </c>
      <c r="G117">
        <v>60.939</v>
      </c>
      <c r="H117">
        <v>9.0073681596158899E-3</v>
      </c>
      <c r="I117">
        <v>62.87</v>
      </c>
      <c r="J117">
        <v>5.6464641617479704E-3</v>
      </c>
      <c r="K117" t="s">
        <v>1041</v>
      </c>
      <c r="L117" t="s">
        <v>926</v>
      </c>
    </row>
    <row r="118" spans="1:12" x14ac:dyDescent="0.25">
      <c r="A118">
        <v>7.8778546175835001E-3</v>
      </c>
      <c r="B118">
        <v>1.19346323256166E-2</v>
      </c>
      <c r="C118">
        <v>3.4639204699016303E-2</v>
      </c>
      <c r="D118">
        <v>1.61297394114919E-2</v>
      </c>
      <c r="E118" t="s">
        <v>1552</v>
      </c>
      <c r="F118" t="s">
        <v>1436</v>
      </c>
      <c r="G118">
        <v>61.46</v>
      </c>
      <c r="H118">
        <v>8.5495331396971998E-3</v>
      </c>
      <c r="I118">
        <v>63.122</v>
      </c>
      <c r="J118">
        <v>4.0082710354700799E-3</v>
      </c>
      <c r="K118" t="s">
        <v>1042</v>
      </c>
      <c r="L118" t="s">
        <v>926</v>
      </c>
    </row>
    <row r="119" spans="1:12" x14ac:dyDescent="0.25">
      <c r="A119">
        <v>2.2971603454798002E-2</v>
      </c>
      <c r="B119">
        <v>3.4068264295770097E-2</v>
      </c>
      <c r="C119">
        <v>6.1370356227924201E-2</v>
      </c>
      <c r="D119">
        <v>2.99883116478201E-2</v>
      </c>
      <c r="E119" t="s">
        <v>1553</v>
      </c>
      <c r="F119" t="s">
        <v>1436</v>
      </c>
      <c r="G119">
        <v>62.381999999999998</v>
      </c>
      <c r="H119">
        <v>1.5001627074519901E-2</v>
      </c>
      <c r="I119">
        <v>63.59</v>
      </c>
      <c r="J119">
        <v>7.4142137448116596E-3</v>
      </c>
      <c r="K119" t="s">
        <v>1043</v>
      </c>
      <c r="L119" t="s">
        <v>926</v>
      </c>
    </row>
    <row r="120" spans="1:12" x14ac:dyDescent="0.25">
      <c r="A120">
        <v>2.21977740334749E-2</v>
      </c>
      <c r="B120">
        <v>3.6824162588046098E-2</v>
      </c>
      <c r="C120">
        <v>5.6562220210462498E-2</v>
      </c>
      <c r="D120">
        <v>1.6964868305367399E-2</v>
      </c>
      <c r="E120" t="s">
        <v>1554</v>
      </c>
      <c r="F120" t="s">
        <v>1436</v>
      </c>
      <c r="G120">
        <v>63.246000000000002</v>
      </c>
      <c r="H120">
        <v>1.3850149081466E-2</v>
      </c>
      <c r="I120">
        <v>63.857999999999997</v>
      </c>
      <c r="J120">
        <v>4.2144991350840898E-3</v>
      </c>
      <c r="K120" t="s">
        <v>1044</v>
      </c>
      <c r="L120" t="s">
        <v>926</v>
      </c>
    </row>
    <row r="121" spans="1:12" x14ac:dyDescent="0.25">
      <c r="A121">
        <v>2.4473399596212499E-2</v>
      </c>
      <c r="B121">
        <v>5.00811045761866E-2</v>
      </c>
      <c r="C121">
        <v>4.9726482376824199E-2</v>
      </c>
      <c r="D121">
        <v>3.4513513517111301E-2</v>
      </c>
      <c r="E121" t="s">
        <v>1555</v>
      </c>
      <c r="F121" t="s">
        <v>1436</v>
      </c>
      <c r="G121">
        <v>64.018000000000001</v>
      </c>
      <c r="H121">
        <v>1.2206305537109099E-2</v>
      </c>
      <c r="I121">
        <v>64.402000000000001</v>
      </c>
      <c r="J121">
        <v>8.5189013122866104E-3</v>
      </c>
      <c r="K121" t="s">
        <v>1045</v>
      </c>
      <c r="L121" t="s">
        <v>926</v>
      </c>
    </row>
    <row r="122" spans="1:12" x14ac:dyDescent="0.25">
      <c r="A122">
        <v>3.2886107964122897E-2</v>
      </c>
      <c r="B122">
        <v>3.9540884737924602E-2</v>
      </c>
      <c r="C122">
        <v>5.7040318663066601E-2</v>
      </c>
      <c r="D122">
        <v>3.2054289459933799E-2</v>
      </c>
      <c r="E122" t="s">
        <v>1556</v>
      </c>
      <c r="F122" t="s">
        <v>1436</v>
      </c>
      <c r="G122">
        <v>64.912000000000006</v>
      </c>
      <c r="H122">
        <v>1.3964822393701899E-2</v>
      </c>
      <c r="I122">
        <v>64.912000000000006</v>
      </c>
      <c r="J122">
        <v>7.9190087264371396E-3</v>
      </c>
      <c r="K122" t="s">
        <v>1046</v>
      </c>
      <c r="L122" t="s">
        <v>926</v>
      </c>
    </row>
    <row r="123" spans="1:12" x14ac:dyDescent="0.25">
      <c r="A123">
        <v>1.9193585341739101E-2</v>
      </c>
      <c r="B123">
        <v>1.5459188057563401E-2</v>
      </c>
      <c r="C123">
        <v>4.2438786901308999E-2</v>
      </c>
      <c r="D123">
        <v>4.6322155050911397E-2</v>
      </c>
      <c r="E123" t="s">
        <v>1557</v>
      </c>
      <c r="F123" t="s">
        <v>1436</v>
      </c>
      <c r="G123">
        <v>65.59</v>
      </c>
      <c r="H123">
        <v>1.0444910032043399E-2</v>
      </c>
      <c r="I123">
        <v>65.650999999999996</v>
      </c>
      <c r="J123">
        <v>1.13846438254868E-2</v>
      </c>
      <c r="K123" t="s">
        <v>1047</v>
      </c>
      <c r="L123" t="s">
        <v>926</v>
      </c>
    </row>
    <row r="124" spans="1:12" x14ac:dyDescent="0.25">
      <c r="A124">
        <v>2.6053548554263901E-2</v>
      </c>
      <c r="B124">
        <v>2.8949345820011199E-2</v>
      </c>
      <c r="C124">
        <v>4.7728620369875199E-2</v>
      </c>
      <c r="D124">
        <v>2.6457667912965801E-2</v>
      </c>
      <c r="E124" t="s">
        <v>1558</v>
      </c>
      <c r="F124" t="s">
        <v>1436</v>
      </c>
      <c r="G124">
        <v>66.358999999999995</v>
      </c>
      <c r="H124">
        <v>1.1724348223814501E-2</v>
      </c>
      <c r="I124">
        <v>66.081000000000003</v>
      </c>
      <c r="J124">
        <v>6.5497859895509202E-3</v>
      </c>
      <c r="K124" t="s">
        <v>1048</v>
      </c>
      <c r="L124" t="s">
        <v>926</v>
      </c>
    </row>
    <row r="125" spans="1:12" x14ac:dyDescent="0.25">
      <c r="A125">
        <v>2.2816932316492001E-2</v>
      </c>
      <c r="B125">
        <v>1.82242710503548E-2</v>
      </c>
      <c r="C125">
        <v>5.7499642478727998E-2</v>
      </c>
      <c r="D125">
        <v>2.3755596803619598E-2</v>
      </c>
      <c r="E125" t="s">
        <v>1559</v>
      </c>
      <c r="F125" t="s">
        <v>1436</v>
      </c>
      <c r="G125">
        <v>67.293000000000006</v>
      </c>
      <c r="H125">
        <v>1.40749559215783E-2</v>
      </c>
      <c r="I125">
        <v>66.47</v>
      </c>
      <c r="J125">
        <v>5.8867147894250396E-3</v>
      </c>
      <c r="K125" t="s">
        <v>1049</v>
      </c>
      <c r="L125" t="s">
        <v>926</v>
      </c>
    </row>
    <row r="126" spans="1:12" x14ac:dyDescent="0.25">
      <c r="A126">
        <v>2.9937016463394299E-2</v>
      </c>
      <c r="B126">
        <v>6.8223280329673397E-3</v>
      </c>
      <c r="C126">
        <v>5.4456520671492398E-2</v>
      </c>
      <c r="D126">
        <v>2.4902004743710501E-2</v>
      </c>
      <c r="E126" t="s">
        <v>1560</v>
      </c>
      <c r="F126" t="s">
        <v>1436</v>
      </c>
      <c r="G126">
        <v>68.191000000000003</v>
      </c>
      <c r="H126">
        <v>1.33446272272004E-2</v>
      </c>
      <c r="I126">
        <v>66.88</v>
      </c>
      <c r="J126">
        <v>6.16819617872721E-3</v>
      </c>
      <c r="K126" t="s">
        <v>1050</v>
      </c>
      <c r="L126" t="s">
        <v>926</v>
      </c>
    </row>
    <row r="127" spans="1:12" x14ac:dyDescent="0.25">
      <c r="A127">
        <v>1.8884884410707199E-2</v>
      </c>
      <c r="B127">
        <v>2.1198789662036002E-2</v>
      </c>
      <c r="C127">
        <v>1.7060457300781501E-2</v>
      </c>
      <c r="D127">
        <v>1.0326833438175601E-2</v>
      </c>
      <c r="E127" t="s">
        <v>1561</v>
      </c>
      <c r="F127" t="s">
        <v>1436</v>
      </c>
      <c r="G127">
        <v>68.48</v>
      </c>
      <c r="H127">
        <v>4.2380959364138899E-3</v>
      </c>
      <c r="I127">
        <v>67.052000000000007</v>
      </c>
      <c r="J127">
        <v>2.5717703349283898E-3</v>
      </c>
      <c r="K127" t="s">
        <v>1051</v>
      </c>
      <c r="L127" t="s">
        <v>926</v>
      </c>
    </row>
    <row r="128" spans="1:12" x14ac:dyDescent="0.25">
      <c r="A128">
        <v>2.0085104332627801E-3</v>
      </c>
      <c r="B128">
        <v>2.5873085754739799E-2</v>
      </c>
      <c r="C128">
        <v>1.0084643678167899E-2</v>
      </c>
      <c r="D128">
        <v>1.25865662000337E-2</v>
      </c>
      <c r="E128" t="s">
        <v>1562</v>
      </c>
      <c r="F128" t="s">
        <v>1436</v>
      </c>
      <c r="G128">
        <v>68.652000000000001</v>
      </c>
      <c r="H128">
        <v>2.5116822429906999E-3</v>
      </c>
      <c r="I128">
        <v>67.262</v>
      </c>
      <c r="J128">
        <v>3.1318976316887502E-3</v>
      </c>
      <c r="K128" t="s">
        <v>1052</v>
      </c>
      <c r="L128" t="s">
        <v>926</v>
      </c>
    </row>
    <row r="129" spans="1:12" x14ac:dyDescent="0.25">
      <c r="A129">
        <v>1.65597149400032E-3</v>
      </c>
      <c r="B129">
        <v>2.61448943379867E-2</v>
      </c>
      <c r="C129">
        <v>4.4939487008062197E-3</v>
      </c>
      <c r="D129">
        <v>2.16417401943385E-2</v>
      </c>
      <c r="E129" t="s">
        <v>1563</v>
      </c>
      <c r="F129" t="s">
        <v>1436</v>
      </c>
      <c r="G129">
        <v>68.728999999999999</v>
      </c>
      <c r="H129">
        <v>1.1215987880905901E-3</v>
      </c>
      <c r="I129">
        <v>67.623000000000005</v>
      </c>
      <c r="J129">
        <v>5.3670720466236803E-3</v>
      </c>
      <c r="K129" t="s">
        <v>1053</v>
      </c>
      <c r="L129" t="s">
        <v>926</v>
      </c>
    </row>
    <row r="130" spans="1:12" x14ac:dyDescent="0.25">
      <c r="A130">
        <v>8.0448095256371293E-3</v>
      </c>
      <c r="B130">
        <v>2.6192779718551499E-2</v>
      </c>
      <c r="C130">
        <v>2.6210777008154801E-2</v>
      </c>
      <c r="D130">
        <v>1.77439998941584E-2</v>
      </c>
      <c r="E130" t="s">
        <v>1564</v>
      </c>
      <c r="F130" t="s">
        <v>1436</v>
      </c>
      <c r="G130">
        <v>69.174999999999997</v>
      </c>
      <c r="H130">
        <v>6.4892548996784401E-3</v>
      </c>
      <c r="I130">
        <v>67.921000000000006</v>
      </c>
      <c r="J130">
        <v>4.4067846738535801E-3</v>
      </c>
      <c r="K130" t="s">
        <v>1054</v>
      </c>
      <c r="L130" t="s">
        <v>926</v>
      </c>
    </row>
    <row r="131" spans="1:12" x14ac:dyDescent="0.25">
      <c r="A131">
        <v>2.9998743908273201E-2</v>
      </c>
      <c r="B131">
        <v>3.8349371649444103E-2</v>
      </c>
      <c r="C131">
        <v>3.99637104830428E-2</v>
      </c>
      <c r="D131">
        <v>2.19088618142655E-2</v>
      </c>
      <c r="E131" t="s">
        <v>1565</v>
      </c>
      <c r="F131" t="s">
        <v>1436</v>
      </c>
      <c r="G131">
        <v>69.855999999999995</v>
      </c>
      <c r="H131">
        <v>9.8445970365015293E-3</v>
      </c>
      <c r="I131">
        <v>68.290000000000006</v>
      </c>
      <c r="J131">
        <v>5.4327822028532599E-3</v>
      </c>
      <c r="K131" t="s">
        <v>1055</v>
      </c>
      <c r="L131" t="s">
        <v>926</v>
      </c>
    </row>
    <row r="132" spans="1:12" x14ac:dyDescent="0.25">
      <c r="A132">
        <v>2.0869776308943801E-2</v>
      </c>
      <c r="B132">
        <v>3.4801584391165798E-2</v>
      </c>
      <c r="C132">
        <v>3.3157579483975103E-2</v>
      </c>
      <c r="D132">
        <v>1.23573378485025E-2</v>
      </c>
      <c r="E132" t="s">
        <v>1566</v>
      </c>
      <c r="F132" t="s">
        <v>1436</v>
      </c>
      <c r="G132">
        <v>70.427999999999997</v>
      </c>
      <c r="H132">
        <v>8.1882730187814393E-3</v>
      </c>
      <c r="I132">
        <v>68.5</v>
      </c>
      <c r="J132">
        <v>3.07512080831729E-3</v>
      </c>
      <c r="K132" t="s">
        <v>1056</v>
      </c>
      <c r="L132" t="s">
        <v>926</v>
      </c>
    </row>
    <row r="133" spans="1:12" x14ac:dyDescent="0.25">
      <c r="A133">
        <v>1.8806157080279301E-2</v>
      </c>
      <c r="B133">
        <v>7.6203068975526894E-2</v>
      </c>
      <c r="C133">
        <v>4.04120889716926E-2</v>
      </c>
      <c r="D133">
        <v>6.9083360828583497E-3</v>
      </c>
      <c r="E133" t="s">
        <v>1567</v>
      </c>
      <c r="F133" t="s">
        <v>1436</v>
      </c>
      <c r="G133">
        <v>71.129000000000005</v>
      </c>
      <c r="H133">
        <v>9.9534276140171903E-3</v>
      </c>
      <c r="I133">
        <v>68.617999999999995</v>
      </c>
      <c r="J133">
        <v>1.7226277372262E-3</v>
      </c>
      <c r="K133" t="s">
        <v>1057</v>
      </c>
      <c r="L133" t="s">
        <v>926</v>
      </c>
    </row>
    <row r="134" spans="1:12" x14ac:dyDescent="0.25">
      <c r="A134">
        <v>3.0939531110064901E-2</v>
      </c>
      <c r="B134">
        <v>4.5343406532494003E-2</v>
      </c>
      <c r="C134">
        <v>6.4192818314913899E-2</v>
      </c>
      <c r="D134">
        <v>3.35839967225895E-2</v>
      </c>
      <c r="E134" t="s">
        <v>1568</v>
      </c>
      <c r="F134" t="s">
        <v>1436</v>
      </c>
      <c r="G134">
        <v>72.244</v>
      </c>
      <c r="H134">
        <v>1.5675744070632099E-2</v>
      </c>
      <c r="I134">
        <v>69.186999999999998</v>
      </c>
      <c r="J134">
        <v>8.2922848232243104E-3</v>
      </c>
      <c r="K134" t="s">
        <v>1058</v>
      </c>
      <c r="L134" t="s">
        <v>926</v>
      </c>
    </row>
    <row r="135" spans="1:12" x14ac:dyDescent="0.25">
      <c r="A135">
        <v>4.0077661469082298E-3</v>
      </c>
      <c r="B135">
        <v>2.8726975579467701E-2</v>
      </c>
      <c r="C135">
        <v>2.60483280529056E-3</v>
      </c>
      <c r="D135">
        <v>4.1691340309692997E-3</v>
      </c>
      <c r="E135" t="s">
        <v>1569</v>
      </c>
      <c r="F135" t="s">
        <v>1436</v>
      </c>
      <c r="G135">
        <v>72.290999999999997</v>
      </c>
      <c r="H135">
        <v>6.5057305797022703E-4</v>
      </c>
      <c r="I135">
        <v>69.259</v>
      </c>
      <c r="J135">
        <v>1.0406579270672001E-3</v>
      </c>
      <c r="K135" t="s">
        <v>1059</v>
      </c>
      <c r="L135" t="s">
        <v>926</v>
      </c>
    </row>
    <row r="136" spans="1:12" x14ac:dyDescent="0.25">
      <c r="A136">
        <v>2.6637470683258401E-2</v>
      </c>
      <c r="B136">
        <v>3.6701160751028999E-2</v>
      </c>
      <c r="C136">
        <v>3.2537484109284899E-2</v>
      </c>
      <c r="D136">
        <v>5.0920666130191998E-3</v>
      </c>
      <c r="E136" t="s">
        <v>1570</v>
      </c>
      <c r="F136" t="s">
        <v>1436</v>
      </c>
      <c r="G136">
        <v>72.872</v>
      </c>
      <c r="H136">
        <v>8.0369617241426994E-3</v>
      </c>
      <c r="I136">
        <v>69.346999999999994</v>
      </c>
      <c r="J136">
        <v>1.2705929915244299E-3</v>
      </c>
      <c r="K136" t="s">
        <v>1060</v>
      </c>
      <c r="L136" t="s">
        <v>926</v>
      </c>
    </row>
    <row r="137" spans="1:12" x14ac:dyDescent="0.25">
      <c r="A137">
        <v>1.9809591582912799E-2</v>
      </c>
      <c r="B137">
        <v>3.0297839189273201E-2</v>
      </c>
      <c r="C137">
        <v>3.6723057880070603E-2</v>
      </c>
      <c r="D137">
        <v>1.11208187291489E-2</v>
      </c>
      <c r="E137" t="s">
        <v>1571</v>
      </c>
      <c r="F137" t="s">
        <v>1436</v>
      </c>
      <c r="G137">
        <v>73.531999999999996</v>
      </c>
      <c r="H137">
        <v>9.0569766165331505E-3</v>
      </c>
      <c r="I137">
        <v>69.539000000000001</v>
      </c>
      <c r="J137">
        <v>2.7686850188184402E-3</v>
      </c>
      <c r="K137" t="s">
        <v>1061</v>
      </c>
      <c r="L137" t="s">
        <v>926</v>
      </c>
    </row>
    <row r="138" spans="1:12" x14ac:dyDescent="0.25">
      <c r="A138">
        <v>3.1204615634115699E-2</v>
      </c>
      <c r="B138">
        <v>3.4471201135703997E-2</v>
      </c>
      <c r="C138">
        <v>5.7672124037001303E-2</v>
      </c>
      <c r="D138">
        <v>2.6313046913832801E-2</v>
      </c>
      <c r="E138" t="s">
        <v>1572</v>
      </c>
      <c r="F138" t="s">
        <v>1436</v>
      </c>
      <c r="G138">
        <v>74.569999999999993</v>
      </c>
      <c r="H138">
        <v>1.41163031061307E-2</v>
      </c>
      <c r="I138">
        <v>69.992000000000004</v>
      </c>
      <c r="J138">
        <v>6.5143300881520504E-3</v>
      </c>
      <c r="K138" t="s">
        <v>1062</v>
      </c>
      <c r="L138" t="s">
        <v>926</v>
      </c>
    </row>
    <row r="139" spans="1:12" x14ac:dyDescent="0.25">
      <c r="A139">
        <v>2.7200294389546201E-2</v>
      </c>
      <c r="B139">
        <v>3.5181669062461299E-2</v>
      </c>
      <c r="C139">
        <v>5.42271951092188E-2</v>
      </c>
      <c r="D139">
        <v>7.5544557477534205E-2</v>
      </c>
      <c r="E139" t="s">
        <v>1573</v>
      </c>
      <c r="F139" t="s">
        <v>1436</v>
      </c>
      <c r="G139">
        <v>75.561000000000007</v>
      </c>
      <c r="H139">
        <v>1.3289526619284101E-2</v>
      </c>
      <c r="I139">
        <v>71.278000000000006</v>
      </c>
      <c r="J139">
        <v>1.8373528403245999E-2</v>
      </c>
      <c r="K139" t="s">
        <v>1063</v>
      </c>
      <c r="L139" t="s">
        <v>926</v>
      </c>
    </row>
    <row r="140" spans="1:12" x14ac:dyDescent="0.25">
      <c r="A140">
        <v>1.9813936050087699E-2</v>
      </c>
      <c r="B140">
        <v>3.71188179062025E-2</v>
      </c>
      <c r="C140">
        <v>5.5705667373545202E-2</v>
      </c>
      <c r="D140">
        <v>0.112118604043563</v>
      </c>
      <c r="E140" t="s">
        <v>1574</v>
      </c>
      <c r="F140" t="s">
        <v>1436</v>
      </c>
      <c r="G140">
        <v>76.591999999999999</v>
      </c>
      <c r="H140">
        <v>1.3644605021108799E-2</v>
      </c>
      <c r="I140">
        <v>73.197000000000003</v>
      </c>
      <c r="J140">
        <v>2.6922753163668899E-2</v>
      </c>
      <c r="K140" t="s">
        <v>1064</v>
      </c>
      <c r="L140" t="s">
        <v>926</v>
      </c>
    </row>
    <row r="141" spans="1:12" x14ac:dyDescent="0.25">
      <c r="A141">
        <v>3.4620969363609901E-2</v>
      </c>
      <c r="B141">
        <v>3.9499400752586601E-2</v>
      </c>
      <c r="C141">
        <v>6.4048552869122796E-2</v>
      </c>
      <c r="D141">
        <v>9.9586266592777403E-2</v>
      </c>
      <c r="E141" t="s">
        <v>1575</v>
      </c>
      <c r="F141" t="s">
        <v>1436</v>
      </c>
      <c r="G141">
        <v>77.790000000000006</v>
      </c>
      <c r="H141">
        <v>1.5641320242323099E-2</v>
      </c>
      <c r="I141">
        <v>74.954999999999998</v>
      </c>
      <c r="J141">
        <v>2.4017377761383699E-2</v>
      </c>
      <c r="K141" t="s">
        <v>1065</v>
      </c>
      <c r="L141" t="s">
        <v>926</v>
      </c>
    </row>
    <row r="142" spans="1:12" x14ac:dyDescent="0.25">
      <c r="A142">
        <v>2.34535899973984E-2</v>
      </c>
      <c r="B142">
        <v>5.3706890981395999E-2</v>
      </c>
      <c r="C142">
        <v>3.69057460702173E-2</v>
      </c>
      <c r="D142">
        <v>3.4210597371460802E-2</v>
      </c>
      <c r="E142" t="s">
        <v>1576</v>
      </c>
      <c r="F142" t="s">
        <v>1436</v>
      </c>
      <c r="G142">
        <v>78.498000000000005</v>
      </c>
      <c r="H142">
        <v>9.1014269186271406E-3</v>
      </c>
      <c r="I142">
        <v>75.587999999999994</v>
      </c>
      <c r="J142">
        <v>8.4450670402240694E-3</v>
      </c>
      <c r="K142" t="s">
        <v>1066</v>
      </c>
      <c r="L142" t="s">
        <v>926</v>
      </c>
    </row>
    <row r="143" spans="1:12" x14ac:dyDescent="0.25">
      <c r="A143">
        <v>2.5499802950129401E-2</v>
      </c>
      <c r="B143">
        <v>3.6566859174503898E-2</v>
      </c>
      <c r="C143">
        <v>4.6392177019789503E-2</v>
      </c>
      <c r="D143">
        <v>7.7400259900339399E-2</v>
      </c>
      <c r="E143" t="s">
        <v>1577</v>
      </c>
      <c r="F143" t="s">
        <v>1436</v>
      </c>
      <c r="G143">
        <v>79.393000000000001</v>
      </c>
      <c r="H143">
        <v>1.14015643710668E-2</v>
      </c>
      <c r="I143">
        <v>77.010000000000005</v>
      </c>
      <c r="J143">
        <v>1.8812509922210102E-2</v>
      </c>
      <c r="K143" t="s">
        <v>1067</v>
      </c>
      <c r="L143" t="s">
        <v>926</v>
      </c>
    </row>
    <row r="144" spans="1:12" x14ac:dyDescent="0.25">
      <c r="A144">
        <v>4.3914132970667798E-2</v>
      </c>
      <c r="B144">
        <v>4.2425430776049898E-2</v>
      </c>
      <c r="C144">
        <v>5.93159029125543E-2</v>
      </c>
      <c r="D144">
        <v>9.2099438138909306E-2</v>
      </c>
      <c r="E144" t="s">
        <v>1578</v>
      </c>
      <c r="F144" t="s">
        <v>1436</v>
      </c>
      <c r="G144">
        <v>80.545000000000002</v>
      </c>
      <c r="H144">
        <v>1.45100953484565E-2</v>
      </c>
      <c r="I144">
        <v>78.724999999999994</v>
      </c>
      <c r="J144">
        <v>2.2269835086352399E-2</v>
      </c>
      <c r="K144" t="s">
        <v>1068</v>
      </c>
      <c r="L144" t="s">
        <v>926</v>
      </c>
    </row>
    <row r="145" spans="1:12" x14ac:dyDescent="0.25">
      <c r="A145">
        <v>3.2225013743436802E-2</v>
      </c>
      <c r="B145">
        <v>2.9052051363888599E-2</v>
      </c>
      <c r="C145">
        <v>6.9322056053448003E-2</v>
      </c>
      <c r="D145">
        <v>5.6967190258747399E-2</v>
      </c>
      <c r="E145" t="s">
        <v>1579</v>
      </c>
      <c r="F145" t="s">
        <v>1436</v>
      </c>
      <c r="G145">
        <v>81.906000000000006</v>
      </c>
      <c r="H145">
        <v>1.68973865541002E-2</v>
      </c>
      <c r="I145">
        <v>79.822999999999993</v>
      </c>
      <c r="J145">
        <v>1.39472848523341E-2</v>
      </c>
      <c r="K145" t="s">
        <v>1069</v>
      </c>
      <c r="L145" t="s">
        <v>926</v>
      </c>
    </row>
    <row r="146" spans="1:12" x14ac:dyDescent="0.25">
      <c r="A146">
        <v>2.0935342800184199E-2</v>
      </c>
      <c r="B146">
        <v>3.4093201961780999E-2</v>
      </c>
      <c r="C146">
        <v>2.9725271896635399E-2</v>
      </c>
      <c r="D146">
        <v>2.50876168066392E-2</v>
      </c>
      <c r="E146" t="s">
        <v>1580</v>
      </c>
      <c r="F146" t="s">
        <v>1436</v>
      </c>
      <c r="G146">
        <v>82.507999999999996</v>
      </c>
      <c r="H146">
        <v>7.3498888970282604E-3</v>
      </c>
      <c r="I146">
        <v>80.319000000000003</v>
      </c>
      <c r="J146">
        <v>6.2137479172670301E-3</v>
      </c>
      <c r="K146" t="s">
        <v>1070</v>
      </c>
      <c r="L146" t="s">
        <v>926</v>
      </c>
    </row>
    <row r="147" spans="1:12" x14ac:dyDescent="0.25">
      <c r="A147">
        <v>3.5555363218846101E-2</v>
      </c>
      <c r="B147">
        <v>2.8135458399094499E-2</v>
      </c>
      <c r="C147">
        <v>5.61203132204302E-2</v>
      </c>
      <c r="D147">
        <v>9.1105361450751501E-2</v>
      </c>
      <c r="E147" t="s">
        <v>1581</v>
      </c>
      <c r="F147" t="s">
        <v>1436</v>
      </c>
      <c r="G147">
        <v>83.641999999999996</v>
      </c>
      <c r="H147">
        <v>1.37441217821301E-2</v>
      </c>
      <c r="I147">
        <v>82.088999999999999</v>
      </c>
      <c r="J147">
        <v>2.20371269562618E-2</v>
      </c>
      <c r="K147" t="s">
        <v>1071</v>
      </c>
      <c r="L147" t="s">
        <v>926</v>
      </c>
    </row>
    <row r="148" spans="1:12" x14ac:dyDescent="0.25">
      <c r="A148">
        <v>2.9090990484891902E-2</v>
      </c>
      <c r="B148">
        <v>2.9966625510563099E-2</v>
      </c>
      <c r="C148">
        <v>3.6843754178801799E-2</v>
      </c>
      <c r="D148">
        <v>5.6869734933791702E-2</v>
      </c>
      <c r="E148" t="s">
        <v>1582</v>
      </c>
      <c r="F148" t="s">
        <v>1436</v>
      </c>
      <c r="G148">
        <v>84.402000000000001</v>
      </c>
      <c r="H148">
        <v>9.0863441811530592E-3</v>
      </c>
      <c r="I148">
        <v>83.231999999999999</v>
      </c>
      <c r="J148">
        <v>1.39239118517707E-2</v>
      </c>
      <c r="K148" t="s">
        <v>1072</v>
      </c>
      <c r="L148" t="s">
        <v>926</v>
      </c>
    </row>
    <row r="149" spans="1:12" x14ac:dyDescent="0.25">
      <c r="A149">
        <v>-6.5707467210734897E-3</v>
      </c>
      <c r="B149">
        <v>2.09838687014814E-2</v>
      </c>
      <c r="C149">
        <v>3.0338463665483501E-2</v>
      </c>
      <c r="D149">
        <v>9.7213617262259494E-2</v>
      </c>
      <c r="E149" t="s">
        <v>1583</v>
      </c>
      <c r="F149" t="s">
        <v>1436</v>
      </c>
      <c r="G149">
        <v>85.034999999999997</v>
      </c>
      <c r="H149">
        <v>7.4998222790929603E-3</v>
      </c>
      <c r="I149">
        <v>85.185000000000002</v>
      </c>
      <c r="J149">
        <v>2.34645328719723E-2</v>
      </c>
      <c r="K149" t="s">
        <v>1073</v>
      </c>
      <c r="L149" t="s">
        <v>926</v>
      </c>
    </row>
    <row r="150" spans="1:12" x14ac:dyDescent="0.25">
      <c r="A150">
        <v>3.7059917165470399E-2</v>
      </c>
      <c r="B150">
        <v>3.4651107406359301E-2</v>
      </c>
      <c r="C150">
        <v>7.2299496950969405E-2</v>
      </c>
      <c r="D150">
        <v>0.104792955269219</v>
      </c>
      <c r="E150" t="s">
        <v>1584</v>
      </c>
      <c r="F150" t="s">
        <v>1436</v>
      </c>
      <c r="G150">
        <v>86.531999999999996</v>
      </c>
      <c r="H150">
        <v>1.7604515787616799E-2</v>
      </c>
      <c r="I150">
        <v>87.334000000000003</v>
      </c>
      <c r="J150">
        <v>2.5227446146622E-2</v>
      </c>
      <c r="K150" t="s">
        <v>1074</v>
      </c>
      <c r="L150" t="s">
        <v>926</v>
      </c>
    </row>
    <row r="151" spans="1:12" x14ac:dyDescent="0.25">
      <c r="A151">
        <v>3.4406916686266602E-2</v>
      </c>
      <c r="B151">
        <v>3.2361806516408201E-2</v>
      </c>
      <c r="C151">
        <v>4.4022069506022297E-2</v>
      </c>
      <c r="D151">
        <v>4.2476788274359099E-2</v>
      </c>
      <c r="E151" t="s">
        <v>1585</v>
      </c>
      <c r="F151" t="s">
        <v>1436</v>
      </c>
      <c r="G151">
        <v>87.468999999999994</v>
      </c>
      <c r="H151">
        <v>1.0828364073406401E-2</v>
      </c>
      <c r="I151">
        <v>88.247</v>
      </c>
      <c r="J151">
        <v>1.0454118670849799E-2</v>
      </c>
      <c r="K151" t="s">
        <v>1075</v>
      </c>
      <c r="L151" t="s">
        <v>926</v>
      </c>
    </row>
    <row r="152" spans="1:12" x14ac:dyDescent="0.25">
      <c r="A152">
        <v>2.2795387185985401E-2</v>
      </c>
      <c r="B152">
        <v>2.78463672712683E-2</v>
      </c>
      <c r="C152">
        <v>4.5480126137950501E-2</v>
      </c>
      <c r="D152">
        <v>3.9088464000031499E-2</v>
      </c>
      <c r="E152" t="s">
        <v>1586</v>
      </c>
      <c r="F152" t="s">
        <v>1436</v>
      </c>
      <c r="G152">
        <v>88.447000000000003</v>
      </c>
      <c r="H152">
        <v>1.11811041626177E-2</v>
      </c>
      <c r="I152">
        <v>89.096999999999994</v>
      </c>
      <c r="J152">
        <v>9.6320554806394992E-3</v>
      </c>
      <c r="K152" t="s">
        <v>1076</v>
      </c>
      <c r="L152" t="s">
        <v>926</v>
      </c>
    </row>
    <row r="153" spans="1:12" x14ac:dyDescent="0.25">
      <c r="A153">
        <v>4.1308326629664098E-2</v>
      </c>
      <c r="B153">
        <v>3.2459146974833902E-2</v>
      </c>
      <c r="C153">
        <v>6.2039731527971001E-2</v>
      </c>
      <c r="D153">
        <v>4.7886506250196997E-2</v>
      </c>
      <c r="E153" t="s">
        <v>1587</v>
      </c>
      <c r="F153" t="s">
        <v>1436</v>
      </c>
      <c r="G153">
        <v>89.787999999999997</v>
      </c>
      <c r="H153">
        <v>1.51616222144335E-2</v>
      </c>
      <c r="I153">
        <v>90.144999999999996</v>
      </c>
      <c r="J153">
        <v>1.1762461137861099E-2</v>
      </c>
      <c r="K153" t="s">
        <v>1077</v>
      </c>
      <c r="L153" t="s">
        <v>926</v>
      </c>
    </row>
    <row r="154" spans="1:12" x14ac:dyDescent="0.25">
      <c r="A154">
        <v>3.2954987594988598E-2</v>
      </c>
      <c r="B154">
        <v>3.4144429632388298E-2</v>
      </c>
      <c r="C154">
        <v>7.23147883586404E-2</v>
      </c>
      <c r="D154">
        <v>3.8436409888859401E-2</v>
      </c>
      <c r="E154" t="s">
        <v>1588</v>
      </c>
      <c r="F154" t="s">
        <v>1436</v>
      </c>
      <c r="G154">
        <v>91.369</v>
      </c>
      <c r="H154">
        <v>1.7608143627210901E-2</v>
      </c>
      <c r="I154">
        <v>90.998999999999995</v>
      </c>
      <c r="J154">
        <v>9.4736258250596207E-3</v>
      </c>
      <c r="K154" t="s">
        <v>1078</v>
      </c>
      <c r="L154" t="s">
        <v>926</v>
      </c>
    </row>
    <row r="155" spans="1:12" x14ac:dyDescent="0.25">
      <c r="A155">
        <v>3.9493950261418401E-2</v>
      </c>
      <c r="B155">
        <v>4.1602053152730099E-2</v>
      </c>
      <c r="C155">
        <v>6.3263019462217004E-2</v>
      </c>
      <c r="D155">
        <v>3.1126430511134499E-2</v>
      </c>
      <c r="E155" t="s">
        <v>1589</v>
      </c>
      <c r="F155" t="s">
        <v>1436</v>
      </c>
      <c r="G155">
        <v>92.781000000000006</v>
      </c>
      <c r="H155">
        <v>1.5453819129026301E-2</v>
      </c>
      <c r="I155">
        <v>91.698999999999998</v>
      </c>
      <c r="J155">
        <v>7.6923922240903497E-3</v>
      </c>
      <c r="K155" t="s">
        <v>1079</v>
      </c>
      <c r="L155" t="s">
        <v>926</v>
      </c>
    </row>
    <row r="156" spans="1:12" x14ac:dyDescent="0.25">
      <c r="A156">
        <v>4.3386852489040402E-2</v>
      </c>
      <c r="B156">
        <v>3.03408157550791E-2</v>
      </c>
      <c r="C156">
        <v>5.52136316684275E-2</v>
      </c>
      <c r="D156">
        <v>5.2701497522020399E-2</v>
      </c>
      <c r="E156" t="s">
        <v>1590</v>
      </c>
      <c r="F156" t="s">
        <v>1436</v>
      </c>
      <c r="G156">
        <v>94.036000000000001</v>
      </c>
      <c r="H156">
        <v>1.35264763259719E-2</v>
      </c>
      <c r="I156">
        <v>92.884</v>
      </c>
      <c r="J156">
        <v>1.29227145334192E-2</v>
      </c>
      <c r="K156" t="s">
        <v>1080</v>
      </c>
      <c r="L156" t="s">
        <v>926</v>
      </c>
    </row>
    <row r="157" spans="1:12" x14ac:dyDescent="0.25">
      <c r="A157">
        <v>-6.2360196436278902E-2</v>
      </c>
      <c r="B157">
        <v>-1.8917326805224201E-2</v>
      </c>
      <c r="C157">
        <v>-7.4155067193705196E-2</v>
      </c>
      <c r="D157">
        <v>7.5335045349203197E-2</v>
      </c>
      <c r="E157" t="s">
        <v>1591</v>
      </c>
      <c r="F157" t="s">
        <v>1436</v>
      </c>
      <c r="G157">
        <v>92.242000000000004</v>
      </c>
      <c r="H157">
        <v>-1.9077799991492599E-2</v>
      </c>
      <c r="I157">
        <v>94.585999999999999</v>
      </c>
      <c r="J157">
        <v>1.8323930924594199E-2</v>
      </c>
      <c r="K157" t="s">
        <v>1081</v>
      </c>
      <c r="L157" t="s">
        <v>926</v>
      </c>
    </row>
    <row r="158" spans="1:12" x14ac:dyDescent="0.25">
      <c r="A158">
        <v>-2.6731212813050201E-2</v>
      </c>
      <c r="B158">
        <v>-3.3135327897025703E-2</v>
      </c>
      <c r="C158">
        <v>-6.8462037949067106E-2</v>
      </c>
      <c r="D158">
        <v>2.5185264843212301E-2</v>
      </c>
      <c r="E158" t="s">
        <v>1592</v>
      </c>
      <c r="F158" t="s">
        <v>1436</v>
      </c>
      <c r="G158">
        <v>90.620999999999995</v>
      </c>
      <c r="H158">
        <v>-1.7573339693415201E-2</v>
      </c>
      <c r="I158">
        <v>95.176000000000002</v>
      </c>
      <c r="J158">
        <v>6.2377095976149403E-3</v>
      </c>
      <c r="K158" t="s">
        <v>1082</v>
      </c>
      <c r="L158" t="s">
        <v>926</v>
      </c>
    </row>
    <row r="159" spans="1:12" x14ac:dyDescent="0.25">
      <c r="A159">
        <v>1.6004255010514602E-2</v>
      </c>
      <c r="B159">
        <v>7.2471101838833497E-4</v>
      </c>
      <c r="C159">
        <v>1.9832196265286098E-2</v>
      </c>
      <c r="D159">
        <v>-3.4674689642026801E-2</v>
      </c>
      <c r="E159" t="s">
        <v>1593</v>
      </c>
      <c r="F159" t="s">
        <v>1436</v>
      </c>
      <c r="G159">
        <v>91.066999999999993</v>
      </c>
      <c r="H159">
        <v>4.9215965394333603E-3</v>
      </c>
      <c r="I159">
        <v>94.34</v>
      </c>
      <c r="J159">
        <v>-8.7837269899974108E-3</v>
      </c>
      <c r="K159" t="s">
        <v>1083</v>
      </c>
      <c r="L159" t="s">
        <v>926</v>
      </c>
    </row>
    <row r="160" spans="1:12" x14ac:dyDescent="0.25">
      <c r="A160">
        <v>2.78350080421834E-2</v>
      </c>
      <c r="B160">
        <v>1.22854862155337E-2</v>
      </c>
      <c r="C160">
        <v>3.47933032481611E-2</v>
      </c>
      <c r="D160">
        <v>-3.55556982427905E-2</v>
      </c>
      <c r="E160" t="s">
        <v>1594</v>
      </c>
      <c r="F160" t="s">
        <v>1436</v>
      </c>
      <c r="G160">
        <v>91.849000000000004</v>
      </c>
      <c r="H160">
        <v>8.5870842346844594E-3</v>
      </c>
      <c r="I160">
        <v>93.49</v>
      </c>
      <c r="J160">
        <v>-9.0099639601441996E-3</v>
      </c>
      <c r="K160" t="s">
        <v>1084</v>
      </c>
      <c r="L160" t="s">
        <v>926</v>
      </c>
    </row>
    <row r="161" spans="1:12" x14ac:dyDescent="0.25">
      <c r="A161">
        <v>3.1240948480233E-2</v>
      </c>
      <c r="B161">
        <v>3.11127095791379E-2</v>
      </c>
      <c r="C161">
        <v>3.76238534925952E-2</v>
      </c>
      <c r="D161">
        <v>-3.0769865450653898E-3</v>
      </c>
      <c r="E161" t="s">
        <v>1595</v>
      </c>
      <c r="F161" t="s">
        <v>1436</v>
      </c>
      <c r="G161">
        <v>92.700999999999993</v>
      </c>
      <c r="H161">
        <v>9.2760944593843798E-3</v>
      </c>
      <c r="I161">
        <v>93.418000000000006</v>
      </c>
      <c r="J161">
        <v>-7.7013584340557305E-4</v>
      </c>
      <c r="K161" t="s">
        <v>1085</v>
      </c>
      <c r="L161" t="s">
        <v>926</v>
      </c>
    </row>
    <row r="162" spans="1:12" x14ac:dyDescent="0.25">
      <c r="A162">
        <v>1.5538458112328299E-2</v>
      </c>
      <c r="B162">
        <v>2.5706833981413501E-2</v>
      </c>
      <c r="C162">
        <v>4.6975487060338501E-2</v>
      </c>
      <c r="D162">
        <v>1.13952226394907E-2</v>
      </c>
      <c r="E162" t="s">
        <v>1596</v>
      </c>
      <c r="F162" t="s">
        <v>1436</v>
      </c>
      <c r="G162">
        <v>93.771000000000001</v>
      </c>
      <c r="H162">
        <v>1.15424860573241E-2</v>
      </c>
      <c r="I162">
        <v>93.683000000000007</v>
      </c>
      <c r="J162">
        <v>2.8367124108843499E-3</v>
      </c>
      <c r="K162" t="s">
        <v>1086</v>
      </c>
      <c r="L162" t="s">
        <v>926</v>
      </c>
    </row>
    <row r="163" spans="1:12" x14ac:dyDescent="0.25">
      <c r="A163">
        <v>6.2204942357442202E-3</v>
      </c>
      <c r="B163">
        <v>3.1017939025557401E-2</v>
      </c>
      <c r="C163">
        <v>2.9062361366274402E-2</v>
      </c>
      <c r="D163">
        <v>1.7491325837778699E-2</v>
      </c>
      <c r="E163" t="s">
        <v>1597</v>
      </c>
      <c r="F163" t="s">
        <v>1436</v>
      </c>
      <c r="G163">
        <v>94.444999999999993</v>
      </c>
      <c r="H163">
        <v>7.18772328331774E-3</v>
      </c>
      <c r="I163">
        <v>94.09</v>
      </c>
      <c r="J163">
        <v>4.3444381584705196E-3</v>
      </c>
      <c r="K163" t="s">
        <v>1087</v>
      </c>
      <c r="L163" t="s">
        <v>926</v>
      </c>
    </row>
    <row r="164" spans="1:12" x14ac:dyDescent="0.25">
      <c r="A164">
        <v>7.72594376628044E-3</v>
      </c>
      <c r="B164">
        <v>1.59750935835106E-2</v>
      </c>
      <c r="C164">
        <v>2.3067349052007899E-2</v>
      </c>
      <c r="D164">
        <v>1.2643202128826501E-2</v>
      </c>
      <c r="E164" t="s">
        <v>1598</v>
      </c>
      <c r="F164" t="s">
        <v>1436</v>
      </c>
      <c r="G164">
        <v>94.984999999999999</v>
      </c>
      <c r="H164">
        <v>5.7176134258034601E-3</v>
      </c>
      <c r="I164">
        <v>94.385999999999996</v>
      </c>
      <c r="J164">
        <v>3.1459241152087501E-3</v>
      </c>
      <c r="K164" t="s">
        <v>1088</v>
      </c>
      <c r="L164" t="s">
        <v>926</v>
      </c>
    </row>
    <row r="165" spans="1:12" x14ac:dyDescent="0.25">
      <c r="A165">
        <v>2.5862689650447499E-2</v>
      </c>
      <c r="B165">
        <v>3.29452826155043E-2</v>
      </c>
      <c r="C165">
        <v>3.7879756208726099E-2</v>
      </c>
      <c r="D165">
        <v>1.8090208281751299E-2</v>
      </c>
      <c r="E165" t="s">
        <v>1599</v>
      </c>
      <c r="F165" t="s">
        <v>1436</v>
      </c>
      <c r="G165">
        <v>95.872</v>
      </c>
      <c r="H165">
        <v>9.3383165763014607E-3</v>
      </c>
      <c r="I165">
        <v>94.81</v>
      </c>
      <c r="J165">
        <v>4.4921916385904899E-3</v>
      </c>
      <c r="K165" t="s">
        <v>1089</v>
      </c>
      <c r="L165" t="s">
        <v>926</v>
      </c>
    </row>
    <row r="166" spans="1:12" x14ac:dyDescent="0.25">
      <c r="A166">
        <v>3.4016266815046298E-2</v>
      </c>
      <c r="B166">
        <v>3.64259738306612E-2</v>
      </c>
      <c r="C166">
        <v>4.5137017344844002E-2</v>
      </c>
      <c r="D166">
        <v>2.4394704867924499E-2</v>
      </c>
      <c r="E166" t="s">
        <v>1600</v>
      </c>
      <c r="F166" t="s">
        <v>1436</v>
      </c>
      <c r="G166">
        <v>96.936000000000007</v>
      </c>
      <c r="H166">
        <v>1.10981308411215E-2</v>
      </c>
      <c r="I166">
        <v>95.382999999999996</v>
      </c>
      <c r="J166">
        <v>6.0436662799281402E-3</v>
      </c>
      <c r="K166" t="s">
        <v>1090</v>
      </c>
      <c r="L166" t="s">
        <v>926</v>
      </c>
    </row>
    <row r="167" spans="1:12" x14ac:dyDescent="0.25">
      <c r="A167">
        <v>3.9906323464895102E-2</v>
      </c>
      <c r="B167">
        <v>3.6682670107609103E-2</v>
      </c>
      <c r="C167">
        <v>5.0829697512543702E-2</v>
      </c>
      <c r="D167">
        <v>4.1043493786856698E-2</v>
      </c>
      <c r="E167" t="s">
        <v>1601</v>
      </c>
      <c r="F167" t="s">
        <v>1436</v>
      </c>
      <c r="G167">
        <v>98.144999999999996</v>
      </c>
      <c r="H167">
        <v>1.24721465709332E-2</v>
      </c>
      <c r="I167">
        <v>96.346999999999994</v>
      </c>
      <c r="J167">
        <v>1.01066227734501E-2</v>
      </c>
      <c r="K167" t="s">
        <v>1091</v>
      </c>
      <c r="L167" t="s">
        <v>926</v>
      </c>
    </row>
    <row r="168" spans="1:12" x14ac:dyDescent="0.25">
      <c r="A168">
        <v>1.8640626124373699E-2</v>
      </c>
      <c r="B168">
        <v>1.39908352832361E-2</v>
      </c>
      <c r="C168">
        <v>1.5247657751557699E-2</v>
      </c>
      <c r="D168">
        <v>4.5983903903995101E-2</v>
      </c>
      <c r="E168" t="s">
        <v>1602</v>
      </c>
      <c r="F168" t="s">
        <v>1436</v>
      </c>
      <c r="G168">
        <v>98.516999999999996</v>
      </c>
      <c r="H168">
        <v>3.7903102552345699E-3</v>
      </c>
      <c r="I168">
        <v>97.436000000000007</v>
      </c>
      <c r="J168">
        <v>1.13028947450362E-2</v>
      </c>
      <c r="K168" t="s">
        <v>1092</v>
      </c>
      <c r="L168" t="s">
        <v>926</v>
      </c>
    </row>
    <row r="169" spans="1:12" x14ac:dyDescent="0.25">
      <c r="A169">
        <v>1.32561299755005E-2</v>
      </c>
      <c r="B169">
        <v>-5.33618345022691E-3</v>
      </c>
      <c r="C169">
        <v>-1.40950235359611E-2</v>
      </c>
      <c r="D169">
        <v>3.8137779822804398E-2</v>
      </c>
      <c r="E169" t="s">
        <v>1603</v>
      </c>
      <c r="F169" t="s">
        <v>1436</v>
      </c>
      <c r="G169">
        <v>98.168000000000006</v>
      </c>
      <c r="H169">
        <v>-3.54253580600294E-3</v>
      </c>
      <c r="I169">
        <v>98.352000000000004</v>
      </c>
      <c r="J169">
        <v>9.4010427357444897E-3</v>
      </c>
      <c r="K169" t="s">
        <v>1093</v>
      </c>
      <c r="L169" t="s">
        <v>926</v>
      </c>
    </row>
    <row r="170" spans="1:12" x14ac:dyDescent="0.25">
      <c r="A170">
        <v>2.6761481120787502E-2</v>
      </c>
      <c r="B170">
        <v>1.39201532997375E-2</v>
      </c>
      <c r="C170">
        <v>5.4116713606157101E-2</v>
      </c>
      <c r="D170">
        <v>3.0312571909831599E-2</v>
      </c>
      <c r="E170" t="s">
        <v>1604</v>
      </c>
      <c r="F170" t="s">
        <v>1436</v>
      </c>
      <c r="G170">
        <v>99.47</v>
      </c>
      <c r="H170">
        <v>1.32629777524242E-2</v>
      </c>
      <c r="I170">
        <v>99.088999999999999</v>
      </c>
      <c r="J170">
        <v>7.4934927606962196E-3</v>
      </c>
      <c r="K170" t="s">
        <v>1094</v>
      </c>
      <c r="L170" t="s">
        <v>926</v>
      </c>
    </row>
    <row r="171" spans="1:12" x14ac:dyDescent="0.25">
      <c r="A171">
        <v>9.7203652064314899E-3</v>
      </c>
      <c r="B171">
        <v>8.8550245823753003E-3</v>
      </c>
      <c r="C171">
        <v>-6.9787462524018001E-3</v>
      </c>
      <c r="D171">
        <v>3.2273930792219303E-2</v>
      </c>
      <c r="E171" t="s">
        <v>1605</v>
      </c>
      <c r="F171" t="s">
        <v>1436</v>
      </c>
      <c r="G171">
        <v>99.296000000000006</v>
      </c>
      <c r="H171">
        <v>-1.7492711370261599E-3</v>
      </c>
      <c r="I171">
        <v>99.879000000000005</v>
      </c>
      <c r="J171">
        <v>7.9726306653615797E-3</v>
      </c>
      <c r="K171" t="s">
        <v>1095</v>
      </c>
      <c r="L171" t="s">
        <v>926</v>
      </c>
    </row>
    <row r="172" spans="1:12" x14ac:dyDescent="0.25">
      <c r="A172">
        <v>1.1676944984941699E-2</v>
      </c>
      <c r="B172">
        <v>7.7077122555302396E-3</v>
      </c>
      <c r="C172">
        <v>2.44311343320835E-2</v>
      </c>
      <c r="D172">
        <v>2.17207841742009E-2</v>
      </c>
      <c r="E172" t="s">
        <v>1606</v>
      </c>
      <c r="F172" t="s">
        <v>1436</v>
      </c>
      <c r="G172">
        <v>99.897000000000006</v>
      </c>
      <c r="H172">
        <v>6.0526103770543998E-3</v>
      </c>
      <c r="I172">
        <v>100.417</v>
      </c>
      <c r="J172">
        <v>5.3865176864005297E-3</v>
      </c>
      <c r="K172" t="s">
        <v>1096</v>
      </c>
      <c r="L172" t="s">
        <v>926</v>
      </c>
    </row>
    <row r="173" spans="1:12" x14ac:dyDescent="0.25">
      <c r="A173">
        <v>2.2614716677978E-2</v>
      </c>
      <c r="B173">
        <v>4.9632662336496196E-3</v>
      </c>
      <c r="C173">
        <v>5.8918140200379103E-2</v>
      </c>
      <c r="D173">
        <v>7.9104688711333394E-3</v>
      </c>
      <c r="E173" t="s">
        <v>1607</v>
      </c>
      <c r="F173" t="s">
        <v>1436</v>
      </c>
      <c r="G173">
        <v>101.337</v>
      </c>
      <c r="H173">
        <v>1.4414847292711501E-2</v>
      </c>
      <c r="I173">
        <v>100.61499999999999</v>
      </c>
      <c r="J173">
        <v>1.9717776870449301E-3</v>
      </c>
      <c r="K173" t="s">
        <v>1097</v>
      </c>
      <c r="L173" t="s">
        <v>926</v>
      </c>
    </row>
    <row r="174" spans="1:12" x14ac:dyDescent="0.25">
      <c r="A174">
        <v>1.45079389824292E-2</v>
      </c>
      <c r="B174">
        <v>-1.9949826125076301E-4</v>
      </c>
      <c r="C174">
        <v>5.3376513955371498E-2</v>
      </c>
      <c r="D174">
        <v>1.6319173615011201E-2</v>
      </c>
      <c r="E174" t="s">
        <v>1608</v>
      </c>
      <c r="F174" t="s">
        <v>1436</v>
      </c>
      <c r="G174">
        <v>102.663</v>
      </c>
      <c r="H174">
        <v>1.3085052843482501E-2</v>
      </c>
      <c r="I174">
        <v>101.023</v>
      </c>
      <c r="J174">
        <v>4.05506137255873E-3</v>
      </c>
      <c r="K174" t="s">
        <v>1098</v>
      </c>
      <c r="L174" t="s">
        <v>926</v>
      </c>
    </row>
    <row r="175" spans="1:12" x14ac:dyDescent="0.25">
      <c r="A175">
        <v>2.8548469670495202E-3</v>
      </c>
      <c r="B175">
        <v>7.9245575399269404E-3</v>
      </c>
      <c r="C175">
        <v>2.14833879994034E-2</v>
      </c>
      <c r="D175">
        <v>2.0547855013869399E-2</v>
      </c>
      <c r="E175" t="s">
        <v>1609</v>
      </c>
      <c r="F175" t="s">
        <v>1436</v>
      </c>
      <c r="G175">
        <v>103.21</v>
      </c>
      <c r="H175">
        <v>5.3281123676494103E-3</v>
      </c>
      <c r="I175">
        <v>101.538</v>
      </c>
      <c r="J175">
        <v>5.0978490046820202E-3</v>
      </c>
      <c r="K175" t="s">
        <v>1099</v>
      </c>
      <c r="L175" t="s">
        <v>926</v>
      </c>
    </row>
    <row r="176" spans="1:12" x14ac:dyDescent="0.25">
      <c r="A176">
        <v>1.6326843500240801E-2</v>
      </c>
      <c r="B176">
        <v>1.3006397529373E-2</v>
      </c>
      <c r="C176">
        <v>3.4225885044726997E-2</v>
      </c>
      <c r="D176">
        <v>2.1723337040250802E-2</v>
      </c>
      <c r="E176" t="s">
        <v>1610</v>
      </c>
      <c r="F176" t="s">
        <v>1436</v>
      </c>
      <c r="G176">
        <v>104.08199999999999</v>
      </c>
      <c r="H176">
        <v>8.4487937215385108E-3</v>
      </c>
      <c r="I176">
        <v>102.08499999999999</v>
      </c>
      <c r="J176">
        <v>5.3871456991470001E-3</v>
      </c>
      <c r="K176" t="s">
        <v>1100</v>
      </c>
      <c r="L176" t="s">
        <v>926</v>
      </c>
    </row>
    <row r="177" spans="1:12" x14ac:dyDescent="0.25">
      <c r="A177">
        <v>1.6859105016114002E-2</v>
      </c>
      <c r="B177">
        <v>6.2259222369993199E-2</v>
      </c>
      <c r="C177">
        <v>2.1461497744286601E-2</v>
      </c>
      <c r="D177">
        <v>3.0554089712781E-2</v>
      </c>
      <c r="E177" t="s">
        <v>1611</v>
      </c>
      <c r="F177" t="s">
        <v>1436</v>
      </c>
      <c r="G177">
        <v>104.636</v>
      </c>
      <c r="H177">
        <v>5.3227263119464104E-3</v>
      </c>
      <c r="I177">
        <v>102.85599999999999</v>
      </c>
      <c r="J177">
        <v>7.55252975461618E-3</v>
      </c>
      <c r="K177" t="s">
        <v>1101</v>
      </c>
      <c r="L177" t="s">
        <v>926</v>
      </c>
    </row>
    <row r="178" spans="1:12" x14ac:dyDescent="0.25">
      <c r="A178">
        <v>1.93744928521071E-2</v>
      </c>
      <c r="B178">
        <v>-1.02831916231174E-2</v>
      </c>
      <c r="C178">
        <v>3.4027993671362999E-2</v>
      </c>
      <c r="D178">
        <v>2.27077607090642E-2</v>
      </c>
      <c r="E178" t="s">
        <v>1612</v>
      </c>
      <c r="F178" t="s">
        <v>1436</v>
      </c>
      <c r="G178">
        <v>105.515</v>
      </c>
      <c r="H178">
        <v>8.4005504797584098E-3</v>
      </c>
      <c r="I178">
        <v>103.435</v>
      </c>
      <c r="J178">
        <v>5.6292292136579398E-3</v>
      </c>
      <c r="K178" t="s">
        <v>1102</v>
      </c>
      <c r="L178" t="s">
        <v>926</v>
      </c>
    </row>
    <row r="179" spans="1:12" x14ac:dyDescent="0.25">
      <c r="A179">
        <v>2.0192934056340501E-2</v>
      </c>
      <c r="B179">
        <v>1.7798477087045E-2</v>
      </c>
      <c r="C179">
        <v>1.2683683496116101E-2</v>
      </c>
      <c r="D179">
        <v>1.8378329285591199E-2</v>
      </c>
      <c r="E179" t="s">
        <v>1613</v>
      </c>
      <c r="F179" t="s">
        <v>1436</v>
      </c>
      <c r="G179">
        <v>105.848</v>
      </c>
      <c r="H179">
        <v>3.1559493910817702E-3</v>
      </c>
      <c r="I179">
        <v>103.907</v>
      </c>
      <c r="J179">
        <v>4.5632522840430801E-3</v>
      </c>
      <c r="K179" t="s">
        <v>1103</v>
      </c>
      <c r="L179" t="s">
        <v>926</v>
      </c>
    </row>
    <row r="180" spans="1:12" x14ac:dyDescent="0.25">
      <c r="A180">
        <v>1.13601398604235E-2</v>
      </c>
      <c r="B180">
        <v>1.8827452214838801E-2</v>
      </c>
      <c r="C180">
        <v>2.3098181930942801E-2</v>
      </c>
      <c r="D180">
        <v>1.94654703730235E-2</v>
      </c>
      <c r="E180" t="s">
        <v>1614</v>
      </c>
      <c r="F180" t="s">
        <v>1436</v>
      </c>
      <c r="G180">
        <v>106.45399999999999</v>
      </c>
      <c r="H180">
        <v>5.7251908396946903E-3</v>
      </c>
      <c r="I180">
        <v>104.40900000000001</v>
      </c>
      <c r="J180">
        <v>4.8312433233566E-3</v>
      </c>
      <c r="K180" t="s">
        <v>1104</v>
      </c>
      <c r="L180" t="s">
        <v>926</v>
      </c>
    </row>
    <row r="181" spans="1:12" x14ac:dyDescent="0.25">
      <c r="A181">
        <v>-4.6048768205230201E-3</v>
      </c>
      <c r="B181">
        <v>5.3720415632923001E-3</v>
      </c>
      <c r="C181">
        <v>-3.1150724387948299E-3</v>
      </c>
      <c r="D181">
        <v>7.0678568534106E-3</v>
      </c>
      <c r="E181" t="s">
        <v>1615</v>
      </c>
      <c r="F181" t="s">
        <v>1436</v>
      </c>
      <c r="G181">
        <v>106.371</v>
      </c>
      <c r="H181">
        <v>-7.7967948597512703E-4</v>
      </c>
      <c r="I181">
        <v>104.593</v>
      </c>
      <c r="J181">
        <v>1.76230018484991E-3</v>
      </c>
      <c r="K181" t="s">
        <v>1105</v>
      </c>
      <c r="L181" t="s">
        <v>926</v>
      </c>
    </row>
    <row r="182" spans="1:12" x14ac:dyDescent="0.25">
      <c r="A182">
        <v>-1.65067373701384E-2</v>
      </c>
      <c r="B182">
        <v>-6.4248737444822001E-3</v>
      </c>
      <c r="C182">
        <v>-3.9305105462135198E-2</v>
      </c>
      <c r="D182">
        <v>-1.18502082280647E-3</v>
      </c>
      <c r="E182" t="s">
        <v>1616</v>
      </c>
      <c r="F182" t="s">
        <v>1436</v>
      </c>
      <c r="G182">
        <v>105.31</v>
      </c>
      <c r="H182">
        <v>-9.9745231313045392E-3</v>
      </c>
      <c r="I182">
        <v>104.562</v>
      </c>
      <c r="J182">
        <v>-2.9638694750133698E-4</v>
      </c>
      <c r="K182" t="s">
        <v>1106</v>
      </c>
      <c r="L182" t="s">
        <v>926</v>
      </c>
    </row>
    <row r="183" spans="1:12" x14ac:dyDescent="0.25">
      <c r="A183">
        <v>1.9548766403745001E-2</v>
      </c>
      <c r="B183">
        <v>7.87290366046434E-3</v>
      </c>
      <c r="C183">
        <v>2.82887807392058E-2</v>
      </c>
      <c r="D183">
        <v>1.76749178700988E-2</v>
      </c>
      <c r="E183" t="s">
        <v>1617</v>
      </c>
      <c r="F183" t="s">
        <v>1436</v>
      </c>
      <c r="G183">
        <v>106.047</v>
      </c>
      <c r="H183">
        <v>6.9983857183553199E-3</v>
      </c>
      <c r="I183">
        <v>105.021</v>
      </c>
      <c r="J183">
        <v>4.3897400585299904E-3</v>
      </c>
      <c r="K183" t="s">
        <v>1107</v>
      </c>
      <c r="L183" t="s">
        <v>926</v>
      </c>
    </row>
    <row r="184" spans="1:12" x14ac:dyDescent="0.25">
      <c r="A184">
        <v>9.6917092109320997E-3</v>
      </c>
      <c r="B184">
        <v>6.1419866574232698E-3</v>
      </c>
      <c r="C184">
        <v>2.4162101667697402E-3</v>
      </c>
      <c r="D184">
        <v>1.1398511762960899E-2</v>
      </c>
      <c r="E184" t="s">
        <v>1618</v>
      </c>
      <c r="F184" t="s">
        <v>1436</v>
      </c>
      <c r="G184">
        <v>106.111</v>
      </c>
      <c r="H184">
        <v>6.0350599262592997E-4</v>
      </c>
      <c r="I184">
        <v>105.319</v>
      </c>
      <c r="J184">
        <v>2.8375277325487498E-3</v>
      </c>
      <c r="K184" t="s">
        <v>1108</v>
      </c>
      <c r="L184" t="s">
        <v>926</v>
      </c>
    </row>
    <row r="185" spans="1:12" x14ac:dyDescent="0.25">
      <c r="A185">
        <v>-3.9403871252573497E-3</v>
      </c>
      <c r="B185">
        <v>-3.1716537268759999E-3</v>
      </c>
      <c r="C185">
        <v>-1.5664221695060501E-2</v>
      </c>
      <c r="D185">
        <v>-2.2010123911118101E-3</v>
      </c>
      <c r="E185" t="s">
        <v>1619</v>
      </c>
      <c r="F185" t="s">
        <v>1436</v>
      </c>
      <c r="G185">
        <v>105.693</v>
      </c>
      <c r="H185">
        <v>-3.9392711405981098E-3</v>
      </c>
      <c r="I185">
        <v>105.261</v>
      </c>
      <c r="J185">
        <v>-5.5070784948596497E-4</v>
      </c>
      <c r="K185" t="s">
        <v>1109</v>
      </c>
      <c r="L185" t="s">
        <v>926</v>
      </c>
    </row>
    <row r="186" spans="1:12" x14ac:dyDescent="0.25">
      <c r="A186">
        <v>2.1316685833889801E-3</v>
      </c>
      <c r="B186">
        <v>-9.9615046560082004E-3</v>
      </c>
      <c r="C186">
        <v>-3.3665208430493802E-2</v>
      </c>
      <c r="D186">
        <v>-9.6550430027560995E-3</v>
      </c>
      <c r="E186" t="s">
        <v>1620</v>
      </c>
      <c r="F186" t="s">
        <v>1436</v>
      </c>
      <c r="G186">
        <v>104.792</v>
      </c>
      <c r="H186">
        <v>-8.5246894307096106E-3</v>
      </c>
      <c r="I186">
        <v>105.006</v>
      </c>
      <c r="J186">
        <v>-2.4225496622680702E-3</v>
      </c>
      <c r="K186" t="s">
        <v>1110</v>
      </c>
      <c r="L186" t="s">
        <v>926</v>
      </c>
    </row>
    <row r="187" spans="1:12" x14ac:dyDescent="0.25">
      <c r="A187">
        <v>2.5357857709627601E-2</v>
      </c>
      <c r="B187">
        <v>2.1698746196001199E-2</v>
      </c>
      <c r="C187">
        <v>3.0770998377488399E-2</v>
      </c>
      <c r="D187">
        <v>3.3008554152673703E-2</v>
      </c>
      <c r="E187" t="s">
        <v>1621</v>
      </c>
      <c r="F187" t="s">
        <v>1436</v>
      </c>
      <c r="G187">
        <v>105.589</v>
      </c>
      <c r="H187">
        <v>7.6055424078174099E-3</v>
      </c>
      <c r="I187">
        <v>105.86199999999999</v>
      </c>
      <c r="J187">
        <v>8.1519151286593202E-3</v>
      </c>
      <c r="K187" t="s">
        <v>1111</v>
      </c>
      <c r="L187" t="s">
        <v>926</v>
      </c>
    </row>
    <row r="188" spans="1:12" x14ac:dyDescent="0.25">
      <c r="A188">
        <v>1.5085753101185199E-2</v>
      </c>
      <c r="B188">
        <v>1.5625918949128799E-2</v>
      </c>
      <c r="C188">
        <v>1.5469326265677499E-2</v>
      </c>
      <c r="D188">
        <v>3.0262315011426702E-3</v>
      </c>
      <c r="E188" t="s">
        <v>1622</v>
      </c>
      <c r="F188" t="s">
        <v>1436</v>
      </c>
      <c r="G188">
        <v>105.995</v>
      </c>
      <c r="H188">
        <v>3.8450975006867299E-3</v>
      </c>
      <c r="I188">
        <v>105.94199999999999</v>
      </c>
      <c r="J188">
        <v>7.5570081804610101E-4</v>
      </c>
      <c r="K188" t="s">
        <v>1112</v>
      </c>
      <c r="L188" t="s">
        <v>926</v>
      </c>
    </row>
    <row r="189" spans="1:12" x14ac:dyDescent="0.25">
      <c r="A189">
        <v>1.9065277405527499E-2</v>
      </c>
      <c r="B189">
        <v>1.9426037707255001E-2</v>
      </c>
      <c r="C189">
        <v>1.98067429774604E-2</v>
      </c>
      <c r="D189">
        <v>1.9471921944120799E-2</v>
      </c>
      <c r="E189" t="s">
        <v>1623</v>
      </c>
      <c r="F189" t="s">
        <v>1436</v>
      </c>
      <c r="G189">
        <v>106.51600000000001</v>
      </c>
      <c r="H189">
        <v>4.9153261946317502E-3</v>
      </c>
      <c r="I189">
        <v>106.45399999999999</v>
      </c>
      <c r="J189">
        <v>4.8328330595985803E-3</v>
      </c>
      <c r="K189" t="s">
        <v>1113</v>
      </c>
      <c r="L189" t="s">
        <v>926</v>
      </c>
    </row>
    <row r="190" spans="1:12" x14ac:dyDescent="0.25">
      <c r="A190">
        <v>2.3896314746341098E-2</v>
      </c>
      <c r="B190">
        <v>1.9409885132803301E-2</v>
      </c>
      <c r="C190">
        <v>3.9514900887574103E-2</v>
      </c>
      <c r="D190">
        <v>2.7099611156277601E-2</v>
      </c>
      <c r="E190" t="s">
        <v>1624</v>
      </c>
      <c r="F190" t="s">
        <v>1436</v>
      </c>
      <c r="G190">
        <v>107.53400000000001</v>
      </c>
      <c r="H190">
        <v>9.5572496150813108E-3</v>
      </c>
      <c r="I190">
        <v>107.188</v>
      </c>
      <c r="J190">
        <v>6.8949969000695601E-3</v>
      </c>
      <c r="K190" t="s">
        <v>1114</v>
      </c>
      <c r="L190" t="s">
        <v>926</v>
      </c>
    </row>
    <row r="191" spans="1:12" x14ac:dyDescent="0.25">
      <c r="A191">
        <v>9.9328007831764892E-3</v>
      </c>
      <c r="B191">
        <v>1.3103273651826199E-2</v>
      </c>
      <c r="C191">
        <v>9.0306358829268501E-3</v>
      </c>
      <c r="D191">
        <v>2.1521193573355E-2</v>
      </c>
      <c r="E191" t="s">
        <v>1625</v>
      </c>
      <c r="F191" t="s">
        <v>1436</v>
      </c>
      <c r="G191">
        <v>107.80200000000001</v>
      </c>
      <c r="H191">
        <v>2.49223501404217E-3</v>
      </c>
      <c r="I191">
        <v>107.712</v>
      </c>
      <c r="J191">
        <v>4.8886069336120403E-3</v>
      </c>
      <c r="K191" t="s">
        <v>1115</v>
      </c>
      <c r="L191" t="s">
        <v>926</v>
      </c>
    </row>
    <row r="192" spans="1:12" x14ac:dyDescent="0.25">
      <c r="A192">
        <v>1.4603017582518699E-2</v>
      </c>
      <c r="B192">
        <v>1.7788818797953999E-2</v>
      </c>
      <c r="C192">
        <v>3.6635495652026999E-2</v>
      </c>
      <c r="D192">
        <v>3.6311211479282998E-2</v>
      </c>
      <c r="E192" t="s">
        <v>1626</v>
      </c>
      <c r="F192" t="s">
        <v>1436</v>
      </c>
      <c r="G192">
        <v>108.785</v>
      </c>
      <c r="H192">
        <v>9.1185692287711895E-3</v>
      </c>
      <c r="I192">
        <v>108.676</v>
      </c>
      <c r="J192">
        <v>8.94979203802726E-3</v>
      </c>
      <c r="K192" t="s">
        <v>1116</v>
      </c>
      <c r="L192" t="s">
        <v>926</v>
      </c>
    </row>
    <row r="193" spans="1:12" x14ac:dyDescent="0.25">
      <c r="A193">
        <v>2.5719713356744601E-2</v>
      </c>
      <c r="B193">
        <v>2.90667642529692E-2</v>
      </c>
      <c r="C193">
        <v>5.7042627848445E-2</v>
      </c>
      <c r="D193">
        <v>2.3197124388088401E-2</v>
      </c>
      <c r="E193" t="s">
        <v>1627</v>
      </c>
      <c r="F193" t="s">
        <v>1436</v>
      </c>
      <c r="G193">
        <v>110.252</v>
      </c>
      <c r="H193">
        <v>1.3485315071011699E-2</v>
      </c>
      <c r="I193">
        <v>109.285</v>
      </c>
      <c r="J193">
        <v>5.6038131694209304E-3</v>
      </c>
      <c r="K193" t="s">
        <v>1117</v>
      </c>
      <c r="L193" t="s">
        <v>926</v>
      </c>
    </row>
    <row r="194" spans="1:12" x14ac:dyDescent="0.25">
      <c r="A194">
        <v>2.9147369447939799E-2</v>
      </c>
      <c r="B194">
        <v>4.11537159385129E-2</v>
      </c>
      <c r="C194">
        <v>5.2316315130779299E-2</v>
      </c>
      <c r="D194">
        <v>3.8107075575473298E-2</v>
      </c>
      <c r="E194" t="s">
        <v>1628</v>
      </c>
      <c r="F194" t="s">
        <v>1436</v>
      </c>
      <c r="G194">
        <v>111.627</v>
      </c>
      <c r="H194">
        <v>1.24714290897217E-2</v>
      </c>
      <c r="I194">
        <v>110.291</v>
      </c>
      <c r="J194">
        <v>9.2052889234570702E-3</v>
      </c>
      <c r="K194" t="s">
        <v>1118</v>
      </c>
      <c r="L194" t="s">
        <v>926</v>
      </c>
    </row>
    <row r="195" spans="1:12" x14ac:dyDescent="0.25">
      <c r="A195">
        <v>2.1663179127611398E-2</v>
      </c>
      <c r="B195">
        <v>2.95524402709311E-2</v>
      </c>
      <c r="C195">
        <v>4.1414814571916599E-2</v>
      </c>
      <c r="D195">
        <v>5.71493007542314E-2</v>
      </c>
      <c r="E195" t="s">
        <v>1629</v>
      </c>
      <c r="F195" t="s">
        <v>1436</v>
      </c>
      <c r="G195">
        <v>112.81100000000001</v>
      </c>
      <c r="H195">
        <v>1.06067528465337E-2</v>
      </c>
      <c r="I195">
        <v>111.736</v>
      </c>
      <c r="J195">
        <v>1.3101703674824E-2</v>
      </c>
      <c r="K195" t="s">
        <v>1119</v>
      </c>
      <c r="L195" t="s">
        <v>926</v>
      </c>
    </row>
    <row r="196" spans="1:12" x14ac:dyDescent="0.25">
      <c r="A196">
        <v>1.4350946991545E-2</v>
      </c>
      <c r="B196">
        <v>2.3387558006987101E-2</v>
      </c>
      <c r="C196">
        <v>3.8836746328921902E-2</v>
      </c>
      <c r="D196">
        <v>2.9745006586506799E-2</v>
      </c>
      <c r="E196" t="s">
        <v>1630</v>
      </c>
      <c r="F196" t="s">
        <v>1436</v>
      </c>
      <c r="G196">
        <v>113.875</v>
      </c>
      <c r="H196">
        <v>9.4317043550717905E-3</v>
      </c>
      <c r="I196">
        <v>112.542</v>
      </c>
      <c r="J196">
        <v>7.2134316603422698E-3</v>
      </c>
      <c r="K196" t="s">
        <v>1120</v>
      </c>
      <c r="L196" t="s">
        <v>926</v>
      </c>
    </row>
    <row r="197" spans="1:12" x14ac:dyDescent="0.25">
      <c r="A197">
        <v>1.51565091171486E-2</v>
      </c>
      <c r="B197">
        <v>2.9652502701153601E-2</v>
      </c>
      <c r="C197">
        <v>1.6036274889288799E-2</v>
      </c>
      <c r="D197">
        <v>4.1912016313216102E-2</v>
      </c>
      <c r="E197" t="s">
        <v>1631</v>
      </c>
      <c r="F197" t="s">
        <v>1436</v>
      </c>
      <c r="G197">
        <v>114.43899999999999</v>
      </c>
      <c r="H197">
        <v>4.9527991218440998E-3</v>
      </c>
      <c r="I197">
        <v>113.715</v>
      </c>
      <c r="J197">
        <v>1.0422775497147801E-2</v>
      </c>
      <c r="K197" t="s">
        <v>1121</v>
      </c>
      <c r="L197" t="s">
        <v>926</v>
      </c>
    </row>
    <row r="198" spans="1:12" x14ac:dyDescent="0.25">
      <c r="A198">
        <v>8.3593342288621492E-3</v>
      </c>
      <c r="B198">
        <v>4.3357912415273203E-2</v>
      </c>
      <c r="C198">
        <v>-1.6750426853228501E-2</v>
      </c>
      <c r="D198">
        <v>1.5721372171975601E-2</v>
      </c>
      <c r="E198" t="s">
        <v>1632</v>
      </c>
      <c r="F198" t="s">
        <v>1436</v>
      </c>
      <c r="G198">
        <v>113.98</v>
      </c>
      <c r="H198">
        <v>-4.0108704200489996E-3</v>
      </c>
      <c r="I198">
        <v>114.175</v>
      </c>
      <c r="J198">
        <v>4.0452007211009304E-3</v>
      </c>
      <c r="K198" t="s">
        <v>1122</v>
      </c>
      <c r="L198" t="s">
        <v>926</v>
      </c>
    </row>
    <row r="199" spans="1:12" x14ac:dyDescent="0.25">
      <c r="A199">
        <v>2.4734353401226102E-2</v>
      </c>
      <c r="B199">
        <v>-2.6343933972632301E-2</v>
      </c>
      <c r="C199">
        <v>2.5813818283005E-2</v>
      </c>
      <c r="D199">
        <v>4.8037769815769002E-2</v>
      </c>
      <c r="E199" t="s">
        <v>1633</v>
      </c>
      <c r="F199" t="s">
        <v>1436</v>
      </c>
      <c r="G199">
        <v>114.758</v>
      </c>
      <c r="H199">
        <v>6.8257589050710896E-3</v>
      </c>
      <c r="I199">
        <v>115.41800000000001</v>
      </c>
      <c r="J199">
        <v>1.0886796584191E-2</v>
      </c>
      <c r="K199" t="s">
        <v>1123</v>
      </c>
      <c r="L199" t="s">
        <v>926</v>
      </c>
    </row>
    <row r="200" spans="1:12" x14ac:dyDescent="0.25">
      <c r="A200">
        <v>1.0490970472330399E-2</v>
      </c>
      <c r="B200">
        <v>1.0018821110834301E-2</v>
      </c>
      <c r="C200">
        <v>8.6124156242581903E-3</v>
      </c>
      <c r="D200">
        <v>1.9083730667159401E-2</v>
      </c>
      <c r="E200" t="s">
        <v>1634</v>
      </c>
      <c r="F200" t="s">
        <v>1436</v>
      </c>
      <c r="G200">
        <v>114.919</v>
      </c>
      <c r="H200">
        <v>1.40295229962173E-3</v>
      </c>
      <c r="I200">
        <v>115.982</v>
      </c>
      <c r="J200">
        <v>4.8865861477411796E-3</v>
      </c>
      <c r="K200" t="s">
        <v>1124</v>
      </c>
      <c r="L200" t="s">
        <v>926</v>
      </c>
    </row>
    <row r="201" spans="1:12" x14ac:dyDescent="0.25">
      <c r="A201">
        <v>1.45690487077856E-2</v>
      </c>
      <c r="B201">
        <v>1.6245763277308499E-2</v>
      </c>
      <c r="C201">
        <v>1.6996215944869601E-2</v>
      </c>
      <c r="D201">
        <v>5.8979339636946503E-3</v>
      </c>
      <c r="E201" t="s">
        <v>1635</v>
      </c>
      <c r="F201" t="s">
        <v>1436</v>
      </c>
      <c r="G201">
        <v>115.285</v>
      </c>
      <c r="H201">
        <v>3.1848519391919298E-3</v>
      </c>
      <c r="I201">
        <v>116.167</v>
      </c>
      <c r="J201">
        <v>1.59507509785994E-3</v>
      </c>
      <c r="K201" t="s">
        <v>1125</v>
      </c>
      <c r="L201" t="s">
        <v>926</v>
      </c>
    </row>
    <row r="202" spans="1:12" x14ac:dyDescent="0.25">
      <c r="A202">
        <v>1.46624987744557E-2</v>
      </c>
      <c r="B202">
        <v>1.3591255249432201E-2</v>
      </c>
      <c r="C202">
        <v>5.0660572456327199E-2</v>
      </c>
      <c r="D202">
        <v>1.0418465412080901E-2</v>
      </c>
      <c r="E202" t="s">
        <v>1636</v>
      </c>
      <c r="F202" t="s">
        <v>1436</v>
      </c>
      <c r="G202">
        <v>116.54600000000001</v>
      </c>
      <c r="H202">
        <v>1.09381099015484E-2</v>
      </c>
      <c r="I202">
        <v>116.5</v>
      </c>
      <c r="J202">
        <v>2.86656279322006E-3</v>
      </c>
      <c r="K202" t="s">
        <v>1126</v>
      </c>
      <c r="L202" t="s">
        <v>926</v>
      </c>
    </row>
    <row r="203" spans="1:12" x14ac:dyDescent="0.25">
      <c r="A203">
        <v>-1.7940859457881899E-2</v>
      </c>
      <c r="B203">
        <v>3.31045118831508E-3</v>
      </c>
      <c r="C203">
        <v>-1.06133933402519E-3</v>
      </c>
      <c r="D203">
        <v>-7.65559802497651E-3</v>
      </c>
      <c r="E203" t="s">
        <v>1637</v>
      </c>
      <c r="F203" t="s">
        <v>1436</v>
      </c>
      <c r="G203">
        <v>116.072</v>
      </c>
      <c r="H203">
        <v>-4.0670636486881398E-3</v>
      </c>
      <c r="I203">
        <v>116.19499999999999</v>
      </c>
      <c r="J203">
        <v>-2.61802575107306E-3</v>
      </c>
      <c r="K203" t="s">
        <v>1127</v>
      </c>
      <c r="L203" t="s">
        <v>926</v>
      </c>
    </row>
    <row r="204" spans="1:12" x14ac:dyDescent="0.25">
      <c r="A204">
        <v>3.3775526155126898E-2</v>
      </c>
      <c r="B204">
        <v>2.5959727144998501E-2</v>
      </c>
      <c r="C204">
        <v>3.4596703938155803E-2</v>
      </c>
      <c r="D204">
        <v>4.1355015452944698E-2</v>
      </c>
      <c r="E204" t="s">
        <v>1638</v>
      </c>
      <c r="F204" t="s">
        <v>1436</v>
      </c>
      <c r="G204">
        <v>116.51900000000001</v>
      </c>
      <c r="H204">
        <v>3.8510579640223001E-3</v>
      </c>
      <c r="I204">
        <v>117.285</v>
      </c>
      <c r="J204">
        <v>9.3807823056069103E-3</v>
      </c>
      <c r="K204" t="s">
        <v>1128</v>
      </c>
      <c r="L204" t="s">
        <v>926</v>
      </c>
    </row>
    <row r="205" spans="1:12" x14ac:dyDescent="0.25">
      <c r="A205">
        <v>1.6442937470855502E-2</v>
      </c>
      <c r="B205">
        <v>2.4447407360365301E-2</v>
      </c>
      <c r="C205">
        <v>5.1547958936444697E-2</v>
      </c>
      <c r="D205">
        <v>1.8415186976738801E-2</v>
      </c>
      <c r="E205" t="s">
        <v>1639</v>
      </c>
      <c r="F205" t="s">
        <v>1436</v>
      </c>
      <c r="G205">
        <v>117.593</v>
      </c>
      <c r="H205">
        <v>9.2173808563409398E-3</v>
      </c>
      <c r="I205">
        <v>117.706</v>
      </c>
      <c r="J205">
        <v>3.5895468303705999E-3</v>
      </c>
      <c r="K205" t="s">
        <v>1129</v>
      </c>
      <c r="L205" t="s">
        <v>926</v>
      </c>
    </row>
    <row r="206" spans="1:12" x14ac:dyDescent="0.25">
      <c r="A206">
        <v>4.5025943450948999E-2</v>
      </c>
      <c r="B206">
        <v>4.0827649049089101E-2</v>
      </c>
      <c r="C206">
        <v>9.2834286401326696E-2</v>
      </c>
      <c r="D206">
        <v>6.4160755006020101E-2</v>
      </c>
      <c r="E206" t="s">
        <v>1640</v>
      </c>
      <c r="F206" t="s">
        <v>1436</v>
      </c>
      <c r="G206">
        <v>119.419</v>
      </c>
      <c r="H206">
        <v>1.5528135178114201E-2</v>
      </c>
      <c r="I206">
        <v>119.416</v>
      </c>
      <c r="J206">
        <v>1.45277216114725E-2</v>
      </c>
      <c r="K206" t="s">
        <v>1130</v>
      </c>
      <c r="L206" t="s">
        <v>926</v>
      </c>
    </row>
    <row r="207" spans="1:12" x14ac:dyDescent="0.25">
      <c r="A207">
        <v>6.4441802743663304E-2</v>
      </c>
      <c r="B207">
        <v>4.1247362410053098E-2</v>
      </c>
      <c r="C207">
        <v>8.0575514620662397E-2</v>
      </c>
      <c r="D207">
        <v>0.104589902157439</v>
      </c>
      <c r="E207" t="s">
        <v>1641</v>
      </c>
      <c r="F207" t="s">
        <v>1436</v>
      </c>
      <c r="G207">
        <v>121.425</v>
      </c>
      <c r="H207">
        <v>1.6797996968656699E-2</v>
      </c>
      <c r="I207">
        <v>122.101</v>
      </c>
      <c r="J207">
        <v>2.24844241977624E-2</v>
      </c>
      <c r="K207" t="s">
        <v>1131</v>
      </c>
      <c r="L207" t="s">
        <v>926</v>
      </c>
    </row>
    <row r="208" spans="1:12" x14ac:dyDescent="0.25">
      <c r="A208">
        <v>5.5998846943190198E-2</v>
      </c>
      <c r="B208">
        <v>4.40178580952795E-2</v>
      </c>
      <c r="C208">
        <v>6.4680375979367696E-2</v>
      </c>
      <c r="D208">
        <v>9.3631239224950299E-2</v>
      </c>
      <c r="E208" t="s">
        <v>1642</v>
      </c>
      <c r="F208" t="s">
        <v>1436</v>
      </c>
      <c r="G208">
        <v>123.291</v>
      </c>
      <c r="H208">
        <v>1.53675108091413E-2</v>
      </c>
      <c r="I208">
        <v>124.71</v>
      </c>
      <c r="J208">
        <v>2.13675563672697E-2</v>
      </c>
      <c r="K208" t="s">
        <v>1132</v>
      </c>
      <c r="L208" t="s">
        <v>926</v>
      </c>
    </row>
    <row r="209" spans="1:12" x14ac:dyDescent="0.25">
      <c r="A209">
        <v>6.1859650545573498E-2</v>
      </c>
      <c r="B209">
        <v>4.34322998250962E-2</v>
      </c>
      <c r="C209">
        <v>8.4136934840178798E-2</v>
      </c>
      <c r="D209">
        <v>0.12124821634027599</v>
      </c>
      <c r="E209" t="s">
        <v>1643</v>
      </c>
      <c r="F209" t="s">
        <v>1436</v>
      </c>
      <c r="G209">
        <v>125.712</v>
      </c>
      <c r="H209">
        <v>1.96364698153151E-2</v>
      </c>
      <c r="I209">
        <v>128.44900000000001</v>
      </c>
      <c r="J209">
        <v>2.9981557212733798E-2</v>
      </c>
      <c r="K209" t="s">
        <v>1133</v>
      </c>
      <c r="L209" t="s">
        <v>926</v>
      </c>
    </row>
    <row r="210" spans="1:12" x14ac:dyDescent="0.25">
      <c r="A210">
        <v>7.4784916271317198E-2</v>
      </c>
      <c r="B210">
        <v>5.6798579453040801E-2</v>
      </c>
      <c r="C210">
        <v>0.10120576467409099</v>
      </c>
      <c r="D210">
        <v>0.12687792670398401</v>
      </c>
      <c r="E210" t="s">
        <v>1644</v>
      </c>
      <c r="F210" t="s">
        <v>1436</v>
      </c>
      <c r="G210">
        <v>129</v>
      </c>
      <c r="H210">
        <v>2.6155021000381799E-2</v>
      </c>
      <c r="I210">
        <v>132.33099999999999</v>
      </c>
      <c r="J210">
        <v>3.0222111499505398E-2</v>
      </c>
      <c r="K210" t="s">
        <v>1134</v>
      </c>
      <c r="L210" t="s">
        <v>926</v>
      </c>
    </row>
    <row r="211" spans="1:12" x14ac:dyDescent="0.25">
      <c r="A211">
        <v>7.2922192171477093E-2</v>
      </c>
      <c r="B211">
        <v>5.9959109255099501E-2</v>
      </c>
      <c r="C211">
        <v>0.15221841372862299</v>
      </c>
      <c r="D211">
        <v>0.13796693794697101</v>
      </c>
      <c r="E211" t="s">
        <v>1645</v>
      </c>
      <c r="F211" t="s">
        <v>1436</v>
      </c>
      <c r="G211">
        <v>133.62100000000001</v>
      </c>
      <c r="H211">
        <v>3.5821705426356799E-2</v>
      </c>
      <c r="I211">
        <v>136.69900000000001</v>
      </c>
      <c r="J211">
        <v>3.3008138682546297E-2</v>
      </c>
      <c r="K211" t="s">
        <v>1135</v>
      </c>
      <c r="L211" t="s">
        <v>926</v>
      </c>
    </row>
    <row r="212" spans="1:12" x14ac:dyDescent="0.25">
      <c r="A212">
        <v>4.1796200977757901E-2</v>
      </c>
      <c r="B212">
        <v>4.8377032065661102E-2</v>
      </c>
      <c r="C212">
        <v>8.9811228034972802E-3</v>
      </c>
      <c r="D212">
        <v>8.9581033951388098E-2</v>
      </c>
      <c r="E212" t="s">
        <v>1646</v>
      </c>
      <c r="F212" t="s">
        <v>1436</v>
      </c>
      <c r="H212">
        <v>1.10762503071244E-2</v>
      </c>
      <c r="J212">
        <v>1.10762503071244E-2</v>
      </c>
      <c r="K212" t="s">
        <v>1136</v>
      </c>
      <c r="L212" t="s">
        <v>1137</v>
      </c>
    </row>
    <row r="213" spans="1:12" x14ac:dyDescent="0.25">
      <c r="A213">
        <v>2.7447616796656402E-2</v>
      </c>
      <c r="B213">
        <v>2.3249618404576101E-2</v>
      </c>
      <c r="C213">
        <v>3.8298767461848897E-2</v>
      </c>
      <c r="D213">
        <v>3.8298767461848897E-2</v>
      </c>
      <c r="E213" t="s">
        <v>1647</v>
      </c>
      <c r="F213" t="s">
        <v>1648</v>
      </c>
      <c r="H213">
        <v>9.4401732935755992E-3</v>
      </c>
      <c r="J213">
        <v>9.4401732935755992E-3</v>
      </c>
      <c r="K213" t="s">
        <v>1138</v>
      </c>
      <c r="L213" t="s">
        <v>1137</v>
      </c>
    </row>
    <row r="214" spans="1:12" x14ac:dyDescent="0.25">
      <c r="A214">
        <v>2.49173870638888E-2</v>
      </c>
      <c r="B214">
        <v>2.1715756912072299E-2</v>
      </c>
      <c r="C214">
        <v>3.6085750781477598E-2</v>
      </c>
      <c r="D214">
        <v>3.6085750781477598E-2</v>
      </c>
      <c r="E214" t="s">
        <v>1649</v>
      </c>
      <c r="F214" t="s">
        <v>1648</v>
      </c>
      <c r="H214">
        <v>8.9018658885664497E-3</v>
      </c>
      <c r="J214">
        <v>8.9018658885664497E-3</v>
      </c>
      <c r="K214" t="s">
        <v>1139</v>
      </c>
      <c r="L214" t="s">
        <v>1137</v>
      </c>
    </row>
    <row r="215" spans="1:12" x14ac:dyDescent="0.25">
      <c r="A215">
        <v>2.33440010578361E-2</v>
      </c>
      <c r="B215">
        <v>2.1485909848918801E-2</v>
      </c>
      <c r="C215">
        <v>3.2005284910624002E-2</v>
      </c>
      <c r="D215">
        <v>3.2005284910624002E-2</v>
      </c>
      <c r="E215" t="s">
        <v>1650</v>
      </c>
      <c r="F215" t="s">
        <v>1648</v>
      </c>
      <c r="H215">
        <v>7.9070438771131606E-3</v>
      </c>
      <c r="J215">
        <v>7.9070438771131606E-3</v>
      </c>
      <c r="K215" t="s">
        <v>1140</v>
      </c>
      <c r="L215" t="s">
        <v>1137</v>
      </c>
    </row>
    <row r="216" spans="1:12" x14ac:dyDescent="0.25">
      <c r="A216">
        <v>2.2676579457354702E-2</v>
      </c>
      <c r="B216">
        <v>2.1729771469873E-2</v>
      </c>
      <c r="C216">
        <v>2.9538555790939999E-2</v>
      </c>
      <c r="D216">
        <v>2.9538555790939999E-2</v>
      </c>
      <c r="E216" t="s">
        <v>1651</v>
      </c>
      <c r="F216" t="s">
        <v>1648</v>
      </c>
      <c r="H216">
        <v>7.3042210756391101E-3</v>
      </c>
      <c r="J216">
        <v>7.3042210756391101E-3</v>
      </c>
      <c r="K216" t="s">
        <v>1141</v>
      </c>
      <c r="L216" t="s">
        <v>1137</v>
      </c>
    </row>
    <row r="217" spans="1:12" x14ac:dyDescent="0.25">
      <c r="A217">
        <v>2.2178287431426899E-2</v>
      </c>
      <c r="B217">
        <v>2.22727407121028E-2</v>
      </c>
      <c r="C217">
        <v>2.8512142036472E-2</v>
      </c>
      <c r="D217">
        <v>2.8512142036472E-2</v>
      </c>
      <c r="E217" t="s">
        <v>1652</v>
      </c>
      <c r="F217" t="s">
        <v>1648</v>
      </c>
      <c r="H217">
        <v>7.0530654325617901E-3</v>
      </c>
      <c r="J217">
        <v>7.0530654325617901E-3</v>
      </c>
      <c r="K217" t="s">
        <v>1142</v>
      </c>
      <c r="L217" t="s">
        <v>1137</v>
      </c>
    </row>
    <row r="218" spans="1:12" x14ac:dyDescent="0.25">
      <c r="A218">
        <v>2.1434276652948898E-2</v>
      </c>
      <c r="B218">
        <v>2.23623952750127E-2</v>
      </c>
      <c r="C218">
        <v>2.8283584176253401E-2</v>
      </c>
      <c r="D218">
        <v>2.8283584176253401E-2</v>
      </c>
      <c r="E218" t="s">
        <v>1653</v>
      </c>
      <c r="F218" t="s">
        <v>1648</v>
      </c>
      <c r="H218">
        <v>6.9971134735056202E-3</v>
      </c>
      <c r="J218">
        <v>6.9971134735056202E-3</v>
      </c>
      <c r="K218" t="s">
        <v>1143</v>
      </c>
      <c r="L218" t="s">
        <v>1137</v>
      </c>
    </row>
    <row r="219" spans="1:12" x14ac:dyDescent="0.25">
      <c r="A219">
        <v>2.10072065089228E-2</v>
      </c>
      <c r="B219">
        <v>2.2496789219665199E-2</v>
      </c>
      <c r="C219">
        <v>2.7654852328046001E-2</v>
      </c>
      <c r="D219">
        <v>2.7654852328046001E-2</v>
      </c>
      <c r="E219" t="s">
        <v>1654</v>
      </c>
      <c r="F219" t="s">
        <v>1648</v>
      </c>
      <c r="H219">
        <v>6.8431490448084302E-3</v>
      </c>
      <c r="J219">
        <v>6.8431490448084302E-3</v>
      </c>
      <c r="K219" t="s">
        <v>1144</v>
      </c>
      <c r="L219" t="s">
        <v>1137</v>
      </c>
    </row>
    <row r="220" spans="1:12" x14ac:dyDescent="0.25">
      <c r="A220">
        <v>2.0591622707038602E-2</v>
      </c>
      <c r="B220">
        <v>2.25123599902981E-2</v>
      </c>
      <c r="C220">
        <v>2.7753662335143502E-2</v>
      </c>
      <c r="D220">
        <v>2.7753662335143502E-2</v>
      </c>
      <c r="E220" t="s">
        <v>1655</v>
      </c>
      <c r="F220" t="s">
        <v>1648</v>
      </c>
      <c r="H220">
        <v>6.8673504076357502E-3</v>
      </c>
      <c r="J220">
        <v>6.8673504076357502E-3</v>
      </c>
      <c r="K220" t="s">
        <v>1145</v>
      </c>
      <c r="L220" t="s">
        <v>1137</v>
      </c>
    </row>
    <row r="221" spans="1:12" x14ac:dyDescent="0.25">
      <c r="A221">
        <v>2.0347186911993099E-2</v>
      </c>
      <c r="B221">
        <v>2.2891901714989799E-2</v>
      </c>
      <c r="C221">
        <v>2.8110399323646899E-2</v>
      </c>
      <c r="D221">
        <v>2.8110399323646899E-2</v>
      </c>
      <c r="E221" t="s">
        <v>1656</v>
      </c>
      <c r="F221" t="s">
        <v>1648</v>
      </c>
      <c r="H221">
        <v>6.9547108559351303E-3</v>
      </c>
      <c r="J221">
        <v>6.9547108559351303E-3</v>
      </c>
      <c r="K221" t="s">
        <v>1146</v>
      </c>
      <c r="L221" t="s">
        <v>1137</v>
      </c>
    </row>
    <row r="222" spans="1:12" x14ac:dyDescent="0.25">
      <c r="A222">
        <v>2.03844462174123E-2</v>
      </c>
      <c r="B222">
        <v>2.2688598137850801E-2</v>
      </c>
      <c r="C222">
        <v>2.89673943247446E-2</v>
      </c>
      <c r="D222">
        <v>2.89673943247446E-2</v>
      </c>
      <c r="E222" t="s">
        <v>1657</v>
      </c>
      <c r="F222" t="s">
        <v>1648</v>
      </c>
      <c r="H222">
        <v>7.1644853940870902E-3</v>
      </c>
      <c r="J222">
        <v>7.1644853940870902E-3</v>
      </c>
      <c r="K222" t="s">
        <v>1147</v>
      </c>
      <c r="L222" t="s">
        <v>1137</v>
      </c>
    </row>
    <row r="223" spans="1:12" x14ac:dyDescent="0.25">
      <c r="A223">
        <v>2.02121429685698E-2</v>
      </c>
      <c r="B223">
        <v>2.2861927422401802E-2</v>
      </c>
      <c r="C223">
        <v>2.97171972862664E-2</v>
      </c>
      <c r="D223">
        <v>2.97171972862664E-2</v>
      </c>
      <c r="E223" t="s">
        <v>1658</v>
      </c>
      <c r="F223" t="s">
        <v>1648</v>
      </c>
      <c r="H223">
        <v>7.3479141028771596E-3</v>
      </c>
      <c r="J223">
        <v>7.3479141028771596E-3</v>
      </c>
      <c r="K223" t="s">
        <v>1148</v>
      </c>
      <c r="L223" t="s">
        <v>1137</v>
      </c>
    </row>
    <row r="224" spans="1:12" x14ac:dyDescent="0.25">
      <c r="A224">
        <v>2.00951255413373E-2</v>
      </c>
      <c r="B224">
        <v>2.2789213164977801E-2</v>
      </c>
      <c r="C224">
        <v>2.9972823640437098E-2</v>
      </c>
      <c r="D224">
        <v>2.9972823640437098E-2</v>
      </c>
      <c r="E224" t="s">
        <v>1659</v>
      </c>
      <c r="F224" t="s">
        <v>1648</v>
      </c>
      <c r="H224">
        <v>7.4104265836887296E-3</v>
      </c>
      <c r="J224">
        <v>7.4104265836887296E-3</v>
      </c>
      <c r="K224" t="s">
        <v>1149</v>
      </c>
      <c r="L224" t="s">
        <v>1137</v>
      </c>
    </row>
    <row r="225" spans="1:12" x14ac:dyDescent="0.25">
      <c r="A225">
        <v>2.0005533751415599E-2</v>
      </c>
      <c r="B225">
        <v>2.30067515754304E-2</v>
      </c>
      <c r="C225">
        <v>3.0378543432117301E-2</v>
      </c>
      <c r="D225">
        <v>3.0378543432117301E-2</v>
      </c>
      <c r="E225" t="s">
        <v>1660</v>
      </c>
      <c r="F225" t="s">
        <v>1648</v>
      </c>
      <c r="H225">
        <v>7.5096199742570296E-3</v>
      </c>
      <c r="J225">
        <v>7.5096199742570296E-3</v>
      </c>
      <c r="K225" t="s">
        <v>1150</v>
      </c>
      <c r="L225" t="s">
        <v>1137</v>
      </c>
    </row>
    <row r="226" spans="1:12" x14ac:dyDescent="0.25">
      <c r="A226">
        <v>1.9992497685795502E-2</v>
      </c>
      <c r="B226">
        <v>2.28689196510703E-2</v>
      </c>
      <c r="C226">
        <v>3.0384347471833498E-2</v>
      </c>
      <c r="D226">
        <v>3.0384347471833498E-2</v>
      </c>
      <c r="E226" t="s">
        <v>1661</v>
      </c>
      <c r="F226" t="s">
        <v>1648</v>
      </c>
      <c r="H226">
        <v>7.5110387764860701E-3</v>
      </c>
      <c r="J226">
        <v>7.5110387764860701E-3</v>
      </c>
      <c r="K226" t="s">
        <v>1151</v>
      </c>
      <c r="L226" t="s">
        <v>1137</v>
      </c>
    </row>
    <row r="227" spans="1:12" x14ac:dyDescent="0.25">
      <c r="A227">
        <v>1.99491524210023E-2</v>
      </c>
      <c r="B227">
        <v>2.2952518060170599E-2</v>
      </c>
      <c r="C227">
        <v>3.0780667439755299E-2</v>
      </c>
      <c r="D227">
        <v>3.0780667439755299E-2</v>
      </c>
      <c r="E227" t="s">
        <v>1662</v>
      </c>
      <c r="F227" t="s">
        <v>1648</v>
      </c>
      <c r="H227">
        <v>7.6079053396602703E-3</v>
      </c>
      <c r="J227">
        <v>7.6079053396602703E-3</v>
      </c>
      <c r="K227" t="s">
        <v>1152</v>
      </c>
      <c r="L227" t="s">
        <v>1137</v>
      </c>
    </row>
    <row r="228" spans="1:12" x14ac:dyDescent="0.25">
      <c r="A228">
        <v>1.99785657506244E-2</v>
      </c>
      <c r="B228">
        <v>2.3092018308592099E-2</v>
      </c>
      <c r="C228">
        <v>3.09234356698747E-2</v>
      </c>
      <c r="D228">
        <v>3.09234356698747E-2</v>
      </c>
      <c r="E228" t="s">
        <v>1663</v>
      </c>
      <c r="F228" t="s">
        <v>1648</v>
      </c>
      <c r="H228">
        <v>7.6427931995954896E-3</v>
      </c>
      <c r="J228">
        <v>7.6427931995954896E-3</v>
      </c>
      <c r="K228" t="s">
        <v>1153</v>
      </c>
      <c r="L228" t="s">
        <v>1137</v>
      </c>
    </row>
    <row r="229" spans="1:12" x14ac:dyDescent="0.25">
      <c r="A229">
        <v>1.9973482507164499E-2</v>
      </c>
      <c r="B229">
        <v>2.29188557927167E-2</v>
      </c>
      <c r="C229">
        <v>3.0940126349132901E-2</v>
      </c>
      <c r="D229">
        <v>3.0940126349132901E-2</v>
      </c>
      <c r="E229" t="s">
        <v>1664</v>
      </c>
      <c r="F229" t="s">
        <v>1648</v>
      </c>
      <c r="H229">
        <v>7.6468716160857904E-3</v>
      </c>
      <c r="J229">
        <v>7.6468716160857904E-3</v>
      </c>
      <c r="K229" t="s">
        <v>1154</v>
      </c>
      <c r="L229" t="s">
        <v>1137</v>
      </c>
    </row>
    <row r="230" spans="1:12" x14ac:dyDescent="0.25">
      <c r="A230">
        <v>2.00262569988248E-2</v>
      </c>
      <c r="B230">
        <v>2.34219478386497E-2</v>
      </c>
      <c r="C230">
        <v>3.08963138434795E-2</v>
      </c>
      <c r="D230">
        <v>3.08963138434795E-2</v>
      </c>
      <c r="E230" t="s">
        <v>1665</v>
      </c>
      <c r="F230" t="s">
        <v>1648</v>
      </c>
      <c r="H230">
        <v>7.6361657960506398E-3</v>
      </c>
      <c r="J230">
        <v>7.6361657960506398E-3</v>
      </c>
      <c r="K230" t="s">
        <v>1155</v>
      </c>
      <c r="L230" t="s">
        <v>1137</v>
      </c>
    </row>
    <row r="231" spans="1:12" x14ac:dyDescent="0.25">
      <c r="A231">
        <v>2.0068184200822601E-2</v>
      </c>
      <c r="B231">
        <v>2.29559923804479E-2</v>
      </c>
      <c r="C231">
        <v>3.1171169586274899E-2</v>
      </c>
      <c r="D231">
        <v>3.1171169586274899E-2</v>
      </c>
      <c r="E231" t="s">
        <v>1666</v>
      </c>
      <c r="F231" t="s">
        <v>1648</v>
      </c>
      <c r="H231">
        <v>7.7033226228278E-3</v>
      </c>
      <c r="J231">
        <v>7.7033226228278E-3</v>
      </c>
      <c r="K231" t="s">
        <v>1156</v>
      </c>
      <c r="L231" t="s">
        <v>1137</v>
      </c>
    </row>
    <row r="232" spans="1:12" x14ac:dyDescent="0.25">
      <c r="A232">
        <v>2.00733299513789E-2</v>
      </c>
      <c r="B232">
        <v>2.3089907346120601E-2</v>
      </c>
      <c r="C232">
        <v>3.11290252355114E-2</v>
      </c>
      <c r="D232">
        <v>3.11290252355114E-2</v>
      </c>
      <c r="E232" t="s">
        <v>1667</v>
      </c>
      <c r="F232" t="s">
        <v>1648</v>
      </c>
      <c r="H232">
        <v>7.6930261622452098E-3</v>
      </c>
      <c r="J232">
        <v>7.6930261622452098E-3</v>
      </c>
      <c r="K232" t="s">
        <v>1157</v>
      </c>
      <c r="L232" t="s">
        <v>1137</v>
      </c>
    </row>
    <row r="233" spans="1:12" x14ac:dyDescent="0.25">
      <c r="A233">
        <v>2.00833471581769E-2</v>
      </c>
      <c r="B233">
        <v>2.2986135275529802E-2</v>
      </c>
      <c r="C233">
        <v>3.12799263503531E-2</v>
      </c>
      <c r="D233">
        <v>3.12799263503531E-2</v>
      </c>
      <c r="E233" t="s">
        <v>1668</v>
      </c>
      <c r="F233" t="s">
        <v>1648</v>
      </c>
      <c r="H233">
        <v>7.72989197946106E-3</v>
      </c>
      <c r="J233">
        <v>7.72989197946106E-3</v>
      </c>
      <c r="K233" t="s">
        <v>1158</v>
      </c>
      <c r="L233" t="s">
        <v>1137</v>
      </c>
    </row>
    <row r="234" spans="1:12" x14ac:dyDescent="0.25">
      <c r="A234">
        <v>2.0140093939852201E-2</v>
      </c>
      <c r="B234">
        <v>2.31414769468055E-2</v>
      </c>
      <c r="C234">
        <v>3.1432246791632999E-2</v>
      </c>
      <c r="D234">
        <v>3.1432246791632999E-2</v>
      </c>
      <c r="E234" t="s">
        <v>1669</v>
      </c>
      <c r="F234" t="s">
        <v>1648</v>
      </c>
      <c r="H234">
        <v>7.76710044167461E-3</v>
      </c>
      <c r="J234">
        <v>7.76710044167461E-3</v>
      </c>
      <c r="K234" t="s">
        <v>1159</v>
      </c>
      <c r="L234" t="s">
        <v>1137</v>
      </c>
    </row>
    <row r="235" spans="1:12" x14ac:dyDescent="0.25">
      <c r="A235">
        <v>2.02021592909249E-2</v>
      </c>
      <c r="B235">
        <v>2.2984714477401601E-2</v>
      </c>
      <c r="C235">
        <v>3.1205847095053599E-2</v>
      </c>
      <c r="D235">
        <v>3.1205847095053599E-2</v>
      </c>
      <c r="E235" t="s">
        <v>1670</v>
      </c>
      <c r="F235" t="s">
        <v>1648</v>
      </c>
      <c r="H235">
        <v>7.7117945916846996E-3</v>
      </c>
      <c r="J235">
        <v>7.7117945916846996E-3</v>
      </c>
      <c r="K235" t="s">
        <v>1160</v>
      </c>
      <c r="L235" t="s">
        <v>1137</v>
      </c>
    </row>
    <row r="236" spans="1:12" x14ac:dyDescent="0.25">
      <c r="A236">
        <v>2.0211898969260102E-2</v>
      </c>
      <c r="B236">
        <v>2.2913195171825301E-2</v>
      </c>
      <c r="C236">
        <v>3.14110402970686E-2</v>
      </c>
      <c r="D236">
        <v>3.14110402970686E-2</v>
      </c>
      <c r="E236" t="s">
        <v>1671</v>
      </c>
      <c r="F236" t="s">
        <v>1648</v>
      </c>
      <c r="H236">
        <v>7.7619204183672101E-3</v>
      </c>
      <c r="J236">
        <v>7.7619204183672101E-3</v>
      </c>
      <c r="K236" t="s">
        <v>1161</v>
      </c>
      <c r="L236" t="s">
        <v>1137</v>
      </c>
    </row>
    <row r="237" spans="1:12" x14ac:dyDescent="0.25">
      <c r="A237">
        <v>2.0290430669000999E-2</v>
      </c>
      <c r="B237">
        <v>2.29758501503456E-2</v>
      </c>
      <c r="C237">
        <v>3.1565029186180898E-2</v>
      </c>
      <c r="D237">
        <v>3.1565029186180898E-2</v>
      </c>
      <c r="E237" t="s">
        <v>1672</v>
      </c>
      <c r="F237" t="s">
        <v>1648</v>
      </c>
      <c r="H237">
        <v>7.7995328359632401E-3</v>
      </c>
      <c r="J237">
        <v>7.7995328359632401E-3</v>
      </c>
      <c r="K237" t="s">
        <v>1162</v>
      </c>
      <c r="L237" t="s">
        <v>1137</v>
      </c>
    </row>
    <row r="238" spans="1:12" x14ac:dyDescent="0.25">
      <c r="A238">
        <v>2.0308808571870299E-2</v>
      </c>
      <c r="B238">
        <v>2.2824531954790599E-2</v>
      </c>
      <c r="C238">
        <v>3.1531274423854297E-2</v>
      </c>
      <c r="D238">
        <v>3.1531274423854297E-2</v>
      </c>
      <c r="E238" t="s">
        <v>1673</v>
      </c>
      <c r="F238" t="s">
        <v>1648</v>
      </c>
      <c r="H238">
        <v>7.7912884572341997E-3</v>
      </c>
      <c r="J238">
        <v>7.7912884572341997E-3</v>
      </c>
      <c r="K238" t="s">
        <v>1163</v>
      </c>
      <c r="L238" t="s">
        <v>1137</v>
      </c>
    </row>
    <row r="239" spans="1:12" x14ac:dyDescent="0.25">
      <c r="A239">
        <v>2.03080060292413E-2</v>
      </c>
      <c r="B239">
        <v>2.2972481063801901E-2</v>
      </c>
      <c r="C239">
        <v>3.1542996473644003E-2</v>
      </c>
      <c r="D239">
        <v>3.1542996473644003E-2</v>
      </c>
      <c r="E239" t="s">
        <v>1674</v>
      </c>
      <c r="F239" t="s">
        <v>1648</v>
      </c>
      <c r="H239">
        <v>7.7941515137436301E-3</v>
      </c>
      <c r="J239">
        <v>7.7941515137436301E-3</v>
      </c>
      <c r="K239" t="s">
        <v>1164</v>
      </c>
      <c r="L239" t="s">
        <v>1137</v>
      </c>
    </row>
    <row r="240" spans="1:12" x14ac:dyDescent="0.25">
      <c r="A240">
        <v>2.0323983720006399E-2</v>
      </c>
      <c r="B240">
        <v>2.2824566637221998E-2</v>
      </c>
      <c r="C240">
        <v>3.1855243350590097E-2</v>
      </c>
      <c r="D240">
        <v>3.1855243350590097E-2</v>
      </c>
      <c r="E240" t="s">
        <v>1675</v>
      </c>
      <c r="F240" t="s">
        <v>1648</v>
      </c>
      <c r="H240">
        <v>7.8704073905595494E-3</v>
      </c>
      <c r="J240">
        <v>7.8704073905595494E-3</v>
      </c>
      <c r="K240" t="s">
        <v>1165</v>
      </c>
      <c r="L240" t="s">
        <v>1137</v>
      </c>
    </row>
    <row r="241" spans="1:12" x14ac:dyDescent="0.25">
      <c r="A241">
        <v>2.0325704902500501E-2</v>
      </c>
      <c r="B241">
        <v>2.2886555231629101E-2</v>
      </c>
      <c r="C241">
        <v>3.1708818720508798E-2</v>
      </c>
      <c r="D241">
        <v>3.1708818720508798E-2</v>
      </c>
      <c r="E241" t="s">
        <v>1676</v>
      </c>
      <c r="F241" t="s">
        <v>1648</v>
      </c>
      <c r="H241">
        <v>7.8346502176538397E-3</v>
      </c>
      <c r="J241">
        <v>7.8346502176538397E-3</v>
      </c>
      <c r="K241" t="s">
        <v>1166</v>
      </c>
      <c r="L241" t="s">
        <v>1137</v>
      </c>
    </row>
    <row r="242" spans="1:12" x14ac:dyDescent="0.25">
      <c r="A242">
        <v>2.0305041683886599E-2</v>
      </c>
      <c r="B242">
        <v>2.29465623765257E-2</v>
      </c>
      <c r="C242">
        <v>3.1893508731351002E-2</v>
      </c>
      <c r="D242">
        <v>3.1893508731351002E-2</v>
      </c>
      <c r="E242" t="s">
        <v>1677</v>
      </c>
      <c r="F242" t="s">
        <v>1648</v>
      </c>
      <c r="H242">
        <v>7.8797512420421007E-3</v>
      </c>
      <c r="J242">
        <v>7.8797512420421007E-3</v>
      </c>
      <c r="K242" t="s">
        <v>1167</v>
      </c>
      <c r="L242" t="s">
        <v>1137</v>
      </c>
    </row>
    <row r="243" spans="1:12" x14ac:dyDescent="0.25">
      <c r="A243">
        <v>2.0287096358251301E-2</v>
      </c>
      <c r="B243">
        <v>2.2798980065175601E-2</v>
      </c>
      <c r="C243">
        <v>3.1810408581062898E-2</v>
      </c>
      <c r="D243">
        <v>3.1810408581062898E-2</v>
      </c>
      <c r="E243" t="s">
        <v>1678</v>
      </c>
      <c r="F243" t="s">
        <v>1648</v>
      </c>
      <c r="H243">
        <v>7.8594590588953999E-3</v>
      </c>
      <c r="J243">
        <v>7.8594590588953999E-3</v>
      </c>
      <c r="K243" t="s">
        <v>1168</v>
      </c>
      <c r="L243" t="s">
        <v>1137</v>
      </c>
    </row>
    <row r="244" spans="1:12" x14ac:dyDescent="0.25">
      <c r="A244">
        <v>2.0271579331879098E-2</v>
      </c>
      <c r="B244">
        <v>2.2857567238674801E-2</v>
      </c>
      <c r="C244">
        <v>3.1611362599311098E-2</v>
      </c>
      <c r="D244">
        <v>3.1611362599311098E-2</v>
      </c>
      <c r="E244" t="s">
        <v>1679</v>
      </c>
      <c r="F244" t="s">
        <v>1648</v>
      </c>
      <c r="H244">
        <v>7.8108491379678098E-3</v>
      </c>
      <c r="J244">
        <v>7.8108491379678098E-3</v>
      </c>
      <c r="K244" t="s">
        <v>1169</v>
      </c>
      <c r="L244" t="s">
        <v>1137</v>
      </c>
    </row>
    <row r="245" spans="1:12" x14ac:dyDescent="0.25">
      <c r="A245">
        <v>2.0226750918557398E-2</v>
      </c>
      <c r="B245">
        <v>2.30078651102898E-2</v>
      </c>
      <c r="C245">
        <v>3.1895036638032601E-2</v>
      </c>
      <c r="D245">
        <v>3.1895036638032601E-2</v>
      </c>
      <c r="E245" t="s">
        <v>1680</v>
      </c>
      <c r="F245" t="s">
        <v>1648</v>
      </c>
      <c r="H245">
        <v>7.8801243293176206E-3</v>
      </c>
      <c r="J245">
        <v>7.8801243293176206E-3</v>
      </c>
      <c r="K245" t="s">
        <v>1170</v>
      </c>
      <c r="L245" t="s">
        <v>1137</v>
      </c>
    </row>
    <row r="246" spans="1:12" x14ac:dyDescent="0.25">
      <c r="A246">
        <v>2.0229639632362201E-2</v>
      </c>
      <c r="B246">
        <v>2.2755662461575201E-2</v>
      </c>
      <c r="C246">
        <v>3.1906732152356301E-2</v>
      </c>
      <c r="D246">
        <v>3.1906732152356301E-2</v>
      </c>
      <c r="E246" t="s">
        <v>1681</v>
      </c>
      <c r="F246" t="s">
        <v>1648</v>
      </c>
      <c r="H246">
        <v>7.88298014941358E-3</v>
      </c>
      <c r="J246">
        <v>7.88298014941358E-3</v>
      </c>
      <c r="K246" t="s">
        <v>1171</v>
      </c>
      <c r="L246" t="s">
        <v>1137</v>
      </c>
    </row>
    <row r="247" spans="1:12" x14ac:dyDescent="0.25">
      <c r="A247">
        <v>2.0196749252488402E-2</v>
      </c>
      <c r="B247">
        <v>2.2817811468051102E-2</v>
      </c>
      <c r="C247">
        <v>3.1666344390047098E-2</v>
      </c>
      <c r="D247">
        <v>3.1666344390047098E-2</v>
      </c>
      <c r="E247" t="s">
        <v>1682</v>
      </c>
      <c r="F247" t="s">
        <v>1648</v>
      </c>
      <c r="H247">
        <v>7.8242771932854893E-3</v>
      </c>
      <c r="J247">
        <v>7.8242771932854893E-3</v>
      </c>
      <c r="K247" t="s">
        <v>1172</v>
      </c>
      <c r="L247" t="s">
        <v>1137</v>
      </c>
    </row>
    <row r="248" spans="1:12" x14ac:dyDescent="0.25">
      <c r="A248">
        <v>2.0138226913895701E-2</v>
      </c>
      <c r="B248">
        <v>2.3174738681931199E-2</v>
      </c>
      <c r="C248">
        <v>3.1749922428638201E-2</v>
      </c>
      <c r="D248">
        <v>3.1749922428638201E-2</v>
      </c>
      <c r="E248" t="s">
        <v>1683</v>
      </c>
      <c r="F248" t="s">
        <v>1648</v>
      </c>
      <c r="H248">
        <v>7.8446882055194199E-3</v>
      </c>
      <c r="J248">
        <v>7.8446882055194199E-3</v>
      </c>
      <c r="K248" t="s">
        <v>1173</v>
      </c>
      <c r="L248" t="s">
        <v>1137</v>
      </c>
    </row>
    <row r="249" spans="1:12" x14ac:dyDescent="0.25">
      <c r="A249">
        <v>2.0129535533826501E-2</v>
      </c>
      <c r="B249">
        <v>2.27379267080541E-2</v>
      </c>
      <c r="C249">
        <v>3.1908648163189397E-2</v>
      </c>
      <c r="D249">
        <v>3.1908648163189397E-2</v>
      </c>
      <c r="E249" t="s">
        <v>1684</v>
      </c>
      <c r="F249" t="s">
        <v>1648</v>
      </c>
      <c r="H249">
        <v>7.8834480001659397E-3</v>
      </c>
      <c r="J249">
        <v>7.8834480001659397E-3</v>
      </c>
      <c r="K249" t="s">
        <v>1174</v>
      </c>
      <c r="L249" t="s">
        <v>1137</v>
      </c>
    </row>
    <row r="250" spans="1:12" x14ac:dyDescent="0.25">
      <c r="A250">
        <v>2.0106884793451098E-2</v>
      </c>
      <c r="B250">
        <v>2.3093327603912001E-2</v>
      </c>
      <c r="C250">
        <v>3.1692204125751702E-2</v>
      </c>
      <c r="D250">
        <v>3.1692204125751702E-2</v>
      </c>
      <c r="E250" t="s">
        <v>1685</v>
      </c>
      <c r="F250" t="s">
        <v>1648</v>
      </c>
      <c r="H250">
        <v>7.8305926616084598E-3</v>
      </c>
      <c r="J250">
        <v>7.8305926616084598E-3</v>
      </c>
      <c r="K250" t="s">
        <v>1175</v>
      </c>
      <c r="L250" t="s">
        <v>1137</v>
      </c>
    </row>
    <row r="251" spans="1:12" x14ac:dyDescent="0.25">
      <c r="A251">
        <v>2.0037252982960399E-2</v>
      </c>
      <c r="B251">
        <v>2.2853757020905099E-2</v>
      </c>
      <c r="C251">
        <v>3.1763978164364597E-2</v>
      </c>
      <c r="D251">
        <v>3.1763978164364597E-2</v>
      </c>
      <c r="E251" t="s">
        <v>1686</v>
      </c>
      <c r="F251" t="s">
        <v>1648</v>
      </c>
      <c r="H251">
        <v>7.8481207054677E-3</v>
      </c>
      <c r="J251">
        <v>7.8481207054677E-3</v>
      </c>
      <c r="K251" t="s">
        <v>1176</v>
      </c>
      <c r="L251" t="s">
        <v>1137</v>
      </c>
    </row>
    <row r="252" spans="1:12" x14ac:dyDescent="0.25">
      <c r="A252">
        <v>2.0056022895238401E-2</v>
      </c>
      <c r="B252">
        <v>2.2713969923905002E-2</v>
      </c>
      <c r="C252">
        <v>3.17278315390737E-2</v>
      </c>
      <c r="D252">
        <v>3.17278315390737E-2</v>
      </c>
      <c r="E252" t="s">
        <v>1687</v>
      </c>
      <c r="F252" t="s">
        <v>1648</v>
      </c>
      <c r="H252">
        <v>7.8392933990876195E-3</v>
      </c>
      <c r="J252">
        <v>7.8392933990876195E-3</v>
      </c>
      <c r="K252" t="s">
        <v>1177</v>
      </c>
      <c r="L252" t="s">
        <v>1137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Guide to the FIM Spreadsheet</vt:lpstr>
      <vt:lpstr>Checklist (New Quarter Release)</vt:lpstr>
      <vt:lpstr>Checklist (Monthly Revision)</vt:lpstr>
      <vt:lpstr>Revisions</vt:lpstr>
      <vt:lpstr>Checklist (CBO Budget Release)</vt:lpstr>
      <vt:lpstr>Haver Pivoted</vt:lpstr>
      <vt:lpstr>historical overrides</vt:lpstr>
      <vt:lpstr>deflators_override</vt:lpstr>
      <vt:lpstr>forecast comparison</vt:lpstr>
      <vt:lpstr>MPI</vt:lpstr>
      <vt:lpstr>forecast</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(BETA VERSION)</vt:lpstr>
      <vt:lpstr>Social Benefits (EXPLANATION)</vt:lpstr>
      <vt:lpstr>Supply Side IRA</vt:lpstr>
      <vt:lpstr>Taxes</vt:lpstr>
      <vt:lpstr>Deflators</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Georgia Nabors</cp:lastModifiedBy>
  <cp:revision/>
  <dcterms:created xsi:type="dcterms:W3CDTF">2021-05-28T15:43:48Z</dcterms:created>
  <dcterms:modified xsi:type="dcterms:W3CDTF">2025-04-30T18:01:14Z</dcterms:modified>
  <cp:category/>
  <cp:contentStatus/>
</cp:coreProperties>
</file>