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2.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DE00D9F5-2B21-4F7B-8256-FD6EF7EA82A1}" xr6:coauthVersionLast="47" xr6:coauthVersionMax="47" xr10:uidLastSave="{00000000-0000-0000-0000-000000000000}"/>
  <bookViews>
    <workbookView xWindow="-110" yWindow="-110" windowWidth="19420" windowHeight="11500" firstSheet="22" activeTab="25"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82" r:id="rId21"/>
    <sheet name="Social Benefits- June" sheetId="83" r:id="rId22"/>
    <sheet name="Social Benefits - old" sheetId="59" r:id="rId23"/>
    <sheet name="SB WORK" sheetId="84" r:id="rId24"/>
    <sheet name="Supply Side IRA" sheetId="78" r:id="rId25"/>
    <sheet name="Taxes" sheetId="48" r:id="rId26"/>
    <sheet name="Deflators" sheetId="70" r:id="rId27"/>
    <sheet name="Social Benefits (BETA VERSION)" sheetId="75" r:id="rId28"/>
    <sheet name="Social Benefits (EXPLANATION)" sheetId="77" r:id="rId29"/>
    <sheet name="PPP (expired)" sheetId="38" r:id="rId30"/>
    <sheet name="Provider Relief (expired)" sheetId="40" r:id="rId31"/>
    <sheet name="Rebate Checks (expired)" sheetId="29" r:id="rId32"/>
    <sheet name="Cares Act Scores" sheetId="36" r:id="rId33"/>
    <sheet name="IRA and CHIPS" sheetId="65" r:id="rId34"/>
    <sheet name="Response and Relief Act Score" sheetId="27" r:id="rId35"/>
    <sheet name="ARP Score" sheetId="5" r:id="rId36"/>
    <sheet name="ARP Timing" sheetId="6" r:id="rId37"/>
    <sheet name="ARP Quarterly" sheetId="21" r:id="rId38"/>
    <sheet name="Deflators_original" sheetId="63" state="hidden" r:id="rId39"/>
  </sheets>
  <externalReferences>
    <externalReference r:id="rId40"/>
  </externalReferences>
  <calcPr calcId="191029"/>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5" i="48" l="1"/>
  <c r="AE15" i="48" s="1"/>
  <c r="J2" i="35"/>
  <c r="J3" i="35"/>
  <c r="J4" i="35"/>
  <c r="J5" i="35"/>
  <c r="J6" i="35"/>
  <c r="J7" i="35"/>
  <c r="J8" i="35"/>
  <c r="J9" i="35"/>
  <c r="J10" i="35"/>
  <c r="J11" i="35"/>
  <c r="J12" i="35"/>
  <c r="J13" i="35"/>
  <c r="J14" i="35"/>
  <c r="J15" i="35"/>
  <c r="J16" i="35"/>
  <c r="J17" i="35"/>
  <c r="J18" i="35"/>
  <c r="J20" i="35"/>
  <c r="J21" i="35"/>
  <c r="J22" i="35"/>
  <c r="J23" i="35"/>
  <c r="J24" i="35"/>
  <c r="AE48" i="70"/>
  <c r="AE33" i="82"/>
  <c r="AF33" i="82"/>
  <c r="AG33" i="82"/>
  <c r="AH33" i="82"/>
  <c r="AI33" i="82"/>
  <c r="AJ33" i="82"/>
  <c r="AJ35" i="82" s="1"/>
  <c r="AK33" i="82"/>
  <c r="AL33" i="82"/>
  <c r="AM33" i="82"/>
  <c r="AN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T65" i="59"/>
  <c r="AF35" i="82"/>
  <c r="AG35" i="82"/>
  <c r="AH35" i="82"/>
  <c r="AI35" i="82"/>
  <c r="AK35" i="82"/>
  <c r="AL35" i="82"/>
  <c r="AD35" i="82"/>
  <c r="AD33" i="83"/>
  <c r="B4" i="84" s="1"/>
  <c r="C11" i="84"/>
  <c r="C10" i="84"/>
  <c r="D10" i="84"/>
  <c r="B10" i="84"/>
  <c r="C9" i="84"/>
  <c r="D9" i="84"/>
  <c r="H9" i="84"/>
  <c r="B9" i="84"/>
  <c r="C8" i="84"/>
  <c r="D8" i="84"/>
  <c r="H8" i="84"/>
  <c r="B8" i="84"/>
  <c r="D7" i="84"/>
  <c r="C7" i="84"/>
  <c r="B7" i="84"/>
  <c r="D6" i="84"/>
  <c r="C6" i="84"/>
  <c r="B6" i="84"/>
  <c r="C5" i="84"/>
  <c r="D5" i="84" s="1"/>
  <c r="B5" i="84"/>
  <c r="C4" i="84"/>
  <c r="C3" i="84"/>
  <c r="B3" i="84"/>
  <c r="AD34" i="83"/>
  <c r="D72" i="83"/>
  <c r="E72" i="83"/>
  <c r="F72" i="83"/>
  <c r="G72" i="83"/>
  <c r="H72" i="83"/>
  <c r="I72" i="83"/>
  <c r="J72" i="83"/>
  <c r="K72" i="83"/>
  <c r="L72" i="83"/>
  <c r="M72" i="83"/>
  <c r="N72" i="83"/>
  <c r="O72" i="83"/>
  <c r="P72" i="83"/>
  <c r="Q72" i="83"/>
  <c r="R72" i="83"/>
  <c r="S72" i="83"/>
  <c r="T72" i="83"/>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J38"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S38" i="83" s="1"/>
  <c r="R36" i="83"/>
  <c r="Q36" i="83"/>
  <c r="P36" i="83"/>
  <c r="O36" i="83"/>
  <c r="N36" i="83"/>
  <c r="M36" i="83"/>
  <c r="L36" i="83"/>
  <c r="K36" i="83"/>
  <c r="K38" i="83" s="1"/>
  <c r="J36" i="83"/>
  <c r="I36" i="83"/>
  <c r="I38" i="83" s="1"/>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S30" i="83" s="1"/>
  <c r="R25" i="83"/>
  <c r="Q25" i="83"/>
  <c r="P25" i="83"/>
  <c r="O25" i="83"/>
  <c r="N25" i="83"/>
  <c r="N30" i="83" s="1"/>
  <c r="M25" i="83"/>
  <c r="M30" i="83" s="1"/>
  <c r="AF24" i="83"/>
  <c r="AE24" i="83"/>
  <c r="AD24" i="83"/>
  <c r="AC24" i="83"/>
  <c r="AB24" i="83"/>
  <c r="AA24" i="83"/>
  <c r="Z24" i="83"/>
  <c r="Y24" i="83"/>
  <c r="X24" i="83"/>
  <c r="W24" i="83"/>
  <c r="V24" i="83"/>
  <c r="U24" i="83"/>
  <c r="S24" i="83"/>
  <c r="R24" i="83"/>
  <c r="Q24" i="83"/>
  <c r="P24" i="83"/>
  <c r="O24" i="83"/>
  <c r="N24" i="83"/>
  <c r="M24" i="83"/>
  <c r="T21" i="83"/>
  <c r="T30" i="83" s="1"/>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X14" i="83" s="1"/>
  <c r="W16" i="83"/>
  <c r="W14" i="83" s="1"/>
  <c r="V16" i="83"/>
  <c r="AC15" i="83"/>
  <c r="AC14" i="83" s="1"/>
  <c r="AC63" i="83" s="1"/>
  <c r="AB15" i="83"/>
  <c r="AA15" i="83"/>
  <c r="Z15" i="83"/>
  <c r="Z14" i="83" s="1"/>
  <c r="Y15" i="83"/>
  <c r="X15" i="83"/>
  <c r="W15" i="83"/>
  <c r="V15" i="83"/>
  <c r="AN14" i="83"/>
  <c r="AM14" i="83"/>
  <c r="AL14" i="83"/>
  <c r="AK14" i="83"/>
  <c r="AJ14" i="83"/>
  <c r="AI14" i="83"/>
  <c r="AH14" i="83"/>
  <c r="AG14" i="83"/>
  <c r="AF14" i="83"/>
  <c r="AE14" i="83"/>
  <c r="AD14" i="83"/>
  <c r="AA14" i="83"/>
  <c r="U14" i="83"/>
  <c r="U63" i="83" s="1"/>
  <c r="T14" i="83"/>
  <c r="T63" i="83" s="1"/>
  <c r="S14" i="83"/>
  <c r="S63" i="83" s="1"/>
  <c r="R14" i="83"/>
  <c r="Q14" i="83"/>
  <c r="P14" i="83"/>
  <c r="P63" i="83" s="1"/>
  <c r="O14" i="83"/>
  <c r="O63" i="83" s="1"/>
  <c r="N14" i="83"/>
  <c r="N63" i="83" s="1"/>
  <c r="M14" i="83"/>
  <c r="L14" i="83"/>
  <c r="K14" i="83"/>
  <c r="J14" i="83"/>
  <c r="I14" i="83"/>
  <c r="H14" i="83"/>
  <c r="H63" i="83" s="1"/>
  <c r="G14" i="83"/>
  <c r="G63" i="83" s="1"/>
  <c r="F14" i="83"/>
  <c r="F63" i="83" s="1"/>
  <c r="E14" i="83"/>
  <c r="E63" i="83" s="1"/>
  <c r="E62" i="83" s="1"/>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F66" i="83" s="1"/>
  <c r="F31" i="83" s="1"/>
  <c r="E12" i="83"/>
  <c r="E66" i="83" s="1"/>
  <c r="E31" i="83" s="1"/>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B11" i="84" l="1"/>
  <c r="D4" i="84"/>
  <c r="D11" i="84" s="1"/>
  <c r="D3" i="84"/>
  <c r="Q63" i="83"/>
  <c r="H64" i="83"/>
  <c r="F38" i="83"/>
  <c r="T38" i="83"/>
  <c r="D63" i="83"/>
  <c r="R63" i="83"/>
  <c r="E38" i="83"/>
  <c r="F40" i="83" s="1"/>
  <c r="V14" i="83"/>
  <c r="V63" i="83" s="1"/>
  <c r="AB14" i="83"/>
  <c r="AB63" i="83" s="1"/>
  <c r="Q30" i="83"/>
  <c r="O50" i="83"/>
  <c r="O26" i="83" s="1"/>
  <c r="G66" i="83"/>
  <c r="G31" i="83" s="1"/>
  <c r="L38" i="83"/>
  <c r="L40" i="83" s="1"/>
  <c r="N50" i="83"/>
  <c r="N26" i="83" s="1"/>
  <c r="N64" i="83" s="1"/>
  <c r="N62" i="83" s="1"/>
  <c r="N65" i="83" s="1"/>
  <c r="H66" i="83"/>
  <c r="J66" i="83" s="1"/>
  <c r="E30" i="83"/>
  <c r="M38" i="83"/>
  <c r="AB50" i="83"/>
  <c r="AB26" i="83" s="1"/>
  <c r="P38" i="83"/>
  <c r="L52" i="83"/>
  <c r="Z52" i="83"/>
  <c r="I50" i="83"/>
  <c r="I26" i="83" s="1"/>
  <c r="I64" i="83" s="1"/>
  <c r="J52" i="83"/>
  <c r="O30" i="83"/>
  <c r="Q38" i="83"/>
  <c r="Q40" i="83" s="1"/>
  <c r="M52" i="83"/>
  <c r="AA52" i="83"/>
  <c r="V52" i="83"/>
  <c r="W63" i="83"/>
  <c r="N38" i="83"/>
  <c r="N40" i="83" s="1"/>
  <c r="D66" i="83"/>
  <c r="D31" i="83" s="1"/>
  <c r="P30" i="83"/>
  <c r="D38" i="83"/>
  <c r="R38" i="83"/>
  <c r="S40" i="83" s="1"/>
  <c r="T50" i="83"/>
  <c r="T26" i="83" s="1"/>
  <c r="N52" i="83"/>
  <c r="AB52" i="83"/>
  <c r="T64" i="83"/>
  <c r="T62" i="83" s="1"/>
  <c r="T65" i="83" s="1"/>
  <c r="X63" i="83"/>
  <c r="O38" i="83"/>
  <c r="O40" i="83" s="1"/>
  <c r="AB62" i="83"/>
  <c r="AB65" i="83" s="1"/>
  <c r="V50" i="83"/>
  <c r="V26" i="83" s="1"/>
  <c r="V64" i="83" s="1"/>
  <c r="V62" i="83" s="1"/>
  <c r="V65" i="83" s="1"/>
  <c r="O52" i="83"/>
  <c r="AC52" i="83"/>
  <c r="H62" i="83"/>
  <c r="R30" i="83"/>
  <c r="H38" i="83"/>
  <c r="P52" i="83"/>
  <c r="K40" i="83"/>
  <c r="X52" i="83"/>
  <c r="I63" i="83"/>
  <c r="I62" i="83" s="1"/>
  <c r="I65" i="83" s="1"/>
  <c r="I74" i="83" s="1"/>
  <c r="I29" i="83" s="1"/>
  <c r="AA63" i="83"/>
  <c r="G38" i="83"/>
  <c r="G40" i="83" s="1"/>
  <c r="AC50" i="83"/>
  <c r="AD50" i="83" s="1"/>
  <c r="AE50" i="83" s="1"/>
  <c r="Q52" i="83"/>
  <c r="J63" i="83"/>
  <c r="Y14" i="83"/>
  <c r="Y63" i="83" s="1"/>
  <c r="AB64" i="83"/>
  <c r="R52" i="83"/>
  <c r="Y52" i="83"/>
  <c r="I66" i="83"/>
  <c r="K63" i="83"/>
  <c r="Z63" i="83"/>
  <c r="R50" i="83"/>
  <c r="R26" i="83" s="1"/>
  <c r="R64" i="83" s="1"/>
  <c r="S50" i="83"/>
  <c r="S26" i="83" s="1"/>
  <c r="S64" i="83" s="1"/>
  <c r="S62" i="83" s="1"/>
  <c r="S65" i="83" s="1"/>
  <c r="W52" i="83"/>
  <c r="K52" i="83"/>
  <c r="L63" i="83"/>
  <c r="T52" i="83"/>
  <c r="M63" i="83"/>
  <c r="U52" i="83"/>
  <c r="E65" i="83"/>
  <c r="E74" i="83" s="1"/>
  <c r="E29" i="83" s="1"/>
  <c r="E33" i="83" s="1"/>
  <c r="H65" i="83"/>
  <c r="W64" i="83"/>
  <c r="I31" i="83"/>
  <c r="O64" i="83"/>
  <c r="O62" i="83" s="1"/>
  <c r="O65" i="83" s="1"/>
  <c r="I40" i="83"/>
  <c r="J40" i="83"/>
  <c r="S52" i="83"/>
  <c r="AD69" i="83"/>
  <c r="AD71" i="83" s="1"/>
  <c r="AD70" i="83" s="1"/>
  <c r="U50" i="83"/>
  <c r="U26" i="83" s="1"/>
  <c r="U64" i="83" s="1"/>
  <c r="U62" i="83" s="1"/>
  <c r="U65" i="83" s="1"/>
  <c r="W50" i="83"/>
  <c r="W26" i="83" s="1"/>
  <c r="J50" i="83"/>
  <c r="J26" i="83" s="1"/>
  <c r="J64" i="83" s="1"/>
  <c r="X50" i="83"/>
  <c r="X26" i="83" s="1"/>
  <c r="X64" i="83" s="1"/>
  <c r="K50" i="83"/>
  <c r="K26" i="83" s="1"/>
  <c r="K64" i="83" s="1"/>
  <c r="K62" i="83" s="1"/>
  <c r="K65" i="83" s="1"/>
  <c r="Y50" i="83"/>
  <c r="Y26" i="83" s="1"/>
  <c r="Y64" i="83" s="1"/>
  <c r="D64" i="83"/>
  <c r="D62" i="83" s="1"/>
  <c r="D65" i="83" s="1"/>
  <c r="L50" i="83"/>
  <c r="L26" i="83" s="1"/>
  <c r="L64" i="83" s="1"/>
  <c r="Z50" i="83"/>
  <c r="Z26" i="83" s="1"/>
  <c r="Z64" i="83" s="1"/>
  <c r="Z62" i="83" s="1"/>
  <c r="Z65" i="83" s="1"/>
  <c r="M50" i="83"/>
  <c r="M26" i="83" s="1"/>
  <c r="M64" i="83" s="1"/>
  <c r="M62" i="83" s="1"/>
  <c r="M65" i="83" s="1"/>
  <c r="AA50" i="83"/>
  <c r="AA26" i="83" s="1"/>
  <c r="AA64" i="83" s="1"/>
  <c r="F64" i="83"/>
  <c r="F62" i="83" s="1"/>
  <c r="F65" i="83" s="1"/>
  <c r="F74" i="83" s="1"/>
  <c r="F29" i="83" s="1"/>
  <c r="F33" i="83" s="1"/>
  <c r="G64" i="83"/>
  <c r="G62" i="83" s="1"/>
  <c r="G65" i="83" s="1"/>
  <c r="P50" i="83"/>
  <c r="P26" i="83" s="1"/>
  <c r="P64" i="83" s="1"/>
  <c r="P62" i="83" s="1"/>
  <c r="P65" i="83" s="1"/>
  <c r="L94" i="83"/>
  <c r="Q50" i="83"/>
  <c r="Q26" i="83" s="1"/>
  <c r="Q64" i="83" s="1"/>
  <c r="M94" i="83"/>
  <c r="W68" i="83" l="1"/>
  <c r="W67" i="83" s="1"/>
  <c r="R62" i="83"/>
  <c r="R65" i="83" s="1"/>
  <c r="V68" i="83"/>
  <c r="V67" i="83" s="1"/>
  <c r="Q62" i="83"/>
  <c r="Q65" i="83" s="1"/>
  <c r="H31" i="83"/>
  <c r="AC26" i="83"/>
  <c r="AC64" i="83" s="1"/>
  <c r="AC62" i="83" s="1"/>
  <c r="AC65" i="83" s="1"/>
  <c r="U68" i="83"/>
  <c r="U67" i="83" s="1"/>
  <c r="R40" i="83"/>
  <c r="H74" i="83"/>
  <c r="H29" i="83" s="1"/>
  <c r="E40" i="83"/>
  <c r="G74" i="83"/>
  <c r="G29" i="83" s="1"/>
  <c r="G33" i="83" s="1"/>
  <c r="AA62" i="83"/>
  <c r="AA65" i="83" s="1"/>
  <c r="M40" i="83"/>
  <c r="W62" i="83"/>
  <c r="W65" i="83" s="1"/>
  <c r="AD26" i="83"/>
  <c r="AD64" i="83" s="1"/>
  <c r="L62" i="83"/>
  <c r="L65" i="83" s="1"/>
  <c r="D74" i="83"/>
  <c r="D29" i="83" s="1"/>
  <c r="D33" i="83" s="1"/>
  <c r="Y62" i="83"/>
  <c r="Y65" i="83" s="1"/>
  <c r="H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X62" i="83"/>
  <c r="X65" i="83" s="1"/>
  <c r="J62" i="83"/>
  <c r="J65" i="83" s="1"/>
  <c r="J74" i="83" s="1"/>
  <c r="J29" i="83" s="1"/>
  <c r="P40" i="83"/>
  <c r="AE69" i="83"/>
  <c r="AE71" i="83" s="1"/>
  <c r="AE70" i="83" s="1"/>
  <c r="I33" i="83"/>
  <c r="H33" i="83"/>
  <c r="AF50" i="83"/>
  <c r="AE26" i="83"/>
  <c r="J31" i="83"/>
  <c r="K66" i="83"/>
  <c r="X68" i="83" l="1"/>
  <c r="J33" i="83"/>
  <c r="AF69" i="83"/>
  <c r="AF71" i="83" s="1"/>
  <c r="AF70" i="83" s="1"/>
  <c r="L92" i="83"/>
  <c r="X67" i="83"/>
  <c r="Y68" i="83"/>
  <c r="K31" i="83"/>
  <c r="L66" i="83"/>
  <c r="AE64" i="83"/>
  <c r="AG50" i="83"/>
  <c r="AF26" i="83"/>
  <c r="K74" i="83"/>
  <c r="K29" i="83" s="1"/>
  <c r="AG69" i="83" l="1"/>
  <c r="AG71" i="83" s="1"/>
  <c r="AG70" i="83" s="1"/>
  <c r="AG26" i="83"/>
  <c r="AH50" i="83"/>
  <c r="L31" i="83"/>
  <c r="M66" i="83"/>
  <c r="L74" i="83"/>
  <c r="L29" i="83" s="1"/>
  <c r="K33" i="83"/>
  <c r="Y67" i="83"/>
  <c r="Z68" i="83"/>
  <c r="AF64" i="83"/>
  <c r="L93" i="83"/>
  <c r="L95" i="83"/>
  <c r="AH69" i="83" l="1"/>
  <c r="AH71" i="83" s="1"/>
  <c r="AH70" i="83" s="1"/>
  <c r="L33" i="83"/>
  <c r="M31" i="83"/>
  <c r="N66" i="83"/>
  <c r="M74" i="83"/>
  <c r="M29" i="83" s="1"/>
  <c r="AH26" i="83"/>
  <c r="AI50" i="83"/>
  <c r="AG64" i="83"/>
  <c r="Z67" i="83"/>
  <c r="AA68" i="83"/>
  <c r="AI69" i="83" l="1"/>
  <c r="AI71" i="83" s="1"/>
  <c r="AI70" i="83"/>
  <c r="M92" i="83"/>
  <c r="AH64" i="83"/>
  <c r="M33" i="83"/>
  <c r="AI26" i="83"/>
  <c r="AJ50" i="83"/>
  <c r="N31" i="83"/>
  <c r="O66" i="83"/>
  <c r="N74" i="83"/>
  <c r="N29" i="83" s="1"/>
  <c r="AA67" i="83"/>
  <c r="AB68" i="83"/>
  <c r="AC68" i="83" l="1"/>
  <c r="AB67" i="83"/>
  <c r="AI64" i="83"/>
  <c r="N33" i="83"/>
  <c r="O31" i="83"/>
  <c r="P66" i="83"/>
  <c r="O74" i="83"/>
  <c r="O29" i="83" s="1"/>
  <c r="AJ26" i="83"/>
  <c r="AK50" i="83"/>
  <c r="M93" i="83"/>
  <c r="M95" i="83"/>
  <c r="AJ69" i="83"/>
  <c r="AJ71" i="83" s="1"/>
  <c r="AJ70" i="83" s="1"/>
  <c r="AK69" i="83" l="1"/>
  <c r="AK71" i="83" s="1"/>
  <c r="AK70" i="83"/>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AF74" i="83" l="1"/>
  <c r="AE29" i="83"/>
  <c r="AE12" i="83" s="1"/>
  <c r="AE33" i="83"/>
  <c r="AG66" i="83"/>
  <c r="AF31" i="83"/>
  <c r="AE34" i="83" l="1"/>
  <c r="AG31" i="83"/>
  <c r="AH66" i="83"/>
  <c r="AF29" i="83"/>
  <c r="AF12" i="83" s="1"/>
  <c r="AG74" i="83"/>
  <c r="AF34" i="83" l="1"/>
  <c r="AG29" i="83"/>
  <c r="AG12" i="83" s="1"/>
  <c r="AH74" i="83"/>
  <c r="AH31" i="83"/>
  <c r="AI66" i="83"/>
  <c r="AG33" i="83"/>
  <c r="AF33" i="83"/>
  <c r="AG34" i="83" l="1"/>
  <c r="AI74" i="83"/>
  <c r="AH29" i="83"/>
  <c r="AH12" i="83" s="1"/>
  <c r="AI31" i="83"/>
  <c r="AJ66" i="83"/>
  <c r="AH34" i="83" l="1"/>
  <c r="AJ31" i="83"/>
  <c r="AK66" i="83"/>
  <c r="AJ74" i="83"/>
  <c r="AI29" i="83"/>
  <c r="AI12" i="83" s="1"/>
  <c r="AH33" i="83"/>
  <c r="AI33" i="83" l="1"/>
  <c r="AI34" i="83"/>
  <c r="AK74" i="83"/>
  <c r="AJ29" i="83"/>
  <c r="AJ12" i="83" s="1"/>
  <c r="AK31" i="83"/>
  <c r="AL66" i="83"/>
  <c r="AJ33" i="83"/>
  <c r="AJ34" i="83" l="1"/>
  <c r="AL31" i="83"/>
  <c r="AM66" i="83"/>
  <c r="AL74" i="83"/>
  <c r="AK29" i="83"/>
  <c r="AK12" i="83" s="1"/>
  <c r="AK34" i="83" l="1"/>
  <c r="AK33" i="83"/>
  <c r="AM31" i="83"/>
  <c r="AN66" i="83"/>
  <c r="AN31" i="83" s="1"/>
  <c r="AM74" i="83"/>
  <c r="AL29" i="83"/>
  <c r="AL12" i="83" s="1"/>
  <c r="AL33" i="83"/>
  <c r="AL34" i="83" l="1"/>
  <c r="AN74" i="83"/>
  <c r="AN29" i="83" s="1"/>
  <c r="AN12" i="83" s="1"/>
  <c r="AM29" i="83"/>
  <c r="AM12" i="83" s="1"/>
  <c r="AM33" i="83"/>
  <c r="AN33" i="83"/>
  <c r="AM34" i="83" l="1"/>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N38" i="82"/>
  <c r="AM38" i="82"/>
  <c r="AL38" i="82"/>
  <c r="AK38" i="82"/>
  <c r="AJ38" i="82"/>
  <c r="AI38" i="82"/>
  <c r="AH38" i="82"/>
  <c r="AG38" i="82"/>
  <c r="AF38" i="82"/>
  <c r="AE38"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J65" i="82" s="1"/>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W20" i="67"/>
  <c r="Y20" i="67"/>
  <c r="Z20" i="67"/>
  <c r="AA20" i="67"/>
  <c r="AI11" i="67"/>
  <c r="AH20" i="67"/>
  <c r="AE11" i="67"/>
  <c r="W11" i="67"/>
  <c r="Z11" i="67"/>
  <c r="U20" i="67"/>
  <c r="AD72" i="59"/>
  <c r="AD12" i="59"/>
  <c r="AL32" i="80"/>
  <c r="AL33" i="80"/>
  <c r="AD13" i="30"/>
  <c r="AD12" i="30" s="1"/>
  <c r="AD46" i="30"/>
  <c r="AD12" i="70"/>
  <c r="AE12" i="70"/>
  <c r="AM93" i="80" s="1"/>
  <c r="AL93" i="80"/>
  <c r="AI93" i="80"/>
  <c r="AJ93" i="80"/>
  <c r="AK93" i="80"/>
  <c r="AL88" i="80"/>
  <c r="AI88" i="80"/>
  <c r="AM41" i="80"/>
  <c r="AM34" i="80"/>
  <c r="AD63" i="59"/>
  <c r="AE14" i="59"/>
  <c r="AD16" i="59"/>
  <c r="AD37" i="59"/>
  <c r="AE10" i="48"/>
  <c r="K5" i="84" l="1"/>
  <c r="E4"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E64" i="82" s="1"/>
  <c r="E67" i="82" s="1"/>
  <c r="E30" i="82" s="1"/>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45" i="70"/>
  <c r="AE23" i="70" s="1"/>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Q152" i="48"/>
  <c r="M152" i="48"/>
  <c r="L152" i="48"/>
  <c r="K152" i="48"/>
  <c r="J152" i="48"/>
  <c r="K151" i="48"/>
  <c r="J151" i="48"/>
  <c r="I151" i="48"/>
  <c r="N149" i="48"/>
  <c r="M148" i="48"/>
  <c r="K148" i="48"/>
  <c r="G148" i="48"/>
  <c r="L147" i="48"/>
  <c r="J147" i="48"/>
  <c r="H147" i="48"/>
  <c r="G147" i="48"/>
  <c r="S146" i="48"/>
  <c r="I146" i="48"/>
  <c r="G146" i="48"/>
  <c r="AD139" i="48"/>
  <c r="J139" i="48"/>
  <c r="Y137" i="48"/>
  <c r="U136" i="48"/>
  <c r="AD134" i="48"/>
  <c r="AC134" i="48"/>
  <c r="AB134" i="48"/>
  <c r="AA134" i="48"/>
  <c r="Z134" i="48"/>
  <c r="Y134" i="48"/>
  <c r="X134" i="48"/>
  <c r="W134" i="48"/>
  <c r="V134" i="48"/>
  <c r="U134" i="48"/>
  <c r="T134" i="48"/>
  <c r="S134" i="48"/>
  <c r="R134" i="48"/>
  <c r="Q134" i="48"/>
  <c r="P134" i="48"/>
  <c r="P152" i="48" s="1"/>
  <c r="O134" i="48"/>
  <c r="O152" i="48" s="1"/>
  <c r="N134" i="48"/>
  <c r="N152" i="48" s="1"/>
  <c r="M134" i="48"/>
  <c r="L134" i="48"/>
  <c r="K134" i="48"/>
  <c r="J134" i="48"/>
  <c r="I134" i="48"/>
  <c r="I152" i="48" s="1"/>
  <c r="H134" i="48"/>
  <c r="H152" i="48" s="1"/>
  <c r="G134" i="48"/>
  <c r="G152" i="48" s="1"/>
  <c r="F134" i="48"/>
  <c r="AD133" i="48"/>
  <c r="AC133" i="48"/>
  <c r="AB133" i="48"/>
  <c r="AA133" i="48"/>
  <c r="Z133" i="48"/>
  <c r="Y133" i="48"/>
  <c r="X133" i="48"/>
  <c r="W133" i="48"/>
  <c r="V133" i="48"/>
  <c r="U133" i="48"/>
  <c r="T133" i="48"/>
  <c r="S133" i="48"/>
  <c r="S151" i="48" s="1"/>
  <c r="R133" i="48"/>
  <c r="Q133" i="48"/>
  <c r="P133" i="48"/>
  <c r="O133" i="48"/>
  <c r="O151" i="48" s="1"/>
  <c r="N133" i="48"/>
  <c r="M133" i="48"/>
  <c r="M151" i="48" s="1"/>
  <c r="L133" i="48"/>
  <c r="L151" i="48" s="1"/>
  <c r="K133" i="48"/>
  <c r="J133" i="48"/>
  <c r="I133" i="48"/>
  <c r="H133" i="48"/>
  <c r="H151" i="48" s="1"/>
  <c r="G133" i="48"/>
  <c r="G151" i="48" s="1"/>
  <c r="F133" i="48"/>
  <c r="AC132" i="48"/>
  <c r="AB132" i="48"/>
  <c r="AB137" i="48" s="1"/>
  <c r="W132" i="48"/>
  <c r="V132" i="48"/>
  <c r="U132" i="48"/>
  <c r="Q132" i="48"/>
  <c r="O132" i="48"/>
  <c r="I132" i="48"/>
  <c r="H132" i="48"/>
  <c r="H150" i="48" s="1"/>
  <c r="G132" i="48"/>
  <c r="G150" i="48" s="1"/>
  <c r="AD131" i="48"/>
  <c r="AC131" i="48"/>
  <c r="AB131" i="48"/>
  <c r="AA131" i="48"/>
  <c r="Z131" i="48"/>
  <c r="Y131" i="48"/>
  <c r="X131" i="48"/>
  <c r="W131" i="48"/>
  <c r="W127" i="48" s="1"/>
  <c r="W136" i="48" s="1"/>
  <c r="V131" i="48"/>
  <c r="U131" i="48"/>
  <c r="U127" i="48" s="1"/>
  <c r="T131" i="48"/>
  <c r="S131" i="48"/>
  <c r="S149" i="48" s="1"/>
  <c r="R131" i="48"/>
  <c r="R149" i="48" s="1"/>
  <c r="Q131" i="48"/>
  <c r="Q149" i="48" s="1"/>
  <c r="P131" i="48"/>
  <c r="P149" i="48" s="1"/>
  <c r="O131" i="48"/>
  <c r="O149" i="48" s="1"/>
  <c r="N131" i="48"/>
  <c r="M131" i="48"/>
  <c r="M149" i="48" s="1"/>
  <c r="L131" i="48"/>
  <c r="K131" i="48"/>
  <c r="K149" i="48" s="1"/>
  <c r="J131" i="48"/>
  <c r="I131" i="48"/>
  <c r="J149" i="48" s="1"/>
  <c r="H131" i="48"/>
  <c r="G131" i="48"/>
  <c r="F131" i="48"/>
  <c r="AD130" i="48"/>
  <c r="AC130" i="48"/>
  <c r="AB130" i="48"/>
  <c r="AA130" i="48"/>
  <c r="Z130" i="48"/>
  <c r="Y130" i="48"/>
  <c r="X130" i="48"/>
  <c r="W130" i="48"/>
  <c r="V130" i="48"/>
  <c r="U130" i="48"/>
  <c r="T130" i="48"/>
  <c r="T127" i="48" s="1"/>
  <c r="S130" i="48"/>
  <c r="R130" i="48"/>
  <c r="R148" i="48" s="1"/>
  <c r="Q130" i="48"/>
  <c r="P130" i="48"/>
  <c r="P148" i="48" s="1"/>
  <c r="O130" i="48"/>
  <c r="O148" i="48" s="1"/>
  <c r="N130" i="48"/>
  <c r="N148" i="48" s="1"/>
  <c r="M130" i="48"/>
  <c r="L130" i="48"/>
  <c r="L148" i="48" s="1"/>
  <c r="K130" i="48"/>
  <c r="J130" i="48"/>
  <c r="J148" i="48" s="1"/>
  <c r="I130" i="48"/>
  <c r="H130" i="48"/>
  <c r="I148" i="48" s="1"/>
  <c r="G130" i="48"/>
  <c r="F130" i="48"/>
  <c r="F127" i="48" s="1"/>
  <c r="AD129" i="48"/>
  <c r="AC129" i="48"/>
  <c r="AC127" i="48" s="1"/>
  <c r="AB129" i="48"/>
  <c r="AA129" i="48"/>
  <c r="AA127" i="48" s="1"/>
  <c r="Z129" i="48"/>
  <c r="Y129" i="48"/>
  <c r="X129" i="48"/>
  <c r="W129" i="48"/>
  <c r="V129" i="48"/>
  <c r="U129" i="48"/>
  <c r="T129" i="48"/>
  <c r="S129" i="48"/>
  <c r="R129" i="48"/>
  <c r="Q129" i="48"/>
  <c r="P129" i="48"/>
  <c r="O129" i="48"/>
  <c r="N129" i="48"/>
  <c r="M129" i="48"/>
  <c r="M147" i="48" s="1"/>
  <c r="L129" i="48"/>
  <c r="K129" i="48"/>
  <c r="K147" i="48" s="1"/>
  <c r="J129" i="48"/>
  <c r="I129" i="48"/>
  <c r="I147" i="48" s="1"/>
  <c r="H129" i="48"/>
  <c r="G129" i="48"/>
  <c r="F129" i="48"/>
  <c r="AD128" i="48"/>
  <c r="AC128" i="48"/>
  <c r="AB128" i="48"/>
  <c r="AB127" i="48" s="1"/>
  <c r="AA128" i="48"/>
  <c r="AA132" i="48" s="1"/>
  <c r="Z128" i="48"/>
  <c r="Y128" i="48"/>
  <c r="Y132" i="48" s="1"/>
  <c r="X128" i="48"/>
  <c r="X127" i="48" s="1"/>
  <c r="W128" i="48"/>
  <c r="V128" i="48"/>
  <c r="U128" i="48"/>
  <c r="T128" i="48"/>
  <c r="T132" i="48" s="1"/>
  <c r="S128" i="48"/>
  <c r="S132" i="48" s="1"/>
  <c r="R128" i="48"/>
  <c r="Q128" i="48"/>
  <c r="P128" i="48"/>
  <c r="O128" i="48"/>
  <c r="N128" i="48"/>
  <c r="N132" i="48" s="1"/>
  <c r="O150" i="48" s="1"/>
  <c r="M128" i="48"/>
  <c r="L128" i="48"/>
  <c r="L132" i="48" s="1"/>
  <c r="L150" i="48" s="1"/>
  <c r="K128" i="48"/>
  <c r="K132" i="48" s="1"/>
  <c r="J128" i="48"/>
  <c r="I128" i="48"/>
  <c r="H128" i="48"/>
  <c r="H146" i="48" s="1"/>
  <c r="G128" i="48"/>
  <c r="F128" i="48"/>
  <c r="F132" i="48" s="1"/>
  <c r="Y127" i="48"/>
  <c r="V127" i="48"/>
  <c r="M127" i="48"/>
  <c r="I127" i="48"/>
  <c r="Y123" i="48"/>
  <c r="Y122" i="48"/>
  <c r="AC120" i="48"/>
  <c r="AN109" i="48"/>
  <c r="AM109" i="48"/>
  <c r="AL109" i="48"/>
  <c r="AK109" i="48"/>
  <c r="AJ109" i="48"/>
  <c r="AI109" i="48"/>
  <c r="AH109"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4" i="48"/>
  <c r="H103" i="48"/>
  <c r="E102" i="48"/>
  <c r="K96" i="48"/>
  <c r="J96" i="48"/>
  <c r="I96" i="48"/>
  <c r="H96" i="48"/>
  <c r="G96" i="48"/>
  <c r="F96" i="48"/>
  <c r="F104" i="48" s="1"/>
  <c r="E96" i="48"/>
  <c r="L95" i="48"/>
  <c r="M94" i="48"/>
  <c r="L94" i="48"/>
  <c r="K94" i="48"/>
  <c r="J94" i="48"/>
  <c r="I94" i="48"/>
  <c r="H94" i="48"/>
  <c r="G94" i="48"/>
  <c r="F94" i="48"/>
  <c r="F102" i="48" s="1"/>
  <c r="E94" i="48"/>
  <c r="K93" i="48"/>
  <c r="J93" i="48"/>
  <c r="I93" i="48"/>
  <c r="H93" i="48"/>
  <c r="G93" i="48"/>
  <c r="F93" i="48"/>
  <c r="E93" i="48"/>
  <c r="F81" i="48"/>
  <c r="E81" i="48"/>
  <c r="F79" i="48"/>
  <c r="E79" i="48"/>
  <c r="F78" i="48"/>
  <c r="F101" i="48" s="1"/>
  <c r="E78" i="48"/>
  <c r="Q66" i="48"/>
  <c r="P66" i="48"/>
  <c r="O66" i="48"/>
  <c r="N66" i="48"/>
  <c r="M66" i="48"/>
  <c r="M96" i="48" s="1"/>
  <c r="L66" i="48"/>
  <c r="L96" i="48" s="1"/>
  <c r="V63" i="48"/>
  <c r="U63" i="48"/>
  <c r="T63" i="48"/>
  <c r="S63" i="48"/>
  <c r="R63" i="48"/>
  <c r="Q63" i="48"/>
  <c r="P63" i="48"/>
  <c r="O63" i="48"/>
  <c r="N63" i="48"/>
  <c r="M63" i="48"/>
  <c r="M95" i="48" s="1"/>
  <c r="L63" i="48"/>
  <c r="K63" i="48"/>
  <c r="K95" i="48" s="1"/>
  <c r="J63" i="48"/>
  <c r="J95" i="48" s="1"/>
  <c r="I63" i="48"/>
  <c r="I95" i="48" s="1"/>
  <c r="H63" i="48"/>
  <c r="H95" i="48" s="1"/>
  <c r="G63" i="48"/>
  <c r="G95" i="48" s="1"/>
  <c r="F63" i="48"/>
  <c r="F95" i="48" s="1"/>
  <c r="E63" i="48"/>
  <c r="E95" i="48" s="1"/>
  <c r="S61" i="48"/>
  <c r="R61" i="48"/>
  <c r="P61" i="48"/>
  <c r="K61" i="48"/>
  <c r="J61" i="48"/>
  <c r="I61" i="48"/>
  <c r="H61" i="48"/>
  <c r="U58" i="48"/>
  <c r="U61" i="48" s="1"/>
  <c r="T58" i="48"/>
  <c r="T61" i="48" s="1"/>
  <c r="S58" i="48"/>
  <c r="R58" i="48"/>
  <c r="Q58" i="48"/>
  <c r="Q61" i="48" s="1"/>
  <c r="P58" i="48"/>
  <c r="O58" i="48"/>
  <c r="N58" i="48"/>
  <c r="M58" i="48"/>
  <c r="M93" i="48" s="1"/>
  <c r="L58" i="48"/>
  <c r="L93" i="48" s="1"/>
  <c r="AJ53" i="48"/>
  <c r="AI53" i="48"/>
  <c r="AH53" i="48"/>
  <c r="AJ50" i="48"/>
  <c r="AI50" i="48"/>
  <c r="AH50" i="48"/>
  <c r="AG50" i="48"/>
  <c r="AF50" i="48"/>
  <c r="AE50" i="48"/>
  <c r="AD50" i="48"/>
  <c r="AC50" i="48"/>
  <c r="AB50" i="48"/>
  <c r="AA50" i="48"/>
  <c r="Z50" i="48"/>
  <c r="Y50" i="48"/>
  <c r="J37" i="48"/>
  <c r="I37" i="48"/>
  <c r="I74" i="48" s="1"/>
  <c r="I81" i="48" s="1"/>
  <c r="AA30" i="48"/>
  <c r="Z30" i="48"/>
  <c r="Y30" i="48"/>
  <c r="P30" i="48"/>
  <c r="M30" i="48"/>
  <c r="L30" i="48"/>
  <c r="K30" i="48"/>
  <c r="T29" i="48"/>
  <c r="S29" i="48"/>
  <c r="R29" i="48"/>
  <c r="F29" i="48"/>
  <c r="AC27" i="48"/>
  <c r="AC139" i="48" s="1"/>
  <c r="AB27" i="48"/>
  <c r="AB139" i="48" s="1"/>
  <c r="AA27" i="48"/>
  <c r="AA139" i="48" s="1"/>
  <c r="Z27" i="48"/>
  <c r="Z139" i="48" s="1"/>
  <c r="Y27" i="48"/>
  <c r="Y139" i="48" s="1"/>
  <c r="X27" i="48"/>
  <c r="X139" i="48" s="1"/>
  <c r="W27" i="48"/>
  <c r="W139" i="48" s="1"/>
  <c r="V27" i="48"/>
  <c r="V139" i="48" s="1"/>
  <c r="U27" i="48"/>
  <c r="U139" i="48" s="1"/>
  <c r="T27" i="48"/>
  <c r="T139" i="48" s="1"/>
  <c r="S27" i="48"/>
  <c r="S139" i="48" s="1"/>
  <c r="R27" i="48"/>
  <c r="R139" i="48" s="1"/>
  <c r="Q27" i="48"/>
  <c r="Q139" i="48" s="1"/>
  <c r="P27" i="48"/>
  <c r="P139" i="48" s="1"/>
  <c r="O27" i="48"/>
  <c r="O139" i="48" s="1"/>
  <c r="N27" i="48"/>
  <c r="N139" i="48" s="1"/>
  <c r="M27" i="48"/>
  <c r="M139" i="48" s="1"/>
  <c r="L27" i="48"/>
  <c r="L139" i="48" s="1"/>
  <c r="K27" i="48"/>
  <c r="K139" i="48" s="1"/>
  <c r="J27" i="48"/>
  <c r="I27" i="48"/>
  <c r="I139" i="48" s="1"/>
  <c r="H27" i="48"/>
  <c r="H139" i="48" s="1"/>
  <c r="G27" i="48"/>
  <c r="G139" i="48" s="1"/>
  <c r="F27" i="48"/>
  <c r="F139" i="48" s="1"/>
  <c r="AD26" i="48"/>
  <c r="AC26" i="48"/>
  <c r="AC138" i="48" s="1"/>
  <c r="AB26" i="48"/>
  <c r="AB138" i="48" s="1"/>
  <c r="AA26" i="48"/>
  <c r="AA138" i="48" s="1"/>
  <c r="Z26" i="48"/>
  <c r="Z138" i="48" s="1"/>
  <c r="Y26" i="48"/>
  <c r="Y138" i="48" s="1"/>
  <c r="X26" i="48"/>
  <c r="X138" i="48" s="1"/>
  <c r="W26" i="48"/>
  <c r="W138" i="48" s="1"/>
  <c r="V26" i="48"/>
  <c r="V138" i="48" s="1"/>
  <c r="U26" i="48"/>
  <c r="U138" i="48" s="1"/>
  <c r="T26" i="48"/>
  <c r="T138" i="48" s="1"/>
  <c r="S26" i="48"/>
  <c r="S138" i="48" s="1"/>
  <c r="R26" i="48"/>
  <c r="R138" i="48" s="1"/>
  <c r="Q26" i="48"/>
  <c r="Q138" i="48" s="1"/>
  <c r="P26" i="48"/>
  <c r="O26" i="48"/>
  <c r="O138" i="48" s="1"/>
  <c r="N26" i="48"/>
  <c r="N138" i="48" s="1"/>
  <c r="M26" i="48"/>
  <c r="M138" i="48" s="1"/>
  <c r="L26" i="48"/>
  <c r="L138" i="48" s="1"/>
  <c r="K26" i="48"/>
  <c r="K138" i="48" s="1"/>
  <c r="J26" i="48"/>
  <c r="J138" i="48" s="1"/>
  <c r="I26" i="48"/>
  <c r="I138" i="48" s="1"/>
  <c r="H26" i="48"/>
  <c r="H138" i="48" s="1"/>
  <c r="G26" i="48"/>
  <c r="G138" i="48" s="1"/>
  <c r="F26" i="48"/>
  <c r="F138" i="48" s="1"/>
  <c r="AD25" i="48"/>
  <c r="AC25" i="48"/>
  <c r="AC137" i="48" s="1"/>
  <c r="AB25" i="48"/>
  <c r="AA25" i="48"/>
  <c r="AA137" i="48" s="1"/>
  <c r="Z25" i="48"/>
  <c r="Y25" i="48"/>
  <c r="X25" i="48"/>
  <c r="W25" i="48"/>
  <c r="W137" i="48" s="1"/>
  <c r="V25" i="48"/>
  <c r="V137" i="48" s="1"/>
  <c r="U25" i="48"/>
  <c r="U137" i="48" s="1"/>
  <c r="T25" i="48"/>
  <c r="T137" i="48" s="1"/>
  <c r="S25" i="48"/>
  <c r="S137" i="48" s="1"/>
  <c r="R25" i="48"/>
  <c r="Q25" i="48"/>
  <c r="Q137" i="48" s="1"/>
  <c r="P25" i="48"/>
  <c r="O25" i="48"/>
  <c r="O137" i="48" s="1"/>
  <c r="N25" i="48"/>
  <c r="M25" i="48"/>
  <c r="L25" i="48"/>
  <c r="L137" i="48" s="1"/>
  <c r="K25" i="48"/>
  <c r="K137" i="48" s="1"/>
  <c r="J25" i="48"/>
  <c r="I25" i="48"/>
  <c r="I137" i="48" s="1"/>
  <c r="H25" i="48"/>
  <c r="G25" i="48"/>
  <c r="G137" i="48" s="1"/>
  <c r="F25" i="48"/>
  <c r="F137" i="48" s="1"/>
  <c r="AN24" i="48"/>
  <c r="AM24" i="48"/>
  <c r="AL24" i="48"/>
  <c r="AK24" i="48"/>
  <c r="AJ24" i="48"/>
  <c r="AI24" i="48"/>
  <c r="AH24" i="48"/>
  <c r="AG24" i="48"/>
  <c r="AF24" i="48"/>
  <c r="AE24" i="48"/>
  <c r="AD24" i="48"/>
  <c r="AC24" i="48"/>
  <c r="AB24" i="48"/>
  <c r="AA24" i="48"/>
  <c r="Z24" i="48"/>
  <c r="AD23" i="48"/>
  <c r="AC23" i="48"/>
  <c r="AB23" i="48"/>
  <c r="AA23" i="48"/>
  <c r="Z23" i="48"/>
  <c r="Y23" i="48"/>
  <c r="Y136" i="48" s="1"/>
  <c r="X23" i="48"/>
  <c r="X136" i="48" s="1"/>
  <c r="W23" i="48"/>
  <c r="W21" i="48" s="1"/>
  <c r="V23" i="48"/>
  <c r="V136" i="48" s="1"/>
  <c r="U23" i="48"/>
  <c r="T23" i="48"/>
  <c r="T136" i="48" s="1"/>
  <c r="S23" i="48"/>
  <c r="R23" i="48"/>
  <c r="Q23" i="48"/>
  <c r="P23" i="48"/>
  <c r="O23" i="48"/>
  <c r="N23" i="48"/>
  <c r="M23" i="48"/>
  <c r="L23" i="48"/>
  <c r="K23" i="48"/>
  <c r="J23" i="48"/>
  <c r="I23" i="48"/>
  <c r="I136" i="48" s="1"/>
  <c r="H23" i="48"/>
  <c r="G23" i="48"/>
  <c r="F23" i="48"/>
  <c r="F136" i="48" s="1"/>
  <c r="X21" i="48"/>
  <c r="U21" i="48"/>
  <c r="S21" i="48"/>
  <c r="J21" i="48"/>
  <c r="G21" i="48"/>
  <c r="AK18" i="48"/>
  <c r="AG18" i="48"/>
  <c r="AE18" i="48"/>
  <c r="AC17" i="48"/>
  <c r="AC124" i="48" s="1"/>
  <c r="AB17" i="48"/>
  <c r="AB124" i="48" s="1"/>
  <c r="AA17" i="48"/>
  <c r="AA124" i="48" s="1"/>
  <c r="Z17" i="48"/>
  <c r="Z124" i="48" s="1"/>
  <c r="Y17" i="48"/>
  <c r="Y124" i="48" s="1"/>
  <c r="X17" i="48"/>
  <c r="X124" i="48" s="1"/>
  <c r="W17" i="48"/>
  <c r="W124" i="48" s="1"/>
  <c r="V17" i="48"/>
  <c r="V124" i="48" s="1"/>
  <c r="U17" i="48"/>
  <c r="U124" i="48" s="1"/>
  <c r="T17" i="48"/>
  <c r="T124" i="48" s="1"/>
  <c r="S17" i="48"/>
  <c r="S124" i="48" s="1"/>
  <c r="R17" i="48"/>
  <c r="R124" i="48" s="1"/>
  <c r="Q17" i="48"/>
  <c r="Q124" i="48" s="1"/>
  <c r="P17" i="48"/>
  <c r="P124" i="48" s="1"/>
  <c r="O17" i="48"/>
  <c r="O124" i="48" s="1"/>
  <c r="N17" i="48"/>
  <c r="N124" i="48" s="1"/>
  <c r="I104" i="48" s="1"/>
  <c r="J104" i="48" s="1"/>
  <c r="K104" i="48" s="1"/>
  <c r="L104" i="48" s="1"/>
  <c r="M17" i="48"/>
  <c r="M124" i="48" s="1"/>
  <c r="H104" i="48" s="1"/>
  <c r="L17" i="48"/>
  <c r="L124" i="48" s="1"/>
  <c r="K17" i="48"/>
  <c r="K124" i="48" s="1"/>
  <c r="J17" i="48"/>
  <c r="J124" i="48" s="1"/>
  <c r="I17" i="48"/>
  <c r="I124" i="48" s="1"/>
  <c r="H17" i="48"/>
  <c r="H124" i="48" s="1"/>
  <c r="G17" i="48"/>
  <c r="F17" i="48"/>
  <c r="AD123" i="48"/>
  <c r="AE123" i="48" s="1"/>
  <c r="AF123" i="48" s="1"/>
  <c r="AG123" i="48" s="1"/>
  <c r="AH123" i="48" s="1"/>
  <c r="AI123" i="48" s="1"/>
  <c r="AJ123" i="48" s="1"/>
  <c r="AK123" i="48" s="1"/>
  <c r="AL123" i="48" s="1"/>
  <c r="AM123" i="48" s="1"/>
  <c r="AN123" i="48" s="1"/>
  <c r="AC15" i="48"/>
  <c r="AC123" i="48" s="1"/>
  <c r="AB15" i="48"/>
  <c r="AB123" i="48" s="1"/>
  <c r="AA15" i="48"/>
  <c r="AA123" i="48" s="1"/>
  <c r="Z15" i="48"/>
  <c r="Z123" i="48" s="1"/>
  <c r="Y15" i="48"/>
  <c r="X15" i="48"/>
  <c r="X123" i="48" s="1"/>
  <c r="W15" i="48"/>
  <c r="W123" i="48" s="1"/>
  <c r="V15" i="48"/>
  <c r="V123" i="48" s="1"/>
  <c r="U15" i="48"/>
  <c r="U123" i="48" s="1"/>
  <c r="T15" i="48"/>
  <c r="T123" i="48" s="1"/>
  <c r="S15" i="48"/>
  <c r="S123" i="48" s="1"/>
  <c r="R15" i="48"/>
  <c r="R123" i="48" s="1"/>
  <c r="Q15" i="48"/>
  <c r="Q123" i="48" s="1"/>
  <c r="P15" i="48"/>
  <c r="P123" i="48" s="1"/>
  <c r="O15" i="48"/>
  <c r="O123" i="48" s="1"/>
  <c r="N15" i="48"/>
  <c r="N123" i="48" s="1"/>
  <c r="M15" i="48"/>
  <c r="M123" i="48" s="1"/>
  <c r="L15" i="48"/>
  <c r="L123" i="48" s="1"/>
  <c r="K15" i="48"/>
  <c r="K123" i="48" s="1"/>
  <c r="J15" i="48"/>
  <c r="J123" i="48" s="1"/>
  <c r="I15" i="48"/>
  <c r="I123" i="48" s="1"/>
  <c r="H15" i="48"/>
  <c r="G15" i="48"/>
  <c r="F15" i="48"/>
  <c r="AD13" i="48"/>
  <c r="AC13" i="48"/>
  <c r="AB13" i="48"/>
  <c r="AA13" i="48"/>
  <c r="AA122" i="48" s="1"/>
  <c r="Z13" i="48"/>
  <c r="Y13" i="48"/>
  <c r="X13" i="48"/>
  <c r="X30" i="48" s="1"/>
  <c r="W13" i="48"/>
  <c r="W122" i="48" s="1"/>
  <c r="V13" i="48"/>
  <c r="V122" i="48" s="1"/>
  <c r="U13" i="48"/>
  <c r="U122" i="48" s="1"/>
  <c r="T13" i="48"/>
  <c r="S13" i="48"/>
  <c r="S122" i="48" s="1"/>
  <c r="R13" i="48"/>
  <c r="Q13" i="48"/>
  <c r="Q9" i="48" s="1"/>
  <c r="P13" i="48"/>
  <c r="O13" i="48"/>
  <c r="N13" i="48"/>
  <c r="M13" i="48"/>
  <c r="L13" i="48"/>
  <c r="K13" i="48"/>
  <c r="K122" i="48" s="1"/>
  <c r="J13" i="48"/>
  <c r="J30" i="48" s="1"/>
  <c r="I13" i="48"/>
  <c r="I122" i="48" s="1"/>
  <c r="H13" i="48"/>
  <c r="G13" i="48"/>
  <c r="G30" i="48" s="1"/>
  <c r="F13" i="48"/>
  <c r="AD10" i="48"/>
  <c r="AD29" i="48" s="1"/>
  <c r="AC10" i="48"/>
  <c r="AC29" i="48" s="1"/>
  <c r="AB10" i="48"/>
  <c r="AB120" i="48" s="1"/>
  <c r="AA10" i="48"/>
  <c r="Z10" i="48"/>
  <c r="Y10" i="48"/>
  <c r="Y120" i="48" s="1"/>
  <c r="X10" i="48"/>
  <c r="W10" i="48"/>
  <c r="V10" i="48"/>
  <c r="U10" i="48"/>
  <c r="U9" i="48" s="1"/>
  <c r="T10" i="48"/>
  <c r="T120" i="48" s="1"/>
  <c r="S10" i="48"/>
  <c r="S9" i="48" s="1"/>
  <c r="R10" i="48"/>
  <c r="Q10" i="48"/>
  <c r="Q29" i="48" s="1"/>
  <c r="P10" i="48"/>
  <c r="P29" i="48" s="1"/>
  <c r="O10" i="48"/>
  <c r="O29" i="48" s="1"/>
  <c r="N10" i="48"/>
  <c r="M10" i="48"/>
  <c r="L10" i="48"/>
  <c r="K10" i="48"/>
  <c r="J10" i="48"/>
  <c r="I10" i="48"/>
  <c r="H10" i="48"/>
  <c r="G10" i="48"/>
  <c r="G9" i="48" s="1"/>
  <c r="F10" i="48"/>
  <c r="AD9" i="48"/>
  <c r="AC9" i="48"/>
  <c r="AB9" i="48"/>
  <c r="Z9" i="48"/>
  <c r="T9" i="48"/>
  <c r="R9" i="48"/>
  <c r="P9" i="48"/>
  <c r="O9" i="48"/>
  <c r="N9" i="48"/>
  <c r="L9" i="48"/>
  <c r="F9" i="48"/>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I16" i="35" s="1"/>
  <c r="J18" i="55" s="1"/>
  <c r="J115" i="55" s="1"/>
  <c r="AJ30" i="59"/>
  <c r="H16" i="35" s="1"/>
  <c r="I18" i="55" s="1"/>
  <c r="AI30" i="59"/>
  <c r="G16" i="35" s="1"/>
  <c r="H18" i="55" s="1"/>
  <c r="H115" i="55" s="1"/>
  <c r="AH30" i="59"/>
  <c r="F16" i="35" s="1"/>
  <c r="G18" i="55" s="1"/>
  <c r="AG30" i="59"/>
  <c r="E16" i="35" s="1"/>
  <c r="F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D16" i="35" s="1"/>
  <c r="E18" i="55" s="1"/>
  <c r="E115" i="55" s="1"/>
  <c r="S25" i="59"/>
  <c r="R25" i="59"/>
  <c r="P25" i="59"/>
  <c r="N25" i="59"/>
  <c r="AF24" i="59"/>
  <c r="D15" i="35" s="1"/>
  <c r="E17" i="55" s="1"/>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0" i="67"/>
  <c r="AF20" i="67"/>
  <c r="AE20" i="67"/>
  <c r="AD20" i="67"/>
  <c r="AC20" i="67"/>
  <c r="AB20" i="67"/>
  <c r="X20" i="67"/>
  <c r="V20" i="67"/>
  <c r="T20" i="67"/>
  <c r="S20" i="67"/>
  <c r="R20" i="67"/>
  <c r="AH11" i="67"/>
  <c r="AG11" i="67"/>
  <c r="AF11" i="67"/>
  <c r="AD11" i="67"/>
  <c r="AC11" i="67"/>
  <c r="AB11" i="67"/>
  <c r="AA11" i="67"/>
  <c r="Y11" i="67"/>
  <c r="X11"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N12" i="20"/>
  <c r="AM12" i="20"/>
  <c r="AC12" i="20"/>
  <c r="AB12" i="20"/>
  <c r="AA12" i="20"/>
  <c r="Z12" i="20"/>
  <c r="Y12" i="20"/>
  <c r="X12" i="20"/>
  <c r="W12" i="20"/>
  <c r="V12" i="20"/>
  <c r="U12" i="20"/>
  <c r="T12" i="20"/>
  <c r="S12" i="20"/>
  <c r="R12" i="20"/>
  <c r="Q12" i="20"/>
  <c r="P12" i="20"/>
  <c r="O12" i="20"/>
  <c r="N12" i="20"/>
  <c r="AQ10" i="20"/>
  <c r="AP10" i="20"/>
  <c r="AO10" i="20"/>
  <c r="AN10" i="20"/>
  <c r="AM10" i="20"/>
  <c r="AL10" i="20"/>
  <c r="AK10" i="20"/>
  <c r="AJ10" i="20"/>
  <c r="AE10" i="20"/>
  <c r="AD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M9" i="20"/>
  <c r="AL9" i="20"/>
  <c r="AK9" i="20"/>
  <c r="AK12" i="20" s="1"/>
  <c r="AJ9" i="20"/>
  <c r="AJ12" i="20" s="1"/>
  <c r="AI9" i="20"/>
  <c r="AH9" i="20"/>
  <c r="AH12" i="20" s="1"/>
  <c r="AG9" i="20"/>
  <c r="AF9" i="20"/>
  <c r="AG12" i="20" s="1"/>
  <c r="AE9" i="20"/>
  <c r="AE12" i="20" s="1"/>
  <c r="AE14" i="20" s="1"/>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I24" i="35"/>
  <c r="H24" i="35"/>
  <c r="G24" i="35"/>
  <c r="F24" i="35"/>
  <c r="E24" i="35"/>
  <c r="D24" i="35"/>
  <c r="C24" i="35"/>
  <c r="I23" i="35"/>
  <c r="H23" i="35"/>
  <c r="I25" i="55" s="1"/>
  <c r="G23" i="35"/>
  <c r="F23" i="35"/>
  <c r="E23" i="35"/>
  <c r="D23" i="35"/>
  <c r="E25" i="55" s="1"/>
  <c r="E122" i="55" s="1"/>
  <c r="C23" i="35"/>
  <c r="D25" i="55" s="1"/>
  <c r="D122" i="55" s="1"/>
  <c r="I15" i="35"/>
  <c r="J17" i="55" s="1"/>
  <c r="H15" i="35"/>
  <c r="I17" i="55" s="1"/>
  <c r="G15" i="35"/>
  <c r="H17" i="55" s="1"/>
  <c r="F15" i="35"/>
  <c r="G17" i="55" s="1"/>
  <c r="E15" i="35"/>
  <c r="F17" i="55" s="1"/>
  <c r="I14" i="35"/>
  <c r="H14" i="35"/>
  <c r="G14" i="35"/>
  <c r="F14" i="35"/>
  <c r="E14" i="35"/>
  <c r="D14" i="35"/>
  <c r="C14" i="35"/>
  <c r="D16" i="55" s="1"/>
  <c r="D80" i="55" s="1"/>
  <c r="I13" i="35"/>
  <c r="J15" i="55" s="1"/>
  <c r="H13" i="35"/>
  <c r="G13" i="35"/>
  <c r="F13" i="35"/>
  <c r="G15" i="55" s="1"/>
  <c r="G79" i="55" s="1"/>
  <c r="E13" i="35"/>
  <c r="F15" i="55" s="1"/>
  <c r="D13" i="35"/>
  <c r="E15" i="55" s="1"/>
  <c r="C13" i="35"/>
  <c r="C12" i="35"/>
  <c r="D14" i="55" s="1"/>
  <c r="I9" i="35"/>
  <c r="H9" i="35"/>
  <c r="G9" i="35"/>
  <c r="F9" i="35"/>
  <c r="E9" i="35"/>
  <c r="D9" i="35"/>
  <c r="C9" i="35"/>
  <c r="I7" i="35"/>
  <c r="H7" i="35"/>
  <c r="G7" i="35"/>
  <c r="H9" i="55" s="1"/>
  <c r="F7" i="35"/>
  <c r="G9" i="55" s="1"/>
  <c r="E7" i="35"/>
  <c r="F9" i="55" s="1"/>
  <c r="D7" i="35"/>
  <c r="I5" i="35"/>
  <c r="J7" i="55" s="1"/>
  <c r="H5" i="35"/>
  <c r="G5" i="35"/>
  <c r="F5" i="35"/>
  <c r="E5" i="35"/>
  <c r="D5" i="35"/>
  <c r="E7" i="55" s="1"/>
  <c r="C5" i="35"/>
  <c r="C4" i="3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D113" i="55"/>
  <c r="F97" i="55"/>
  <c r="E89" i="55"/>
  <c r="E73" i="55"/>
  <c r="H32" i="55"/>
  <c r="H129" i="55" s="1"/>
  <c r="G32" i="55"/>
  <c r="G129" i="55" s="1"/>
  <c r="F32" i="55"/>
  <c r="F129" i="55" s="1"/>
  <c r="E32" i="55"/>
  <c r="E129" i="55" s="1"/>
  <c r="D32" i="55"/>
  <c r="D97" i="55" s="1"/>
  <c r="H31" i="55"/>
  <c r="H96" i="55" s="1"/>
  <c r="G31" i="55"/>
  <c r="G96" i="55" s="1"/>
  <c r="F31" i="55"/>
  <c r="E31" i="55"/>
  <c r="D31" i="55"/>
  <c r="D128" i="55" s="1"/>
  <c r="H30" i="55"/>
  <c r="H127" i="55" s="1"/>
  <c r="G30" i="55"/>
  <c r="G127" i="55" s="1"/>
  <c r="F30" i="55"/>
  <c r="F95" i="55" s="1"/>
  <c r="E30" i="55"/>
  <c r="E95" i="55" s="1"/>
  <c r="D30" i="55"/>
  <c r="J29" i="55"/>
  <c r="J94" i="55" s="1"/>
  <c r="G29" i="55"/>
  <c r="J28" i="55"/>
  <c r="J125" i="55" s="1"/>
  <c r="I28" i="55"/>
  <c r="I125" i="55" s="1"/>
  <c r="H28" i="55"/>
  <c r="H93" i="55" s="1"/>
  <c r="G28" i="55"/>
  <c r="G93" i="55" s="1"/>
  <c r="F28" i="55"/>
  <c r="E28" i="55"/>
  <c r="E125" i="55" s="1"/>
  <c r="D28" i="55"/>
  <c r="D125" i="55" s="1"/>
  <c r="J25" i="55"/>
  <c r="J122" i="55" s="1"/>
  <c r="H25" i="55"/>
  <c r="H122" i="55" s="1"/>
  <c r="G25" i="55"/>
  <c r="G122" i="55" s="1"/>
  <c r="F25" i="55"/>
  <c r="C25" i="55"/>
  <c r="B25" i="55"/>
  <c r="C24" i="55"/>
  <c r="B24" i="55"/>
  <c r="C23" i="55"/>
  <c r="B23" i="55"/>
  <c r="C22" i="55"/>
  <c r="B22" i="55"/>
  <c r="C21" i="55"/>
  <c r="B21" i="55"/>
  <c r="C20" i="55"/>
  <c r="B20" i="55"/>
  <c r="C19" i="55"/>
  <c r="B19" i="55"/>
  <c r="C18" i="55"/>
  <c r="B18" i="55"/>
  <c r="C17" i="55"/>
  <c r="B17" i="55"/>
  <c r="J16" i="55"/>
  <c r="J113" i="55" s="1"/>
  <c r="I16" i="55"/>
  <c r="H16" i="55"/>
  <c r="G16" i="55"/>
  <c r="G113" i="55" s="1"/>
  <c r="F16" i="55"/>
  <c r="F113" i="55" s="1"/>
  <c r="E16" i="55"/>
  <c r="E80" i="55" s="1"/>
  <c r="C16" i="55"/>
  <c r="B16" i="55"/>
  <c r="I15" i="55"/>
  <c r="I79" i="55" s="1"/>
  <c r="H15" i="55"/>
  <c r="H79" i="55" s="1"/>
  <c r="D15" i="55"/>
  <c r="D112" i="55" s="1"/>
  <c r="C15" i="55"/>
  <c r="B15" i="55"/>
  <c r="C14" i="55"/>
  <c r="B14" i="55"/>
  <c r="C13" i="55"/>
  <c r="B13" i="55"/>
  <c r="C12" i="55"/>
  <c r="B12" i="55"/>
  <c r="J11" i="55"/>
  <c r="J108" i="55" s="1"/>
  <c r="I11" i="55"/>
  <c r="H11" i="55"/>
  <c r="H108" i="55" s="1"/>
  <c r="G11" i="55"/>
  <c r="F11" i="55"/>
  <c r="E11" i="55"/>
  <c r="E108" i="55" s="1"/>
  <c r="C11" i="55"/>
  <c r="B11" i="55"/>
  <c r="C10" i="55"/>
  <c r="B10" i="55"/>
  <c r="J9" i="55"/>
  <c r="J106" i="55" s="1"/>
  <c r="I9" i="55"/>
  <c r="E9" i="55"/>
  <c r="E106" i="55" s="1"/>
  <c r="C9" i="55"/>
  <c r="B9" i="55"/>
  <c r="C8" i="55"/>
  <c r="B8" i="55"/>
  <c r="I7" i="55"/>
  <c r="I104" i="55" s="1"/>
  <c r="H7" i="55"/>
  <c r="H104" i="55" s="1"/>
  <c r="G7" i="55"/>
  <c r="G104" i="55" s="1"/>
  <c r="F7" i="55"/>
  <c r="F71" i="55" s="1"/>
  <c r="D7" i="55"/>
  <c r="C7" i="55"/>
  <c r="B7" i="55"/>
  <c r="D6"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G97" i="55" l="1"/>
  <c r="E113" i="55"/>
  <c r="D93" i="55"/>
  <c r="E93" i="55"/>
  <c r="I93" i="55"/>
  <c r="J126" i="55"/>
  <c r="J93" i="55"/>
  <c r="G128" i="55"/>
  <c r="H128" i="55"/>
  <c r="G95" i="55"/>
  <c r="H95" i="55"/>
  <c r="D96" i="55"/>
  <c r="E97" i="55"/>
  <c r="F106" i="55"/>
  <c r="F73" i="55"/>
  <c r="G106" i="55"/>
  <c r="G73" i="55"/>
  <c r="F112" i="55"/>
  <c r="F79" i="55"/>
  <c r="J73" i="55"/>
  <c r="E75" i="55"/>
  <c r="D11" i="55"/>
  <c r="D108" i="55" s="1"/>
  <c r="F104" i="55"/>
  <c r="I112" i="55"/>
  <c r="I5" i="84"/>
  <c r="AE69" i="82"/>
  <c r="AE68" i="82" s="1"/>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D64" i="82" s="1"/>
  <c r="AD67" i="82" s="1"/>
  <c r="AD30"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H89" i="55"/>
  <c r="D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F81" i="55"/>
  <c r="F114" i="55"/>
  <c r="G81" i="55"/>
  <c r="G114" i="55"/>
  <c r="E81" i="55"/>
  <c r="E114" i="55"/>
  <c r="H114" i="55"/>
  <c r="H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H82" i="55"/>
  <c r="Z51" i="59"/>
  <c r="Z26" i="59" s="1"/>
  <c r="J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I122" i="55"/>
  <c r="I89" i="55"/>
  <c r="F115" i="55"/>
  <c r="F82" i="55"/>
  <c r="K20" i="25"/>
  <c r="D78" i="55"/>
  <c r="D111" i="55"/>
  <c r="J81" i="55"/>
  <c r="J114" i="55"/>
  <c r="J79" i="55"/>
  <c r="J112" i="55"/>
  <c r="V12" i="74"/>
  <c r="E71" i="55"/>
  <c r="E104" i="55"/>
  <c r="L14" i="75"/>
  <c r="K69" i="38"/>
  <c r="K66" i="38"/>
  <c r="H113" i="55"/>
  <c r="H80" i="55"/>
  <c r="G126" i="55"/>
  <c r="G94" i="55"/>
  <c r="M13" i="74"/>
  <c r="M20" i="74" s="1"/>
  <c r="M19" i="74" s="1"/>
  <c r="I113" i="55"/>
  <c r="I80" i="55"/>
  <c r="D79" i="55"/>
  <c r="D129" i="55"/>
  <c r="J21" i="25"/>
  <c r="J20" i="25" s="1"/>
  <c r="H14" i="75"/>
  <c r="H14" i="59"/>
  <c r="C62" i="26"/>
  <c r="C49" i="26"/>
  <c r="D95" i="55"/>
  <c r="D127" i="55"/>
  <c r="H75" i="55"/>
  <c r="G80" i="55"/>
  <c r="J89" i="55"/>
  <c r="AC94" i="80"/>
  <c r="D20" i="74"/>
  <c r="D19" i="74" s="1"/>
  <c r="R13" i="74"/>
  <c r="R20" i="74" s="1"/>
  <c r="R19" i="74" s="1"/>
  <c r="D44" i="26"/>
  <c r="AO12" i="26"/>
  <c r="I108" i="55"/>
  <c r="I75" i="55"/>
  <c r="G14" i="75"/>
  <c r="G14" i="59"/>
  <c r="R14" i="75"/>
  <c r="R98" i="75" s="1"/>
  <c r="R14" i="59"/>
  <c r="D71" i="55"/>
  <c r="D104" i="55"/>
  <c r="V15" i="74"/>
  <c r="W15" i="74" s="1"/>
  <c r="X15" i="74" s="1"/>
  <c r="Y15" i="74" s="1"/>
  <c r="Z15" i="74" s="1"/>
  <c r="AA15" i="74" s="1"/>
  <c r="AB15" i="74" s="1"/>
  <c r="AC15" i="74" s="1"/>
  <c r="E112" i="55"/>
  <c r="E79" i="55"/>
  <c r="J104" i="55"/>
  <c r="J71" i="55"/>
  <c r="G115" i="55"/>
  <c r="G82" i="55"/>
  <c r="F80" i="55"/>
  <c r="Z14" i="75"/>
  <c r="Z15" i="59"/>
  <c r="Z14" i="59" s="1"/>
  <c r="Q19" i="74"/>
  <c r="AO19" i="26"/>
  <c r="D103" i="55"/>
  <c r="D70" i="55"/>
  <c r="I115" i="55"/>
  <c r="I82" i="55"/>
  <c r="G71" i="55"/>
  <c r="J75" i="55"/>
  <c r="J80" i="55"/>
  <c r="O21" i="25"/>
  <c r="P14" i="25"/>
  <c r="S13" i="74"/>
  <c r="H106" i="55"/>
  <c r="H73" i="55"/>
  <c r="F93" i="55"/>
  <c r="F125" i="55"/>
  <c r="H71" i="55"/>
  <c r="G112" i="55"/>
  <c r="H125" i="55"/>
  <c r="P21" i="25"/>
  <c r="AD15" i="59"/>
  <c r="AQ13" i="26"/>
  <c r="F122" i="55"/>
  <c r="F89" i="55"/>
  <c r="I106" i="55"/>
  <c r="I73" i="55"/>
  <c r="I71" i="55"/>
  <c r="H112" i="55"/>
  <c r="Q14" i="59"/>
  <c r="Q65" i="59" s="1"/>
  <c r="Q20" i="25"/>
  <c r="Q14" i="75" s="1"/>
  <c r="U20" i="74"/>
  <c r="V20" i="74" s="1"/>
  <c r="W20" i="74" s="1"/>
  <c r="X20" i="74" s="1"/>
  <c r="Y20" i="74" s="1"/>
  <c r="Z20" i="74" s="1"/>
  <c r="AA20" i="74" s="1"/>
  <c r="AB20" i="74" s="1"/>
  <c r="AC20" i="74" s="1"/>
  <c r="U19" i="74"/>
  <c r="J75" i="26"/>
  <c r="AO14" i="26"/>
  <c r="F108" i="55"/>
  <c r="F75" i="55"/>
  <c r="AG94" i="80"/>
  <c r="R20" i="25"/>
  <c r="AF13" i="25"/>
  <c r="AE15" i="25"/>
  <c r="AE14" i="25" s="1"/>
  <c r="AE11" i="25" s="1"/>
  <c r="AE20" i="25" s="1"/>
  <c r="W16" i="26"/>
  <c r="W77" i="26" s="1"/>
  <c r="E128" i="55"/>
  <c r="E96" i="55"/>
  <c r="U20" i="25"/>
  <c r="F128" i="55"/>
  <c r="F96" i="55"/>
  <c r="L19" i="74"/>
  <c r="K21" i="25"/>
  <c r="D14" i="75"/>
  <c r="D14" i="59"/>
  <c r="I19" i="74"/>
  <c r="S20" i="74"/>
  <c r="S19" i="74" s="1"/>
  <c r="G20" i="74"/>
  <c r="G19" i="74" s="1"/>
  <c r="N45" i="75"/>
  <c r="N46" i="75" s="1"/>
  <c r="N38" i="59"/>
  <c r="N39" i="59" s="1"/>
  <c r="AB45" i="75"/>
  <c r="AB38" i="59"/>
  <c r="AB28" i="49"/>
  <c r="AB29" i="49" s="1"/>
  <c r="I81" i="55"/>
  <c r="I114" i="55"/>
  <c r="P20" i="74"/>
  <c r="P19" i="74" s="1"/>
  <c r="G108" i="55"/>
  <c r="G75" i="55"/>
  <c r="E82" i="55"/>
  <c r="F127" i="55"/>
  <c r="U14" i="25"/>
  <c r="U21" i="25" s="1"/>
  <c r="I21" i="25"/>
  <c r="I20" i="25" s="1"/>
  <c r="J20" i="74"/>
  <c r="J19" i="74" s="1"/>
  <c r="T20" i="74"/>
  <c r="T19" i="74" s="1"/>
  <c r="K11" i="26"/>
  <c r="K20" i="26" s="1"/>
  <c r="K78" i="26" s="1"/>
  <c r="K73" i="26" s="1"/>
  <c r="O45" i="75"/>
  <c r="O46" i="75" s="1"/>
  <c r="O38" i="59"/>
  <c r="O39" i="59" s="1"/>
  <c r="P28" i="49"/>
  <c r="P29" i="49" s="1"/>
  <c r="H97" i="55"/>
  <c r="L20" i="25"/>
  <c r="L14" i="59" s="1"/>
  <c r="AA14" i="75"/>
  <c r="AA15" i="59"/>
  <c r="AA14" i="59" s="1"/>
  <c r="H13" i="74"/>
  <c r="L73" i="26"/>
  <c r="R32" i="26"/>
  <c r="R16" i="26" s="1"/>
  <c r="R77" i="26" s="1"/>
  <c r="O34" i="20"/>
  <c r="N34" i="20"/>
  <c r="N35" i="20"/>
  <c r="AC34" i="20"/>
  <c r="AB34" i="20"/>
  <c r="AL35" i="20"/>
  <c r="AM35" i="20" s="1"/>
  <c r="AN35" i="20" s="1"/>
  <c r="G89" i="55"/>
  <c r="G125" i="55"/>
  <c r="E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J137" i="48"/>
  <c r="X137" i="48"/>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AG14" i="20" s="1"/>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K21" i="48"/>
  <c r="L61" i="48"/>
  <c r="L21" i="48"/>
  <c r="L28" i="48" s="1"/>
  <c r="Z21" i="48"/>
  <c r="Z28" i="48" s="1"/>
  <c r="M61" i="48"/>
  <c r="AE94" i="26"/>
  <c r="K46" i="30"/>
  <c r="O12" i="49"/>
  <c r="O28" i="49" s="1"/>
  <c r="O29" i="49" s="1"/>
  <c r="AC12" i="49"/>
  <c r="D45" i="75"/>
  <c r="D46" i="75" s="1"/>
  <c r="D38" i="59"/>
  <c r="D39" i="59" s="1"/>
  <c r="Q56" i="59"/>
  <c r="H120" i="48"/>
  <c r="H9" i="48"/>
  <c r="H28" i="48" s="1"/>
  <c r="H29" i="48"/>
  <c r="G34" i="48"/>
  <c r="G71" i="48" s="1"/>
  <c r="G78" i="48" s="1"/>
  <c r="V120" i="48"/>
  <c r="V9" i="48"/>
  <c r="V28" i="48" s="1"/>
  <c r="V29" i="48"/>
  <c r="N61" i="48"/>
  <c r="O32" i="38"/>
  <c r="Q32" i="38" s="1"/>
  <c r="S33" i="38"/>
  <c r="E45" i="75"/>
  <c r="E46" i="75" s="1"/>
  <c r="E38" i="59"/>
  <c r="E39" i="59" s="1"/>
  <c r="R54" i="59"/>
  <c r="R51" i="59"/>
  <c r="R26" i="59" s="1"/>
  <c r="I120" i="48"/>
  <c r="I9" i="48"/>
  <c r="I29" i="48"/>
  <c r="W120" i="48"/>
  <c r="W9" i="48"/>
  <c r="W28" i="48" s="1"/>
  <c r="W29" i="48"/>
  <c r="AE56" i="70"/>
  <c r="P45" i="75"/>
  <c r="P38" i="59"/>
  <c r="P39" i="59" s="1"/>
  <c r="AD38" i="59"/>
  <c r="AM13" i="33"/>
  <c r="AL13" i="33"/>
  <c r="AK13" i="33"/>
  <c r="AJ13" i="33"/>
  <c r="J9" i="48"/>
  <c r="J28" i="48" s="1"/>
  <c r="J29" i="48"/>
  <c r="X120" i="48"/>
  <c r="X9" i="48"/>
  <c r="X28" i="48" s="1"/>
  <c r="X29" i="48"/>
  <c r="J74" i="48"/>
  <c r="J81" i="48" s="1"/>
  <c r="J42" i="48"/>
  <c r="K37" i="48"/>
  <c r="G102" i="48"/>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M120" i="48"/>
  <c r="M9" i="48"/>
  <c r="M28" i="48" s="1"/>
  <c r="M29" i="48"/>
  <c r="AA120" i="48"/>
  <c r="AA9" i="48"/>
  <c r="AA29" i="4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T21" i="48"/>
  <c r="T28" i="48" s="1"/>
  <c r="M136" i="48"/>
  <c r="M21" i="48"/>
  <c r="AA136" i="48"/>
  <c r="AA21" i="48"/>
  <c r="H36" i="48"/>
  <c r="L56" i="38"/>
  <c r="L55" i="38"/>
  <c r="N48" i="38" s="1"/>
  <c r="L22" i="75"/>
  <c r="L36" i="75"/>
  <c r="E17" i="59"/>
  <c r="S17" i="59"/>
  <c r="H34" i="48"/>
  <c r="L122" i="48"/>
  <c r="N21" i="48"/>
  <c r="N28" i="48" s="1"/>
  <c r="AB136" i="48"/>
  <c r="AB21" i="48"/>
  <c r="N137" i="48"/>
  <c r="G17" i="59"/>
  <c r="U17" i="59"/>
  <c r="N122" i="48"/>
  <c r="H102" i="48" s="1"/>
  <c r="I102" i="48" s="1"/>
  <c r="J102" i="48" s="1"/>
  <c r="K102" i="48" s="1"/>
  <c r="L102" i="48" s="1"/>
  <c r="AB122" i="48"/>
  <c r="E131" i="75"/>
  <c r="E132" i="75" s="1"/>
  <c r="P17" i="75"/>
  <c r="E134" i="75"/>
  <c r="H17" i="59"/>
  <c r="V17" i="59"/>
  <c r="G30" i="59"/>
  <c r="AF71" i="59"/>
  <c r="AF73" i="59" s="1"/>
  <c r="AF72" i="59" s="1"/>
  <c r="AB28" i="48"/>
  <c r="O122" i="48"/>
  <c r="O30" i="48"/>
  <c r="AC122" i="48"/>
  <c r="AC30" i="48"/>
  <c r="Q136" i="48"/>
  <c r="Q21" i="48"/>
  <c r="Q28" i="48" s="1"/>
  <c r="P138" i="48"/>
  <c r="P21" i="48"/>
  <c r="P28" i="48" s="1"/>
  <c r="AD138" i="48"/>
  <c r="AE138" i="48" s="1"/>
  <c r="AD21" i="48"/>
  <c r="E103" i="48"/>
  <c r="AD78" i="70"/>
  <c r="AJ79" i="70"/>
  <c r="AJ49" i="70"/>
  <c r="H28" i="49"/>
  <c r="H29" i="49" s="1"/>
  <c r="P51" i="59"/>
  <c r="P26" i="59" s="1"/>
  <c r="AD51" i="59"/>
  <c r="AC28" i="48"/>
  <c r="I35" i="48"/>
  <c r="R136" i="48"/>
  <c r="R137" i="48"/>
  <c r="R21" i="48"/>
  <c r="R28" i="48" s="1"/>
  <c r="Q51" i="59"/>
  <c r="Q26" i="59" s="1"/>
  <c r="AC71" i="59"/>
  <c r="AC73" i="59" s="1"/>
  <c r="L94" i="59"/>
  <c r="L95" i="59" s="1"/>
  <c r="M43" i="78"/>
  <c r="N43" i="78" s="1"/>
  <c r="L43" i="78"/>
  <c r="Q122" i="48"/>
  <c r="Q30" i="48"/>
  <c r="AD30" i="48"/>
  <c r="M16" i="38"/>
  <c r="N16" i="38" s="1"/>
  <c r="K52" i="78"/>
  <c r="F131" i="75"/>
  <c r="F132" i="75" s="1"/>
  <c r="F134" i="75"/>
  <c r="T17" i="75"/>
  <c r="E22" i="33"/>
  <c r="L17" i="59"/>
  <c r="Z17" i="59"/>
  <c r="S51" i="59"/>
  <c r="S26" i="59" s="1"/>
  <c r="Q54" i="59"/>
  <c r="S28" i="48"/>
  <c r="G136" i="48"/>
  <c r="I150" i="48"/>
  <c r="AB13" i="33"/>
  <c r="F22" i="33"/>
  <c r="C25" i="33"/>
  <c r="M17" i="59"/>
  <c r="AA17" i="59"/>
  <c r="F28" i="48"/>
  <c r="F30" i="48"/>
  <c r="T122" i="48"/>
  <c r="T30" i="48"/>
  <c r="AE139" i="48"/>
  <c r="AD27" i="48"/>
  <c r="AE55" i="70"/>
  <c r="AF55" i="70" s="1"/>
  <c r="AG55" i="70" s="1"/>
  <c r="AH55" i="70" s="1"/>
  <c r="AI55" i="70" s="1"/>
  <c r="AJ55" i="70" s="1"/>
  <c r="AK55" i="70" s="1"/>
  <c r="AL55" i="70" s="1"/>
  <c r="AM55" i="70" s="1"/>
  <c r="AN55" i="70" s="1"/>
  <c r="G22" i="33"/>
  <c r="D25" i="33"/>
  <c r="G28" i="48"/>
  <c r="U28" i="48"/>
  <c r="H123" i="48"/>
  <c r="G36" i="48"/>
  <c r="G73" i="48" s="1"/>
  <c r="G80" i="48" s="1"/>
  <c r="G103" i="48" s="1"/>
  <c r="F21" i="48"/>
  <c r="L146" i="48"/>
  <c r="L127" i="48"/>
  <c r="Z127" i="48"/>
  <c r="Z120" i="48" s="1"/>
  <c r="Z132" i="48"/>
  <c r="Z137" i="48" s="1"/>
  <c r="O147" i="48"/>
  <c r="O127" i="48"/>
  <c r="O136" i="48" s="1"/>
  <c r="G149" i="48"/>
  <c r="H149" i="48"/>
  <c r="G127" i="48"/>
  <c r="G145" i="48" s="1"/>
  <c r="R122" i="48"/>
  <c r="H21" i="48"/>
  <c r="V21" i="48"/>
  <c r="AC136" i="48"/>
  <c r="G29" i="48"/>
  <c r="U29" i="48"/>
  <c r="N30" i="48"/>
  <c r="AB30" i="48"/>
  <c r="O61" i="48"/>
  <c r="J146" i="48"/>
  <c r="J127" i="48"/>
  <c r="J145" i="48" s="1"/>
  <c r="H148" i="48"/>
  <c r="Y77" i="70"/>
  <c r="Z46" i="70"/>
  <c r="AM77" i="70"/>
  <c r="AE78" i="70"/>
  <c r="AF48" i="70"/>
  <c r="W79" i="70"/>
  <c r="AK79" i="70"/>
  <c r="AK49" i="70"/>
  <c r="Y105" i="75"/>
  <c r="Y104" i="75"/>
  <c r="Y106" i="75" s="1"/>
  <c r="I65" i="38"/>
  <c r="M36" i="75"/>
  <c r="M22" i="75"/>
  <c r="M56" i="38"/>
  <c r="M55" i="38"/>
  <c r="L120" i="48"/>
  <c r="I21" i="48"/>
  <c r="P136" i="48"/>
  <c r="H137" i="48"/>
  <c r="I34" i="48"/>
  <c r="U120" i="48"/>
  <c r="H127" i="48"/>
  <c r="H145" i="48" s="1"/>
  <c r="N147" i="48"/>
  <c r="Q148" i="48"/>
  <c r="J132" i="48"/>
  <c r="Y46" i="70"/>
  <c r="U5" i="21"/>
  <c r="AE24" i="59" s="1"/>
  <c r="C15" i="35" s="1"/>
  <c r="D17" i="55" s="1"/>
  <c r="T5" i="21"/>
  <c r="AD24" i="59" s="1"/>
  <c r="R5" i="21"/>
  <c r="S5" i="21"/>
  <c r="M35" i="78"/>
  <c r="N35" i="78" s="1"/>
  <c r="Y21" i="48"/>
  <c r="I36" i="48"/>
  <c r="AD120" i="48"/>
  <c r="AE120" i="48" s="1"/>
  <c r="AF120" i="48" s="1"/>
  <c r="AG120" i="48" s="1"/>
  <c r="AH120" i="48" s="1"/>
  <c r="AI120" i="48" s="1"/>
  <c r="AJ120" i="48" s="1"/>
  <c r="AK120" i="48" s="1"/>
  <c r="AL120" i="48" s="1"/>
  <c r="AM120" i="48" s="1"/>
  <c r="AN120" i="48" s="1"/>
  <c r="K127" i="48"/>
  <c r="K145" i="48" s="1"/>
  <c r="M146" i="48"/>
  <c r="P147" i="48"/>
  <c r="S148" i="48"/>
  <c r="L16" i="38"/>
  <c r="H122" i="48"/>
  <c r="K29" i="48"/>
  <c r="Y29" i="48"/>
  <c r="R30" i="48"/>
  <c r="M145" i="48"/>
  <c r="O146" i="48"/>
  <c r="N146" i="48"/>
  <c r="N127" i="48"/>
  <c r="N145" i="48" s="1"/>
  <c r="R147" i="48"/>
  <c r="Q147" i="48"/>
  <c r="Q127" i="48"/>
  <c r="N151" i="48"/>
  <c r="AC46" i="70"/>
  <c r="AD77" i="70"/>
  <c r="AC77" i="70"/>
  <c r="U78" i="70"/>
  <c r="V78" i="70"/>
  <c r="AI78" i="70"/>
  <c r="AJ48" i="70"/>
  <c r="AI48" i="70"/>
  <c r="AJ78" i="70"/>
  <c r="N17" i="38"/>
  <c r="L29" i="48"/>
  <c r="Z29" i="48"/>
  <c r="S30" i="48"/>
  <c r="I149" i="48"/>
  <c r="P151" i="48"/>
  <c r="Q42" i="38"/>
  <c r="M48" i="38"/>
  <c r="K56" i="38"/>
  <c r="L41" i="78"/>
  <c r="L52" i="78" s="1"/>
  <c r="M137" i="48"/>
  <c r="P146" i="48"/>
  <c r="P127" i="48"/>
  <c r="P132" i="48"/>
  <c r="P150" i="48" s="1"/>
  <c r="AD127" i="48"/>
  <c r="AD136" i="48" s="1"/>
  <c r="AE136" i="48" s="1"/>
  <c r="AD132" i="48"/>
  <c r="AD137" i="48" s="1"/>
  <c r="AE137" i="48" s="1"/>
  <c r="S127" i="48"/>
  <c r="S120" i="48" s="1"/>
  <c r="S147" i="48"/>
  <c r="W57" i="70"/>
  <c r="X57" i="70" s="1"/>
  <c r="Y57" i="70" s="1"/>
  <c r="Z57" i="70" s="1"/>
  <c r="AA57" i="70" s="1"/>
  <c r="AB57" i="70" s="1"/>
  <c r="AC57" i="70" s="1"/>
  <c r="AD57" i="70" s="1"/>
  <c r="AE57" i="70" s="1"/>
  <c r="AF57" i="70" s="1"/>
  <c r="AG57" i="70" s="1"/>
  <c r="AH57" i="70" s="1"/>
  <c r="AI57" i="70" s="1"/>
  <c r="AJ57" i="70" s="1"/>
  <c r="L17" i="38"/>
  <c r="S18" i="38"/>
  <c r="R18" i="75"/>
  <c r="Q18" i="75"/>
  <c r="K9" i="48"/>
  <c r="K28" i="48" s="1"/>
  <c r="Y9" i="48"/>
  <c r="O21" i="48"/>
  <c r="O28" i="48" s="1"/>
  <c r="AC21" i="48"/>
  <c r="N29" i="48"/>
  <c r="AB29" i="48"/>
  <c r="U30" i="48"/>
  <c r="G35" i="48"/>
  <c r="G72" i="48" s="1"/>
  <c r="G79" i="48" s="1"/>
  <c r="E101" i="48"/>
  <c r="J122" i="48"/>
  <c r="Q146" i="48"/>
  <c r="K146" i="48"/>
  <c r="L149" i="48"/>
  <c r="V40" i="75"/>
  <c r="I191" i="65"/>
  <c r="H30" i="48"/>
  <c r="V30" i="48"/>
  <c r="H35" i="48"/>
  <c r="R127" i="48"/>
  <c r="R120" i="48" s="1"/>
  <c r="S152" i="48"/>
  <c r="R152" i="48"/>
  <c r="E101" i="75"/>
  <c r="E39" i="75" s="1"/>
  <c r="Q44" i="38"/>
  <c r="M122" i="48"/>
  <c r="I30" i="48"/>
  <c r="W30" i="48"/>
  <c r="G37" i="48"/>
  <c r="G74" i="48" s="1"/>
  <c r="G81" i="48" s="1"/>
  <c r="G104" i="48" s="1"/>
  <c r="E80" i="48"/>
  <c r="G101" i="48"/>
  <c r="X132" i="48"/>
  <c r="X122" i="48" s="1"/>
  <c r="F101" i="75"/>
  <c r="F39" i="75" s="1"/>
  <c r="I34" i="75"/>
  <c r="I99" i="75" s="1"/>
  <c r="I24" i="75"/>
  <c r="I28" i="75" s="1"/>
  <c r="H37" i="48"/>
  <c r="J103" i="48"/>
  <c r="K103" i="48" s="1"/>
  <c r="L103" i="48" s="1"/>
  <c r="F80" i="48"/>
  <c r="R151" i="48"/>
  <c r="Q151" i="48"/>
  <c r="G101" i="75"/>
  <c r="G39" i="75" s="1"/>
  <c r="R146" i="48"/>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M132" i="48"/>
  <c r="M150" i="48" s="1"/>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132" i="48"/>
  <c r="R150" i="48" s="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C7" i="35" s="1"/>
  <c r="D9" i="55"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D75" i="55" l="1"/>
  <c r="AM30" i="80"/>
  <c r="L85" i="82"/>
  <c r="L86" i="82" s="1"/>
  <c r="AF71" i="82"/>
  <c r="AF69" i="82" s="1"/>
  <c r="AF68" i="82" s="1"/>
  <c r="AE18" i="82"/>
  <c r="F7" i="84" s="1"/>
  <c r="G7" i="84" s="1"/>
  <c r="I7" i="84" s="1"/>
  <c r="AD34" i="82"/>
  <c r="E6" i="84"/>
  <c r="AD32" i="82"/>
  <c r="AE67" i="82"/>
  <c r="AF67" i="82" s="1"/>
  <c r="AG67" i="82" s="1"/>
  <c r="AH67" i="82" s="1"/>
  <c r="AI67" i="82" s="1"/>
  <c r="AJ67" i="82" s="1"/>
  <c r="AK67" i="82" s="1"/>
  <c r="AL67" i="82" s="1"/>
  <c r="AM67" i="82" s="1"/>
  <c r="AN67" i="82" s="1"/>
  <c r="L88" i="82"/>
  <c r="AG71" i="82"/>
  <c r="AG69" i="82" s="1"/>
  <c r="AG68" i="82" s="1"/>
  <c r="AG18" i="82" s="1"/>
  <c r="AF18" i="82"/>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F66"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E4" i="35"/>
  <c r="F6" i="55" s="1"/>
  <c r="AH14" i="20"/>
  <c r="X37" i="30"/>
  <c r="X20" i="30" s="1"/>
  <c r="T13" i="30"/>
  <c r="T12" i="30" s="1"/>
  <c r="T15" i="30"/>
  <c r="AF137" i="48"/>
  <c r="AE25" i="48"/>
  <c r="AF136" i="48"/>
  <c r="AE23" i="48"/>
  <c r="U47" i="21"/>
  <c r="AE83" i="26" s="1"/>
  <c r="AG10" i="33"/>
  <c r="AF17" i="59"/>
  <c r="D12" i="35"/>
  <c r="E14" i="55" s="1"/>
  <c r="K57" i="20"/>
  <c r="K58" i="20" s="1"/>
  <c r="D2" i="50"/>
  <c r="Q98" i="75"/>
  <c r="Q27" i="75"/>
  <c r="Q41" i="59"/>
  <c r="C8" i="35"/>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H42" i="48"/>
  <c r="H74" i="48"/>
  <c r="H81" i="48" s="1"/>
  <c r="P145" i="48"/>
  <c r="P120" i="48"/>
  <c r="I67" i="38"/>
  <c r="O48" i="38"/>
  <c r="AJ51" i="70"/>
  <c r="AJ16" i="70"/>
  <c r="AJ25" i="70" s="1"/>
  <c r="H4" i="71" s="1"/>
  <c r="I30" i="55"/>
  <c r="H38" i="48"/>
  <c r="H71" i="48"/>
  <c r="H78" i="48" s="1"/>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D114" i="55"/>
  <c r="D81" i="55"/>
  <c r="AF14" i="70"/>
  <c r="AF24" i="70" s="1"/>
  <c r="D3" i="71" s="1"/>
  <c r="E29" i="55"/>
  <c r="D73" i="55"/>
  <c r="D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K136" i="48"/>
  <c r="J136" i="48"/>
  <c r="Y28" i="48"/>
  <c r="Q145" i="48"/>
  <c r="Q120" i="48"/>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J150" i="48"/>
  <c r="K150" i="48"/>
  <c r="O145" i="48"/>
  <c r="O120" i="48"/>
  <c r="AE14" i="70"/>
  <c r="AE24" i="70" s="1"/>
  <c r="C3" i="71" s="1"/>
  <c r="D29" i="55"/>
  <c r="J120" i="48"/>
  <c r="AI14" i="20"/>
  <c r="I36" i="20"/>
  <c r="E65" i="59"/>
  <c r="E64" i="59" s="1"/>
  <c r="O48" i="75"/>
  <c r="G27" i="75"/>
  <c r="G26" i="75" s="1"/>
  <c r="G29" i="75" s="1"/>
  <c r="G98" i="75"/>
  <c r="G97" i="75" s="1"/>
  <c r="G100" i="75" s="1"/>
  <c r="G109" i="75" s="1"/>
  <c r="G37" i="75" s="1"/>
  <c r="G41" i="75" s="1"/>
  <c r="AE56" i="20"/>
  <c r="C3" i="35"/>
  <c r="D5" i="55" s="1"/>
  <c r="AD28" i="48"/>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D4" i="35"/>
  <c r="E6" i="55" s="1"/>
  <c r="L57" i="20"/>
  <c r="L58" i="20" s="1"/>
  <c r="E2" i="50"/>
  <c r="D65" i="59"/>
  <c r="D64" i="59" s="1"/>
  <c r="D67" i="59" s="1"/>
  <c r="AO32" i="26"/>
  <c r="AF139" i="48"/>
  <c r="AE27" i="48"/>
  <c r="C22" i="35" s="1"/>
  <c r="D24" i="55" s="1"/>
  <c r="AK56" i="20"/>
  <c r="I3" i="35"/>
  <c r="J5" i="55" s="1"/>
  <c r="H20" i="20"/>
  <c r="H36" i="20"/>
  <c r="D98" i="75"/>
  <c r="D97" i="75" s="1"/>
  <c r="D100" i="75" s="1"/>
  <c r="D109" i="75" s="1"/>
  <c r="D37" i="75" s="1"/>
  <c r="D27" i="75"/>
  <c r="D26" i="75" s="1"/>
  <c r="D29" i="75" s="1"/>
  <c r="AD74" i="30"/>
  <c r="U20" i="30"/>
  <c r="M47" i="21"/>
  <c r="W83" i="26" s="1"/>
  <c r="Q28" i="75"/>
  <c r="AE29" i="48"/>
  <c r="AF10" i="48"/>
  <c r="AG14" i="70"/>
  <c r="AG24" i="70" s="1"/>
  <c r="E3" i="71" s="1"/>
  <c r="F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H29" i="55"/>
  <c r="I41" i="48"/>
  <c r="J36" i="48"/>
  <c r="I73" i="48"/>
  <c r="I80" i="48" s="1"/>
  <c r="L145" i="48"/>
  <c r="I42" i="48"/>
  <c r="I72" i="48"/>
  <c r="I79" i="48" s="1"/>
  <c r="J35" i="48"/>
  <c r="I40" i="48"/>
  <c r="AE26" i="48"/>
  <c r="AF138" i="48"/>
  <c r="R41" i="59"/>
  <c r="W56" i="20"/>
  <c r="P9" i="50"/>
  <c r="AH56" i="20"/>
  <c r="F3" i="35"/>
  <c r="G5" i="55" s="1"/>
  <c r="E48" i="75"/>
  <c r="Z136" i="48"/>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K120" i="48"/>
  <c r="S15" i="21"/>
  <c r="AC36" i="26"/>
  <c r="AC33" i="26" s="1"/>
  <c r="P41" i="38"/>
  <c r="R41" i="38" s="1"/>
  <c r="T42" i="38"/>
  <c r="R34" i="75"/>
  <c r="R24" i="75"/>
  <c r="F41" i="75"/>
  <c r="AJ14" i="70"/>
  <c r="AJ24" i="70" s="1"/>
  <c r="H3" i="71" s="1"/>
  <c r="I29" i="55"/>
  <c r="I38" i="48"/>
  <c r="I71" i="48"/>
  <c r="I78" i="48" s="1"/>
  <c r="J34" i="48"/>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N120" i="48"/>
  <c r="H101" i="48" s="1"/>
  <c r="I101" i="48" s="1"/>
  <c r="J101" i="48" s="1"/>
  <c r="K101" i="48" s="1"/>
  <c r="L101" i="48" s="1"/>
  <c r="AE51" i="59"/>
  <c r="AD26" i="59"/>
  <c r="N150" i="48"/>
  <c r="R48" i="75"/>
  <c r="AC46" i="30"/>
  <c r="K74" i="48"/>
  <c r="K81" i="48" s="1"/>
  <c r="L37" i="48"/>
  <c r="K42" i="48"/>
  <c r="L136" i="48"/>
  <c r="S13" i="30"/>
  <c r="S12" i="30" s="1"/>
  <c r="AE11" i="30"/>
  <c r="AE46" i="30" s="1"/>
  <c r="C6" i="35" s="1"/>
  <c r="D8" i="55" s="1"/>
  <c r="AF12" i="30"/>
  <c r="W18" i="20"/>
  <c r="AF56" i="20"/>
  <c r="D3" i="35"/>
  <c r="E5" i="55" s="1"/>
  <c r="M28" i="26"/>
  <c r="AC28" i="49"/>
  <c r="AC29" i="49" s="1"/>
  <c r="I14" i="75"/>
  <c r="I14" i="59"/>
  <c r="I68" i="59" s="1"/>
  <c r="Z65" i="59"/>
  <c r="K71" i="38"/>
  <c r="K73" i="38"/>
  <c r="U51" i="21"/>
  <c r="U50" i="21"/>
  <c r="F80" i="21"/>
  <c r="X37" i="26"/>
  <c r="X17" i="26" s="1"/>
  <c r="L16" i="40"/>
  <c r="M34" i="75"/>
  <c r="M24" i="75"/>
  <c r="T34" i="75"/>
  <c r="T24" i="75"/>
  <c r="H101" i="75"/>
  <c r="O15" i="40"/>
  <c r="R145" i="48"/>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S150" i="48"/>
  <c r="H40" i="48"/>
  <c r="H72" i="48"/>
  <c r="H79" i="48" s="1"/>
  <c r="C17" i="49"/>
  <c r="C18" i="49" s="1"/>
  <c r="AD122" i="48"/>
  <c r="AE122" i="48" s="1"/>
  <c r="AF122" i="48" s="1"/>
  <c r="AG122" i="48" s="1"/>
  <c r="AH122" i="48" s="1"/>
  <c r="AI122" i="48" s="1"/>
  <c r="AJ122" i="48" s="1"/>
  <c r="AK122" i="48" s="1"/>
  <c r="AL122" i="48" s="1"/>
  <c r="AM122" i="48" s="1"/>
  <c r="AN122" i="48" s="1"/>
  <c r="AJ56" i="20"/>
  <c r="H3" i="35"/>
  <c r="I5" i="55" s="1"/>
  <c r="G3" i="35"/>
  <c r="H5" i="55" s="1"/>
  <c r="AI56" i="20"/>
  <c r="X53" i="48"/>
  <c r="W53" i="48"/>
  <c r="V53" i="48"/>
  <c r="U53" i="48"/>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C16" i="35"/>
  <c r="D18" i="55" s="1"/>
  <c r="H47" i="21"/>
  <c r="R83" i="26" s="1"/>
  <c r="Q34" i="75"/>
  <c r="Q24" i="75"/>
  <c r="P122" i="48"/>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J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H136" i="48"/>
  <c r="G75" i="21"/>
  <c r="AB32" i="75"/>
  <c r="AB24" i="59"/>
  <c r="L97" i="59"/>
  <c r="N136" i="48"/>
  <c r="H41" i="48"/>
  <c r="H73" i="48"/>
  <c r="H80" i="48" s="1"/>
  <c r="AF12" i="49"/>
  <c r="S20" i="25"/>
  <c r="S14" i="59" s="1"/>
  <c r="S65" i="59" s="1"/>
  <c r="T16" i="26"/>
  <c r="T77" i="26" s="1"/>
  <c r="P14" i="75"/>
  <c r="P14" i="59"/>
  <c r="P65" i="59" s="1"/>
  <c r="S145" i="48"/>
  <c r="S136" i="48"/>
  <c r="AC32" i="75"/>
  <c r="AC24" i="59"/>
  <c r="I145" i="48"/>
  <c r="J45" i="75"/>
  <c r="J46" i="75" s="1"/>
  <c r="J38" i="59"/>
  <c r="J39" i="59" s="1"/>
  <c r="J29" i="49"/>
  <c r="I45" i="75"/>
  <c r="I46" i="75" s="1"/>
  <c r="I48" i="75" s="1"/>
  <c r="I29" i="49"/>
  <c r="I38" i="59"/>
  <c r="I39" i="59" s="1"/>
  <c r="I41" i="59" s="1"/>
  <c r="AG56" i="20"/>
  <c r="E3" i="35"/>
  <c r="F5" i="55" s="1"/>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I103" i="48"/>
  <c r="F103" i="48"/>
  <c r="W40" i="75"/>
  <c r="W31" i="59"/>
  <c r="Q150" i="48"/>
  <c r="AD66" i="59"/>
  <c r="W4" i="50"/>
  <c r="P137" i="48"/>
  <c r="Z122" i="48"/>
  <c r="AA28" i="48"/>
  <c r="I28" i="48"/>
  <c r="T14" i="75"/>
  <c r="T14" i="59"/>
  <c r="O20" i="25"/>
  <c r="O14" i="75" s="1"/>
  <c r="H65" i="59"/>
  <c r="H64" i="59" s="1"/>
  <c r="D10" i="55" l="1"/>
  <c r="AM36" i="80"/>
  <c r="E10" i="84"/>
  <c r="E11" i="84" s="1"/>
  <c r="K6" i="84"/>
  <c r="E8" i="84"/>
  <c r="E9" i="84" s="1"/>
  <c r="H67" i="59"/>
  <c r="H76" i="59" s="1"/>
  <c r="H29" i="59" s="1"/>
  <c r="H33" i="59" s="1"/>
  <c r="G67" i="59"/>
  <c r="G76" i="59" s="1"/>
  <c r="G29" i="59" s="1"/>
  <c r="G33" i="59" s="1"/>
  <c r="E76" i="59"/>
  <c r="E29" i="59" s="1"/>
  <c r="E33" i="59" s="1"/>
  <c r="E67" i="59"/>
  <c r="V70" i="59"/>
  <c r="V69" i="59" s="1"/>
  <c r="W70" i="59"/>
  <c r="U70" i="59"/>
  <c r="U69" i="59" s="1"/>
  <c r="AG66" i="82"/>
  <c r="AH71" i="82"/>
  <c r="AH69" i="82" s="1"/>
  <c r="AH68" i="82" s="1"/>
  <c r="AH18" i="82" s="1"/>
  <c r="AE30" i="82"/>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I94" i="55"/>
  <c r="I126" i="55"/>
  <c r="F15" i="21"/>
  <c r="D85" i="21" s="1"/>
  <c r="D84" i="21"/>
  <c r="P36" i="26"/>
  <c r="J72" i="48"/>
  <c r="J79" i="48" s="1"/>
  <c r="J40" i="48"/>
  <c r="K35" i="48"/>
  <c r="G84" i="21"/>
  <c r="R15" i="21"/>
  <c r="G85" i="21" s="1"/>
  <c r="AB36" i="26"/>
  <c r="AB33" i="26" s="1"/>
  <c r="J102" i="55"/>
  <c r="J69" i="55"/>
  <c r="C84" i="21"/>
  <c r="W14" i="21"/>
  <c r="C15" i="21"/>
  <c r="D107" i="55"/>
  <c r="D74" i="55"/>
  <c r="N25" i="21"/>
  <c r="X43" i="30" s="1"/>
  <c r="K6" i="50"/>
  <c r="R46" i="30"/>
  <c r="D22" i="21"/>
  <c r="N40" i="30" s="1"/>
  <c r="N39" i="30"/>
  <c r="I127" i="55"/>
  <c r="I95" i="55"/>
  <c r="K4" i="50"/>
  <c r="R66" i="59"/>
  <c r="R64" i="59" s="1"/>
  <c r="R67" i="59" s="1"/>
  <c r="AG15" i="25"/>
  <c r="AG14" i="25" s="1"/>
  <c r="AG11" i="25" s="1"/>
  <c r="AG20" i="25" s="1"/>
  <c r="AH13" i="25"/>
  <c r="AH13" i="30"/>
  <c r="AI17" i="30"/>
  <c r="V33" i="26"/>
  <c r="V13" i="26"/>
  <c r="D126" i="55"/>
  <c r="D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AB53" i="48"/>
  <c r="Z53" i="48"/>
  <c r="Y53" i="48"/>
  <c r="AA53" i="48"/>
  <c r="G87" i="21"/>
  <c r="D69" i="55"/>
  <c r="D102" i="55"/>
  <c r="G6" i="50"/>
  <c r="N46" i="30"/>
  <c r="U33" i="26"/>
  <c r="U13" i="26"/>
  <c r="P49" i="48"/>
  <c r="O49" i="48"/>
  <c r="N49" i="48"/>
  <c r="M49" i="48"/>
  <c r="P25" i="21"/>
  <c r="Z43" i="30" s="1"/>
  <c r="Z41" i="30"/>
  <c r="Z24" i="30" s="1"/>
  <c r="AH10" i="33"/>
  <c r="AG17" i="59"/>
  <c r="E12" i="35"/>
  <c r="F14" i="55" s="1"/>
  <c r="F4" i="35"/>
  <c r="G6" i="55" s="1"/>
  <c r="N98" i="75"/>
  <c r="N97" i="75" s="1"/>
  <c r="N100" i="75" s="1"/>
  <c r="N27" i="75"/>
  <c r="N26" i="75" s="1"/>
  <c r="N29" i="75" s="1"/>
  <c r="F103" i="55"/>
  <c r="F70" i="55"/>
  <c r="N15" i="21"/>
  <c r="F85" i="21" s="1"/>
  <c r="F84" i="21"/>
  <c r="X36" i="26"/>
  <c r="X33" i="26" s="1"/>
  <c r="W32" i="75"/>
  <c r="W99" i="75" s="1"/>
  <c r="W24" i="59"/>
  <c r="J15" i="21"/>
  <c r="E85" i="21" s="1"/>
  <c r="E87" i="21" s="1"/>
  <c r="E84" i="21"/>
  <c r="T36" i="26"/>
  <c r="T33" i="26" s="1"/>
  <c r="D115" i="55"/>
  <c r="D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D121" i="55"/>
  <c r="D88" i="55"/>
  <c r="Z30" i="59"/>
  <c r="S5" i="50" s="1"/>
  <c r="Z66" i="59"/>
  <c r="Z64" i="59" s="1"/>
  <c r="Z67" i="59" s="1"/>
  <c r="V33" i="75"/>
  <c r="V38" i="75" s="1"/>
  <c r="V25" i="59"/>
  <c r="V30" i="59" s="1"/>
  <c r="O5" i="50" s="1"/>
  <c r="V23" i="75"/>
  <c r="V28" i="75" s="1"/>
  <c r="N66" i="59"/>
  <c r="N64" i="59" s="1"/>
  <c r="N67" i="59" s="1"/>
  <c r="G4" i="50"/>
  <c r="F87" i="21"/>
  <c r="AJ52" i="70"/>
  <c r="AJ18" i="70"/>
  <c r="AJ26" i="70" s="1"/>
  <c r="H5" i="71" s="1"/>
  <c r="I31" i="55"/>
  <c r="S43" i="30"/>
  <c r="I26" i="21"/>
  <c r="L41" i="59"/>
  <c r="AO16" i="26"/>
  <c r="AH71" i="59"/>
  <c r="AH73" i="59" s="1"/>
  <c r="AH72" i="59" s="1"/>
  <c r="T53" i="48"/>
  <c r="S53" i="48"/>
  <c r="R53" i="48"/>
  <c r="Q53" i="48"/>
  <c r="P51" i="48"/>
  <c r="O51" i="48"/>
  <c r="N51" i="48"/>
  <c r="M51" i="48"/>
  <c r="AD82" i="30"/>
  <c r="N6" i="50"/>
  <c r="U46" i="30"/>
  <c r="AD83" i="30" s="1"/>
  <c r="AE21" i="48"/>
  <c r="C20" i="35" s="1"/>
  <c r="D22" i="55" s="1"/>
  <c r="P52" i="48"/>
  <c r="O52" i="48"/>
  <c r="N52" i="48"/>
  <c r="M52" i="48"/>
  <c r="K28" i="21"/>
  <c r="U28" i="21"/>
  <c r="AE81" i="26" s="1"/>
  <c r="M76" i="26"/>
  <c r="M27" i="26"/>
  <c r="N28" i="26"/>
  <c r="M15" i="26"/>
  <c r="AB13" i="26"/>
  <c r="AB20" i="26" s="1"/>
  <c r="AB78" i="26" s="1"/>
  <c r="P42" i="38"/>
  <c r="R42" i="38" s="1"/>
  <c r="T43" i="38"/>
  <c r="G69" i="55"/>
  <c r="G102" i="55"/>
  <c r="T52" i="48"/>
  <c r="S52" i="48"/>
  <c r="R52" i="48"/>
  <c r="Q52" i="48"/>
  <c r="Z38" i="75"/>
  <c r="U33" i="75"/>
  <c r="U38" i="75" s="1"/>
  <c r="U23" i="75"/>
  <c r="U28" i="75" s="1"/>
  <c r="U25" i="59"/>
  <c r="U30" i="59" s="1"/>
  <c r="N5" i="50" s="1"/>
  <c r="M99" i="75"/>
  <c r="I69" i="38"/>
  <c r="I66" i="38"/>
  <c r="L26" i="75"/>
  <c r="L29" i="75" s="1"/>
  <c r="AG136" i="48"/>
  <c r="AF23" i="48"/>
  <c r="AF21" i="48" s="1"/>
  <c r="D20" i="35" s="1"/>
  <c r="E22" i="55" s="1"/>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H126" i="55"/>
  <c r="H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J41" i="48"/>
  <c r="K36" i="48"/>
  <c r="J73" i="48"/>
  <c r="J80" i="48" s="1"/>
  <c r="AG139" i="48"/>
  <c r="AF27" i="48"/>
  <c r="D22" i="35" s="1"/>
  <c r="E24" i="55" s="1"/>
  <c r="F4" i="50"/>
  <c r="M66" i="59"/>
  <c r="P6" i="50"/>
  <c r="W46" i="30"/>
  <c r="J127" i="55"/>
  <c r="J95" i="55"/>
  <c r="M28" i="21"/>
  <c r="E69" i="55"/>
  <c r="E102" i="55"/>
  <c r="AF51" i="59"/>
  <c r="AE26" i="59"/>
  <c r="O99" i="75"/>
  <c r="D25" i="21"/>
  <c r="AA15" i="30"/>
  <c r="AA13" i="30"/>
  <c r="AA12" i="30" s="1"/>
  <c r="Q97" i="75"/>
  <c r="Q100" i="75" s="1"/>
  <c r="AG137" i="48"/>
  <c r="AF25" i="48"/>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F69" i="55"/>
  <c r="F102" i="55"/>
  <c r="U4" i="50"/>
  <c r="AB66" i="59"/>
  <c r="AB64" i="59" s="1"/>
  <c r="AB67" i="59" s="1"/>
  <c r="N28" i="21"/>
  <c r="Y13" i="30"/>
  <c r="Y12" i="30" s="1"/>
  <c r="Y15" i="30"/>
  <c r="AJ14" i="20"/>
  <c r="G4" i="35"/>
  <c r="H6" i="55" s="1"/>
  <c r="X13" i="26"/>
  <c r="E126" i="55"/>
  <c r="E94" i="55"/>
  <c r="U32" i="75"/>
  <c r="U24" i="59"/>
  <c r="L74" i="48"/>
  <c r="L81" i="48" s="1"/>
  <c r="M37" i="48"/>
  <c r="L42" i="48"/>
  <c r="U6" i="50"/>
  <c r="AB46" i="30"/>
  <c r="P33" i="26"/>
  <c r="S35" i="38"/>
  <c r="O34" i="38"/>
  <c r="Q34" i="38" s="1"/>
  <c r="O43" i="30"/>
  <c r="E26" i="21"/>
  <c r="AK52" i="70"/>
  <c r="AK18" i="70"/>
  <c r="AK26" i="70" s="1"/>
  <c r="I5" i="71" s="1"/>
  <c r="J31" i="55"/>
  <c r="AF14" i="59"/>
  <c r="D8" i="35"/>
  <c r="E10" i="55" s="1"/>
  <c r="J4" i="50"/>
  <c r="Q66" i="59"/>
  <c r="Q64" i="59" s="1"/>
  <c r="Q67" i="59" s="1"/>
  <c r="O28" i="21"/>
  <c r="AA105" i="75"/>
  <c r="AA104" i="75"/>
  <c r="AA106" i="75" s="1"/>
  <c r="L20" i="20"/>
  <c r="L36" i="20"/>
  <c r="X46" i="30"/>
  <c r="Q6" i="50"/>
  <c r="P53" i="48"/>
  <c r="O53" i="48"/>
  <c r="N53" i="48"/>
  <c r="M53" i="48"/>
  <c r="K36" i="20"/>
  <c r="K20" i="20"/>
  <c r="H22" i="21"/>
  <c r="R40" i="30" s="1"/>
  <c r="R39" i="30"/>
  <c r="M22" i="21"/>
  <c r="W40" i="30" s="1"/>
  <c r="W39" i="30"/>
  <c r="P98" i="75"/>
  <c r="P27" i="75"/>
  <c r="P26" i="75" s="1"/>
  <c r="P29" i="75" s="1"/>
  <c r="H69" i="55"/>
  <c r="H102" i="55"/>
  <c r="P28" i="21"/>
  <c r="Z81" i="26" s="1"/>
  <c r="Z73" i="26" s="1"/>
  <c r="AF11" i="30"/>
  <c r="AF46" i="30" s="1"/>
  <c r="D6" i="35" s="1"/>
  <c r="E8" i="55" s="1"/>
  <c r="AG12" i="30"/>
  <c r="W47" i="21"/>
  <c r="J38" i="48"/>
  <c r="J71" i="48"/>
  <c r="J78" i="48" s="1"/>
  <c r="K34" i="48"/>
  <c r="AF26" i="48"/>
  <c r="AG138" i="48"/>
  <c r="F25" i="21"/>
  <c r="AA13" i="26"/>
  <c r="AA20" i="26" s="1"/>
  <c r="AA78" i="26" s="1"/>
  <c r="AA73" i="26" s="1"/>
  <c r="AA33" i="26"/>
  <c r="H25" i="21"/>
  <c r="AO36" i="26"/>
  <c r="AP14" i="26" s="1"/>
  <c r="J25" i="21"/>
  <c r="T36" i="30"/>
  <c r="M14" i="59"/>
  <c r="M65" i="59" s="1"/>
  <c r="L48" i="75"/>
  <c r="Q4" i="50"/>
  <c r="X66" i="59"/>
  <c r="E78" i="55"/>
  <c r="E111" i="55"/>
  <c r="AE17" i="20"/>
  <c r="AE15" i="20"/>
  <c r="AE18" i="20" s="1"/>
  <c r="AF29" i="48"/>
  <c r="I102" i="55"/>
  <c r="I69" i="55"/>
  <c r="D105" i="55"/>
  <c r="D72" i="55"/>
  <c r="I4" i="50"/>
  <c r="P66" i="59"/>
  <c r="P64" i="59" s="1"/>
  <c r="P67" i="59" s="1"/>
  <c r="Y33" i="26"/>
  <c r="Y13" i="26"/>
  <c r="L4" i="50"/>
  <c r="S66" i="59"/>
  <c r="S64" i="59" s="1"/>
  <c r="S67" i="59" s="1"/>
  <c r="V16" i="75"/>
  <c r="V14" i="75" s="1"/>
  <c r="V16" i="59"/>
  <c r="V14" i="59" s="1"/>
  <c r="V65" i="59" s="1"/>
  <c r="W21" i="25"/>
  <c r="P99" i="75"/>
  <c r="T49" i="48"/>
  <c r="S49" i="48"/>
  <c r="R49" i="48"/>
  <c r="Q49" i="48"/>
  <c r="D87" i="21"/>
  <c r="T51" i="48"/>
  <c r="S51" i="48"/>
  <c r="Q51" i="48"/>
  <c r="R51" i="48"/>
  <c r="F126" i="55"/>
  <c r="F94" i="55"/>
  <c r="E103" i="55"/>
  <c r="E70" i="55"/>
  <c r="AO17" i="26"/>
  <c r="L25" i="21"/>
  <c r="X13" i="30"/>
  <c r="X12" i="30" s="1"/>
  <c r="X15" i="30"/>
  <c r="AE34" i="82" l="1"/>
  <c r="F6" i="84"/>
  <c r="AE12" i="82"/>
  <c r="AE32" i="82"/>
  <c r="AH66" i="82"/>
  <c r="AI71" i="82"/>
  <c r="AI69" i="82" s="1"/>
  <c r="AI68" i="82" s="1"/>
  <c r="AF30" i="82"/>
  <c r="M64" i="59"/>
  <c r="M67" i="59" s="1"/>
  <c r="C11" i="35"/>
  <c r="AE38" i="59"/>
  <c r="AE28" i="49"/>
  <c r="C10" i="35" s="1"/>
  <c r="D12" i="55" s="1"/>
  <c r="AH12" i="49"/>
  <c r="AF26" i="49"/>
  <c r="AF28" i="49" s="1"/>
  <c r="AE39" i="59"/>
  <c r="AF39" i="59" s="1"/>
  <c r="AG14" i="59"/>
  <c r="E8" i="35"/>
  <c r="F10" i="55" s="1"/>
  <c r="V81" i="26"/>
  <c r="T43" i="30"/>
  <c r="J26" i="21"/>
  <c r="K41" i="48"/>
  <c r="L36" i="48"/>
  <c r="K73" i="48"/>
  <c r="K80" i="48" s="1"/>
  <c r="U43" i="30"/>
  <c r="AD80" i="30" s="1"/>
  <c r="K26" i="21"/>
  <c r="AI10" i="33"/>
  <c r="AH17" i="59"/>
  <c r="F12" i="35"/>
  <c r="G14" i="55" s="1"/>
  <c r="E105" i="55"/>
  <c r="E72" i="55"/>
  <c r="X14" i="74"/>
  <c r="X13" i="74" s="1"/>
  <c r="X11" i="74" s="1"/>
  <c r="X19" i="74" s="1"/>
  <c r="Y12" i="74"/>
  <c r="W14" i="75"/>
  <c r="W16" i="59"/>
  <c r="W14" i="59" s="1"/>
  <c r="W65" i="59" s="1"/>
  <c r="X21" i="25"/>
  <c r="X52" i="48"/>
  <c r="W52" i="48"/>
  <c r="U52" i="48"/>
  <c r="V52" i="48"/>
  <c r="E119" i="55"/>
  <c r="E86" i="55"/>
  <c r="AJ20" i="70"/>
  <c r="AJ27" i="70" s="1"/>
  <c r="H6" i="71" s="1"/>
  <c r="I32" i="55"/>
  <c r="Z13" i="30"/>
  <c r="Z12" i="30" s="1"/>
  <c r="Z15" i="30"/>
  <c r="AJ17" i="30"/>
  <c r="AI13" i="30"/>
  <c r="S36" i="38"/>
  <c r="O36" i="38" s="1"/>
  <c r="O35" i="38"/>
  <c r="Q35" i="38" s="1"/>
  <c r="P4" i="50"/>
  <c r="W66" i="59"/>
  <c r="AH136" i="48"/>
  <c r="AG23" i="48"/>
  <c r="K72" i="48"/>
  <c r="K79" i="48" s="1"/>
  <c r="K40" i="48"/>
  <c r="L35" i="48"/>
  <c r="V27" i="75"/>
  <c r="V26" i="75" s="1"/>
  <c r="V29" i="75" s="1"/>
  <c r="V98" i="75"/>
  <c r="V97" i="75" s="1"/>
  <c r="V100" i="75" s="1"/>
  <c r="V42" i="75"/>
  <c r="E74" i="55"/>
  <c r="E107" i="55"/>
  <c r="AF53" i="48"/>
  <c r="AE53" i="48"/>
  <c r="AD53" i="48"/>
  <c r="AC53" i="48"/>
  <c r="AD17" i="48"/>
  <c r="I76" i="59"/>
  <c r="I29" i="59" s="1"/>
  <c r="I39" i="75"/>
  <c r="I41" i="75" s="1"/>
  <c r="J101" i="75"/>
  <c r="AH15" i="25"/>
  <c r="AH14" i="25" s="1"/>
  <c r="AH11" i="25" s="1"/>
  <c r="AH20" i="25" s="1"/>
  <c r="AI13" i="25"/>
  <c r="X51" i="48"/>
  <c r="W51" i="48"/>
  <c r="V51" i="48"/>
  <c r="U51" i="48"/>
  <c r="X81" i="26"/>
  <c r="AF20" i="26"/>
  <c r="AE78" i="26"/>
  <c r="AE73" i="26" s="1"/>
  <c r="AE11" i="26"/>
  <c r="W15" i="21"/>
  <c r="C85" i="21"/>
  <c r="C87" i="21" s="1"/>
  <c r="X34" i="75"/>
  <c r="X99" i="75" s="1"/>
  <c r="X24" i="75"/>
  <c r="X28" i="75" s="1"/>
  <c r="X26" i="75" s="1"/>
  <c r="Y85" i="75"/>
  <c r="H4" i="35"/>
  <c r="I6" i="55" s="1"/>
  <c r="AK14" i="20"/>
  <c r="P43" i="38"/>
  <c r="R43" i="38" s="1"/>
  <c r="T44" i="38"/>
  <c r="N4" i="50"/>
  <c r="U66" i="59"/>
  <c r="U64" i="59" s="1"/>
  <c r="U67" i="59" s="1"/>
  <c r="D119" i="55"/>
  <c r="D86" i="55"/>
  <c r="AC20" i="20"/>
  <c r="AC36" i="20"/>
  <c r="AE66" i="59"/>
  <c r="AA57" i="20"/>
  <c r="AA58" i="20" s="1"/>
  <c r="T2" i="50"/>
  <c r="M74" i="48"/>
  <c r="M81" i="48" s="1"/>
  <c r="M42" i="48"/>
  <c r="AG53" i="48" s="1"/>
  <c r="N37" i="48"/>
  <c r="N42" i="48" s="1"/>
  <c r="O4" i="50"/>
  <c r="V66" i="59"/>
  <c r="V64" i="59" s="1"/>
  <c r="V67" i="59" s="1"/>
  <c r="AD57" i="20"/>
  <c r="AD58" i="20" s="1"/>
  <c r="W2" i="50"/>
  <c r="P97" i="75"/>
  <c r="P100" i="75" s="1"/>
  <c r="T30" i="59"/>
  <c r="M5" i="50" s="1"/>
  <c r="T66" i="59"/>
  <c r="T64" i="59" s="1"/>
  <c r="T67" i="59" s="1"/>
  <c r="AH138" i="48"/>
  <c r="AG26" i="48"/>
  <c r="J22" i="33"/>
  <c r="Y81" i="26"/>
  <c r="Y20" i="26"/>
  <c r="Y78" i="26" s="1"/>
  <c r="J96" i="55"/>
  <c r="J128" i="55"/>
  <c r="U99" i="75"/>
  <c r="U97" i="75" s="1"/>
  <c r="U100" i="75" s="1"/>
  <c r="N19" i="38"/>
  <c r="N46" i="38" s="1"/>
  <c r="N47" i="38" s="1"/>
  <c r="L46" i="38"/>
  <c r="L47" i="38" s="1"/>
  <c r="AH137" i="48"/>
  <c r="AG25" i="48"/>
  <c r="AD50" i="30"/>
  <c r="U12" i="30"/>
  <c r="AD49" i="30" s="1"/>
  <c r="G25" i="21"/>
  <c r="T38" i="75"/>
  <c r="T99" i="75"/>
  <c r="T97" i="75" s="1"/>
  <c r="T100" i="75" s="1"/>
  <c r="H41" i="75"/>
  <c r="AF17" i="20"/>
  <c r="AF15" i="20"/>
  <c r="AF18" i="20" s="1"/>
  <c r="Z57" i="20"/>
  <c r="Z58" i="20" s="1"/>
  <c r="S2" i="50"/>
  <c r="AH56" i="70"/>
  <c r="AG16" i="20"/>
  <c r="R43" i="30"/>
  <c r="H26" i="21"/>
  <c r="I33" i="59"/>
  <c r="J68" i="59"/>
  <c r="J32" i="59" s="1"/>
  <c r="H103" i="55"/>
  <c r="H70" i="55"/>
  <c r="X69" i="59"/>
  <c r="Y70" i="59"/>
  <c r="I71" i="38"/>
  <c r="I73" i="38"/>
  <c r="P43" i="30"/>
  <c r="F26" i="21"/>
  <c r="V43" i="30"/>
  <c r="L26" i="21"/>
  <c r="K38" i="48"/>
  <c r="K71" i="48"/>
  <c r="K78" i="48" s="1"/>
  <c r="L34" i="48"/>
  <c r="AB73" i="26"/>
  <c r="AI71" i="59"/>
  <c r="AI73" i="59" s="1"/>
  <c r="AI72" i="59" s="1"/>
  <c r="U81" i="26"/>
  <c r="AO13" i="26"/>
  <c r="O97" i="75"/>
  <c r="O100" i="75" s="1"/>
  <c r="AG51" i="59"/>
  <c r="AF26" i="59"/>
  <c r="AF66" i="59" s="1"/>
  <c r="AK20" i="70"/>
  <c r="AK27" i="70" s="1"/>
  <c r="I6" i="71" s="1"/>
  <c r="J32" i="55"/>
  <c r="J109" i="75"/>
  <c r="J37" i="75" s="1"/>
  <c r="D47" i="26"/>
  <c r="M20" i="26"/>
  <c r="M78" i="26" s="1"/>
  <c r="M73" i="26" s="1"/>
  <c r="V102" i="75"/>
  <c r="W103" i="75"/>
  <c r="O64" i="59"/>
  <c r="O67" i="59" s="1"/>
  <c r="G103" i="55"/>
  <c r="G70" i="55"/>
  <c r="AO33" i="26"/>
  <c r="S98" i="75"/>
  <c r="S97" i="75" s="1"/>
  <c r="S100" i="75" s="1"/>
  <c r="S27" i="75"/>
  <c r="S26" i="75" s="1"/>
  <c r="S29" i="75" s="1"/>
  <c r="N43" i="30"/>
  <c r="D26" i="21"/>
  <c r="E88" i="55"/>
  <c r="E121" i="55"/>
  <c r="N76" i="26"/>
  <c r="N73" i="26" s="1"/>
  <c r="N15" i="26"/>
  <c r="N20" i="26" s="1"/>
  <c r="N78" i="26" s="1"/>
  <c r="O28" i="26"/>
  <c r="N27" i="26"/>
  <c r="M97" i="75"/>
  <c r="M100" i="75" s="1"/>
  <c r="I96" i="55"/>
  <c r="I128" i="55"/>
  <c r="X49" i="48"/>
  <c r="W49" i="48"/>
  <c r="V49" i="48"/>
  <c r="U49" i="48"/>
  <c r="AH12" i="30"/>
  <c r="AG11" i="30"/>
  <c r="AG46" i="30" s="1"/>
  <c r="E6" i="35" s="1"/>
  <c r="F8" i="55" s="1"/>
  <c r="AB104" i="75"/>
  <c r="AB106" i="75" s="1"/>
  <c r="AB105" i="75" s="1"/>
  <c r="AH139" i="48"/>
  <c r="AG27" i="48"/>
  <c r="E22" i="35" s="1"/>
  <c r="F24" i="55" s="1"/>
  <c r="F78" i="55"/>
  <c r="F111" i="55"/>
  <c r="M25" i="21"/>
  <c r="D13" i="55" l="1"/>
  <c r="AM35" i="80"/>
  <c r="AF32" i="82"/>
  <c r="AF34" i="82"/>
  <c r="F3" i="84"/>
  <c r="L6" i="84"/>
  <c r="F10" i="84"/>
  <c r="G6" i="84"/>
  <c r="F8" i="84"/>
  <c r="AJ71" i="82"/>
  <c r="AI18" i="82"/>
  <c r="AG30" i="82"/>
  <c r="AI66" i="82"/>
  <c r="M85" i="82"/>
  <c r="M86" i="82" s="1"/>
  <c r="AJ69" i="82"/>
  <c r="AJ68" i="82" s="1"/>
  <c r="AJ18" i="82" s="1"/>
  <c r="AE29" i="49"/>
  <c r="C18" i="35"/>
  <c r="D20" i="55" s="1"/>
  <c r="D117" i="55" s="1"/>
  <c r="AE10" i="26"/>
  <c r="AE9" i="26" s="1"/>
  <c r="AF38" i="59"/>
  <c r="AG26" i="49"/>
  <c r="AG28" i="49" s="1"/>
  <c r="D11" i="35"/>
  <c r="E13" i="55" s="1"/>
  <c r="AI12" i="49"/>
  <c r="AJ12" i="49" s="1"/>
  <c r="AK12" i="49" s="1"/>
  <c r="D110" i="55"/>
  <c r="D77" i="55"/>
  <c r="AJ71" i="59"/>
  <c r="AJ73" i="59" s="1"/>
  <c r="AJ72" i="59" s="1"/>
  <c r="M94" i="59"/>
  <c r="AH14" i="59"/>
  <c r="F8" i="35"/>
  <c r="G10" i="55" s="1"/>
  <c r="M57" i="20"/>
  <c r="M58" i="20" s="1"/>
  <c r="F2" i="50"/>
  <c r="AC104" i="75"/>
  <c r="AC106" i="75" s="1"/>
  <c r="AC105" i="75"/>
  <c r="F88" i="55"/>
  <c r="F121" i="55"/>
  <c r="AI12" i="30"/>
  <c r="AH11" i="30"/>
  <c r="AH46" i="30" s="1"/>
  <c r="F6" i="35" s="1"/>
  <c r="G8" i="55" s="1"/>
  <c r="AB57" i="20"/>
  <c r="AB58" i="20" s="1"/>
  <c r="U2" i="50"/>
  <c r="Y14" i="74"/>
  <c r="Y13" i="74" s="1"/>
  <c r="Y11" i="74"/>
  <c r="Y19" i="74" s="1"/>
  <c r="Z12" i="74"/>
  <c r="AI137" i="48"/>
  <c r="AH25" i="48"/>
  <c r="D76" i="55"/>
  <c r="D109" i="55"/>
  <c r="K68" i="59"/>
  <c r="K32" i="59" s="1"/>
  <c r="J76" i="59"/>
  <c r="J29" i="59" s="1"/>
  <c r="Y73" i="26"/>
  <c r="T45" i="38"/>
  <c r="P45" i="38" s="1"/>
  <c r="P44" i="38"/>
  <c r="R44" i="38" s="1"/>
  <c r="AG39" i="59"/>
  <c r="D18" i="35"/>
  <c r="E20" i="55" s="1"/>
  <c r="AG21" i="48"/>
  <c r="E20" i="35" s="1"/>
  <c r="F22" i="55" s="1"/>
  <c r="L38" i="48"/>
  <c r="L71" i="48"/>
  <c r="L78" i="48" s="1"/>
  <c r="M34" i="48"/>
  <c r="AE17" i="48"/>
  <c r="AD124" i="48"/>
  <c r="AE124" i="48" s="1"/>
  <c r="AF124" i="48" s="1"/>
  <c r="AG124" i="48" s="1"/>
  <c r="AH124" i="48" s="1"/>
  <c r="AI124" i="48" s="1"/>
  <c r="AJ124" i="48" s="1"/>
  <c r="AK124" i="48" s="1"/>
  <c r="AL124" i="48" s="1"/>
  <c r="AM124" i="48" s="1"/>
  <c r="AN124" i="48" s="1"/>
  <c r="AI136" i="48"/>
  <c r="AH23" i="48"/>
  <c r="AH21" i="48" s="1"/>
  <c r="F20" i="35" s="1"/>
  <c r="G22" i="55" s="1"/>
  <c r="I129" i="55"/>
  <c r="I97" i="55"/>
  <c r="L41" i="48"/>
  <c r="M36" i="48"/>
  <c r="L73" i="48"/>
  <c r="L80" i="48" s="1"/>
  <c r="AB52" i="48"/>
  <c r="AA52" i="48"/>
  <c r="Z52" i="48"/>
  <c r="Y52" i="48"/>
  <c r="J129" i="55"/>
  <c r="J97" i="55"/>
  <c r="I4" i="35"/>
  <c r="J6" i="55" s="1"/>
  <c r="AL14" i="20"/>
  <c r="AI139" i="48"/>
  <c r="AH27" i="48"/>
  <c r="F22" i="35" s="1"/>
  <c r="G24" i="55" s="1"/>
  <c r="AB49" i="48"/>
  <c r="AA49" i="48"/>
  <c r="Y49" i="48"/>
  <c r="Z49" i="48"/>
  <c r="Q43" i="30"/>
  <c r="G26" i="21"/>
  <c r="I70" i="55"/>
  <c r="I103" i="55"/>
  <c r="AA36" i="20"/>
  <c r="AA20" i="20"/>
  <c r="Z85" i="75"/>
  <c r="Y24" i="75"/>
  <c r="Y28" i="75" s="1"/>
  <c r="Y26" i="75" s="1"/>
  <c r="Y34" i="75"/>
  <c r="Y99" i="75" s="1"/>
  <c r="AH51" i="59"/>
  <c r="AG26" i="59"/>
  <c r="AG66" i="59" s="1"/>
  <c r="AH26" i="48"/>
  <c r="AI138" i="48"/>
  <c r="N57" i="20"/>
  <c r="N58" i="20" s="1"/>
  <c r="G2" i="50"/>
  <c r="AI15" i="25"/>
  <c r="AI14" i="25" s="1"/>
  <c r="AI11" i="25"/>
  <c r="AI20" i="25" s="1"/>
  <c r="AJ13" i="25"/>
  <c r="AG17" i="20"/>
  <c r="AG15" i="20"/>
  <c r="AG18" i="20" s="1"/>
  <c r="F105" i="55"/>
  <c r="F72" i="55"/>
  <c r="W102" i="75"/>
  <c r="X103" i="75"/>
  <c r="AI56" i="70"/>
  <c r="AH16" i="20"/>
  <c r="Q36" i="38"/>
  <c r="Q46" i="38" s="1"/>
  <c r="Q47" i="38" s="1"/>
  <c r="O46" i="38"/>
  <c r="O47" i="38" s="1"/>
  <c r="W43" i="30"/>
  <c r="M26" i="21"/>
  <c r="J39" i="75"/>
  <c r="J41" i="75" s="1"/>
  <c r="K101" i="75"/>
  <c r="G111" i="55"/>
  <c r="G78" i="55"/>
  <c r="O76" i="26"/>
  <c r="O15" i="26"/>
  <c r="P28" i="26"/>
  <c r="O27" i="26"/>
  <c r="Y69" i="59"/>
  <c r="Z70" i="59"/>
  <c r="Z20" i="20"/>
  <c r="Z36" i="20"/>
  <c r="X16" i="59"/>
  <c r="X20" i="25"/>
  <c r="X15" i="59" s="1"/>
  <c r="Y21" i="25"/>
  <c r="F74" i="55"/>
  <c r="F107" i="55"/>
  <c r="AE57" i="20"/>
  <c r="AE58" i="20" s="1"/>
  <c r="C2" i="35"/>
  <c r="D4" i="55" s="1"/>
  <c r="L40" i="48"/>
  <c r="L72" i="48"/>
  <c r="L79" i="48" s="1"/>
  <c r="M35" i="48"/>
  <c r="W64" i="59"/>
  <c r="W67" i="59" s="1"/>
  <c r="AJ10" i="33"/>
  <c r="AI17" i="59"/>
  <c r="G12" i="35"/>
  <c r="H14" i="55" s="1"/>
  <c r="E47" i="26"/>
  <c r="E43" i="26" s="1"/>
  <c r="D43" i="26"/>
  <c r="AF78" i="26"/>
  <c r="AF73" i="26" s="1"/>
  <c r="AF11" i="26"/>
  <c r="AG20" i="26"/>
  <c r="Z51" i="48"/>
  <c r="Y51" i="48"/>
  <c r="AB51" i="48"/>
  <c r="AA51" i="48"/>
  <c r="AK17" i="30"/>
  <c r="AJ13" i="30"/>
  <c r="F4" i="84" l="1"/>
  <c r="AE35" i="82"/>
  <c r="AG32" i="82"/>
  <c r="AG34" i="82"/>
  <c r="G10" i="84"/>
  <c r="I6" i="84"/>
  <c r="I8" i="84" s="1"/>
  <c r="G8" i="84"/>
  <c r="G4" i="84"/>
  <c r="F11" i="84"/>
  <c r="L4" i="84"/>
  <c r="F9" i="84"/>
  <c r="G3" i="84"/>
  <c r="L3" i="84"/>
  <c r="D84" i="55"/>
  <c r="AJ66" i="82"/>
  <c r="AK71" i="82"/>
  <c r="AK69" i="82" s="1"/>
  <c r="AK68" i="82" s="1"/>
  <c r="AK18" i="82" s="1"/>
  <c r="M88" i="82"/>
  <c r="AH30" i="82"/>
  <c r="J33" i="59"/>
  <c r="J17" i="49"/>
  <c r="J18" i="49" s="1"/>
  <c r="AL12" i="49"/>
  <c r="AM12" i="49" s="1"/>
  <c r="AN12" i="49" s="1"/>
  <c r="E110" i="55"/>
  <c r="E77" i="55"/>
  <c r="AH26" i="49"/>
  <c r="AH28" i="49" s="1"/>
  <c r="AG38" i="59"/>
  <c r="E11" i="35"/>
  <c r="F13" i="55" s="1"/>
  <c r="AF10" i="26"/>
  <c r="AF9" i="26" s="1"/>
  <c r="D10" i="35"/>
  <c r="E12" i="55" s="1"/>
  <c r="AF29" i="49"/>
  <c r="AK71" i="59"/>
  <c r="AK73" i="59" s="1"/>
  <c r="AK72" i="59" s="1"/>
  <c r="K39" i="75"/>
  <c r="L101" i="75"/>
  <c r="K109" i="75"/>
  <c r="K37" i="75" s="1"/>
  <c r="AJ56" i="70"/>
  <c r="AI16" i="20"/>
  <c r="AE51" i="48"/>
  <c r="AD51" i="48"/>
  <c r="AF51" i="48"/>
  <c r="AC51" i="48"/>
  <c r="AE13" i="48"/>
  <c r="AM40" i="80" s="1"/>
  <c r="AJ138" i="48"/>
  <c r="AI26" i="48"/>
  <c r="M38" i="48"/>
  <c r="M71" i="48"/>
  <c r="M78" i="48" s="1"/>
  <c r="N34" i="48"/>
  <c r="N38" i="48" s="1"/>
  <c r="M72" i="48"/>
  <c r="M79" i="48" s="1"/>
  <c r="M40" i="48"/>
  <c r="N35" i="48"/>
  <c r="N40" i="48" s="1"/>
  <c r="N36" i="20"/>
  <c r="N20" i="20"/>
  <c r="AH20" i="26"/>
  <c r="AG78" i="26"/>
  <c r="AG73" i="26" s="1"/>
  <c r="AG11" i="26"/>
  <c r="D101" i="55"/>
  <c r="D68" i="55"/>
  <c r="AJ137" i="48"/>
  <c r="AI25" i="48"/>
  <c r="AD104" i="75"/>
  <c r="AD106" i="75" s="1"/>
  <c r="AD105" i="75" s="1"/>
  <c r="AF49" i="48"/>
  <c r="AE49" i="48"/>
  <c r="AD49" i="48"/>
  <c r="AC49" i="48"/>
  <c r="Z11" i="74"/>
  <c r="Z19" i="74" s="1"/>
  <c r="AA12" i="74"/>
  <c r="Z14" i="74"/>
  <c r="Z13" i="74" s="1"/>
  <c r="AH17" i="20"/>
  <c r="AH15" i="20"/>
  <c r="AH18" i="20" s="1"/>
  <c r="X102" i="75"/>
  <c r="Y103" i="75"/>
  <c r="AF17" i="48"/>
  <c r="C21" i="35"/>
  <c r="D23" i="55" s="1"/>
  <c r="Q28" i="26"/>
  <c r="P15" i="26"/>
  <c r="P20" i="26" s="1"/>
  <c r="P78" i="26" s="1"/>
  <c r="P27" i="26"/>
  <c r="P76" i="26"/>
  <c r="AF57" i="20"/>
  <c r="AF58" i="20" s="1"/>
  <c r="D2" i="35"/>
  <c r="E4" i="55" s="1"/>
  <c r="O20" i="26"/>
  <c r="O78" i="26" s="1"/>
  <c r="O73" i="26" s="1"/>
  <c r="AI51" i="59"/>
  <c r="AH26" i="59"/>
  <c r="AH66" i="59" s="1"/>
  <c r="F119" i="55"/>
  <c r="F86" i="55"/>
  <c r="AA70" i="59"/>
  <c r="Z69" i="59"/>
  <c r="E117" i="55"/>
  <c r="E84" i="55"/>
  <c r="M36" i="20"/>
  <c r="M20" i="20"/>
  <c r="G74" i="55"/>
  <c r="G107" i="55"/>
  <c r="Y14" i="75"/>
  <c r="Y16" i="59"/>
  <c r="Y20" i="25"/>
  <c r="Y15" i="59" s="1"/>
  <c r="M41" i="48"/>
  <c r="N36" i="48"/>
  <c r="N41" i="48" s="1"/>
  <c r="M73" i="48"/>
  <c r="M80" i="48" s="1"/>
  <c r="X14" i="59"/>
  <c r="X65" i="59" s="1"/>
  <c r="X64" i="59" s="1"/>
  <c r="X67" i="59" s="1"/>
  <c r="AA85" i="75"/>
  <c r="Z34" i="75"/>
  <c r="Z99" i="75" s="1"/>
  <c r="Z24" i="75"/>
  <c r="AD52" i="48"/>
  <c r="AC52" i="48"/>
  <c r="AF15" i="48"/>
  <c r="AG15" i="48" s="1"/>
  <c r="AH15" i="48" s="1"/>
  <c r="AI15" i="48" s="1"/>
  <c r="AJ15" i="48" s="1"/>
  <c r="AK15" i="48" s="1"/>
  <c r="AL15" i="48" s="1"/>
  <c r="AM15" i="48" s="1"/>
  <c r="AN15" i="48" s="1"/>
  <c r="AE52" i="48"/>
  <c r="AF52" i="48"/>
  <c r="G88" i="55"/>
  <c r="G121" i="55"/>
  <c r="R45" i="38"/>
  <c r="R46" i="38" s="1"/>
  <c r="R47" i="38" s="1"/>
  <c r="P46" i="38"/>
  <c r="P47" i="38" s="1"/>
  <c r="M95" i="59"/>
  <c r="M97" i="59"/>
  <c r="AH39" i="59"/>
  <c r="E18" i="35"/>
  <c r="F20" i="55" s="1"/>
  <c r="H111" i="55"/>
  <c r="H78" i="55"/>
  <c r="X14" i="75"/>
  <c r="AJ15" i="25"/>
  <c r="AJ14" i="25" s="1"/>
  <c r="AJ11" i="25"/>
  <c r="AJ20" i="25" s="1"/>
  <c r="AK13" i="25"/>
  <c r="AJ139" i="48"/>
  <c r="AI27" i="48"/>
  <c r="G22" i="35" s="1"/>
  <c r="H24" i="55" s="1"/>
  <c r="Y57" i="20"/>
  <c r="Y58" i="20" s="1"/>
  <c r="R2" i="50"/>
  <c r="AB20" i="20"/>
  <c r="AB36" i="20"/>
  <c r="AI14" i="59"/>
  <c r="G8" i="35"/>
  <c r="H10" i="55" s="1"/>
  <c r="AM14" i="20"/>
  <c r="G86" i="55"/>
  <c r="G119" i="55"/>
  <c r="G72" i="55"/>
  <c r="G105" i="55"/>
  <c r="AL17" i="30"/>
  <c r="AK13" i="30"/>
  <c r="AJ17" i="59"/>
  <c r="AK10" i="33"/>
  <c r="H12" i="35"/>
  <c r="I14" i="55" s="1"/>
  <c r="J70" i="55"/>
  <c r="J103" i="55"/>
  <c r="AJ136" i="48"/>
  <c r="AI23" i="48"/>
  <c r="AI21" i="48" s="1"/>
  <c r="G20" i="35" s="1"/>
  <c r="H22" i="55" s="1"/>
  <c r="L68" i="59"/>
  <c r="L32" i="59" s="1"/>
  <c r="K76" i="59"/>
  <c r="K29" i="59" s="1"/>
  <c r="AJ12" i="30"/>
  <c r="AI11" i="30"/>
  <c r="AI46" i="30" s="1"/>
  <c r="G6" i="35" s="1"/>
  <c r="H8" i="55" s="1"/>
  <c r="G11" i="84" l="1"/>
  <c r="I4" i="84"/>
  <c r="AH32" i="82"/>
  <c r="AH34" i="82"/>
  <c r="I3" i="84"/>
  <c r="I9" i="84" s="1"/>
  <c r="G9" i="84"/>
  <c r="AK66" i="82"/>
  <c r="AL71" i="82"/>
  <c r="AL69" i="82" s="1"/>
  <c r="AL68" i="82" s="1"/>
  <c r="AL18" i="82" s="1"/>
  <c r="AI30" i="82"/>
  <c r="E76" i="55"/>
  <c r="E109" i="55"/>
  <c r="F110" i="55"/>
  <c r="F77" i="55"/>
  <c r="AG29" i="49"/>
  <c r="AG10" i="26"/>
  <c r="AG9" i="26" s="1"/>
  <c r="E10" i="35"/>
  <c r="F12" i="55" s="1"/>
  <c r="AH38" i="59"/>
  <c r="AI26" i="49"/>
  <c r="AI28" i="49" s="1"/>
  <c r="F11" i="35"/>
  <c r="G13" i="55" s="1"/>
  <c r="J19" i="49"/>
  <c r="K19" i="49"/>
  <c r="O57" i="20"/>
  <c r="O58" i="20" s="1"/>
  <c r="H2" i="50"/>
  <c r="AE104" i="75"/>
  <c r="AE106" i="75" s="1"/>
  <c r="AE105" i="75" s="1"/>
  <c r="AL71" i="59"/>
  <c r="AL73" i="59" s="1"/>
  <c r="AL72" i="59" s="1"/>
  <c r="AK12" i="30"/>
  <c r="AJ11" i="30"/>
  <c r="AJ46" i="30" s="1"/>
  <c r="H6" i="35" s="1"/>
  <c r="I8" i="55" s="1"/>
  <c r="E101" i="55"/>
  <c r="E68" i="55"/>
  <c r="AH11" i="26"/>
  <c r="AH78" i="26"/>
  <c r="AH73" i="26" s="1"/>
  <c r="AI20" i="26"/>
  <c r="AM17" i="30"/>
  <c r="AL13" i="30"/>
  <c r="AJ14" i="59"/>
  <c r="H8" i="35"/>
  <c r="I10" i="55" s="1"/>
  <c r="K33" i="59"/>
  <c r="D3" i="50" s="1"/>
  <c r="AA34" i="75"/>
  <c r="AA99" i="75" s="1"/>
  <c r="AA24" i="75"/>
  <c r="AB85" i="75"/>
  <c r="M68" i="59"/>
  <c r="M32" i="59" s="1"/>
  <c r="L76" i="59"/>
  <c r="L29" i="59" s="1"/>
  <c r="P73" i="26"/>
  <c r="AI17" i="20"/>
  <c r="AI15" i="20"/>
  <c r="AI18" i="20" s="1"/>
  <c r="H86" i="55"/>
  <c r="H119" i="55"/>
  <c r="AK56" i="70"/>
  <c r="AJ16" i="20"/>
  <c r="AL13" i="25"/>
  <c r="AK11" i="25"/>
  <c r="AK20" i="25" s="1"/>
  <c r="AK15" i="25"/>
  <c r="AK14" i="25" s="1"/>
  <c r="AK136" i="48"/>
  <c r="AJ23" i="48"/>
  <c r="AJ51" i="48"/>
  <c r="AI51" i="48"/>
  <c r="AH51" i="48"/>
  <c r="AG51" i="48"/>
  <c r="H74" i="55"/>
  <c r="H107" i="55"/>
  <c r="Q15" i="26"/>
  <c r="Q20" i="26" s="1"/>
  <c r="Q78" i="26" s="1"/>
  <c r="Q76" i="26"/>
  <c r="Q73" i="26" s="1"/>
  <c r="R28" i="26"/>
  <c r="Q27" i="26"/>
  <c r="L39" i="75"/>
  <c r="M101" i="75"/>
  <c r="L109" i="75"/>
  <c r="L37" i="75" s="1"/>
  <c r="D87" i="55"/>
  <c r="D120" i="55"/>
  <c r="K41" i="75"/>
  <c r="Z28" i="75"/>
  <c r="Z26" i="75" s="1"/>
  <c r="AB12" i="74"/>
  <c r="AA14" i="74"/>
  <c r="AA13" i="74" s="1"/>
  <c r="AA11" i="74" s="1"/>
  <c r="AA19" i="74" s="1"/>
  <c r="AN14" i="20"/>
  <c r="I111" i="55"/>
  <c r="I78" i="55"/>
  <c r="AI52" i="48"/>
  <c r="AH52" i="48"/>
  <c r="AJ52" i="48"/>
  <c r="AG52" i="48"/>
  <c r="AA69" i="59"/>
  <c r="AB70" i="59"/>
  <c r="AG17" i="48"/>
  <c r="D21" i="35"/>
  <c r="E23" i="55" s="1"/>
  <c r="AK17" i="59"/>
  <c r="AL10" i="33"/>
  <c r="I12" i="35"/>
  <c r="J14" i="55" s="1"/>
  <c r="Z103" i="75"/>
  <c r="Y102" i="75"/>
  <c r="AK137" i="48"/>
  <c r="AJ25" i="48"/>
  <c r="AH49" i="48"/>
  <c r="AG49" i="48"/>
  <c r="AG10" i="48"/>
  <c r="AJ49" i="48"/>
  <c r="AI49" i="48"/>
  <c r="H72" i="55"/>
  <c r="H105" i="55"/>
  <c r="AK139" i="48"/>
  <c r="AJ27" i="48"/>
  <c r="H22" i="35" s="1"/>
  <c r="I24" i="55" s="1"/>
  <c r="E2" i="35"/>
  <c r="F4" i="55" s="1"/>
  <c r="AG57" i="20"/>
  <c r="AG58" i="20" s="1"/>
  <c r="AI39" i="59"/>
  <c r="F18" i="35"/>
  <c r="G20" i="55" s="1"/>
  <c r="F117" i="55"/>
  <c r="F84" i="55"/>
  <c r="Y20" i="20"/>
  <c r="Y36" i="20"/>
  <c r="Y14" i="59"/>
  <c r="Y65" i="59" s="1"/>
  <c r="Y64" i="59" s="1"/>
  <c r="Y67" i="59" s="1"/>
  <c r="AJ26" i="48"/>
  <c r="AK138" i="48"/>
  <c r="H88" i="55"/>
  <c r="H121" i="55"/>
  <c r="AI26" i="59"/>
  <c r="AI66" i="59" s="1"/>
  <c r="AJ51" i="59"/>
  <c r="AE30" i="48"/>
  <c r="AF13" i="48"/>
  <c r="AE9" i="48"/>
  <c r="AI32" i="82" l="1"/>
  <c r="AI34" i="82"/>
  <c r="AL66" i="82"/>
  <c r="AM71" i="82"/>
  <c r="AM69" i="82" s="1"/>
  <c r="AM68" i="82" s="1"/>
  <c r="AM18" i="82" s="1"/>
  <c r="AJ30" i="82"/>
  <c r="AH29" i="49"/>
  <c r="F10" i="35"/>
  <c r="G12" i="55" s="1"/>
  <c r="AH10" i="26"/>
  <c r="AH9" i="26" s="1"/>
  <c r="G110" i="55"/>
  <c r="G77" i="55"/>
  <c r="G11" i="35"/>
  <c r="H13" i="55" s="1"/>
  <c r="AJ26" i="49"/>
  <c r="AJ28" i="49" s="1"/>
  <c r="AI38" i="59"/>
  <c r="F76" i="55"/>
  <c r="F109" i="55"/>
  <c r="AF105" i="75"/>
  <c r="AF104" i="75"/>
  <c r="AF106" i="75" s="1"/>
  <c r="AJ39" i="59"/>
  <c r="G18" i="35"/>
  <c r="H20" i="55" s="1"/>
  <c r="AA103" i="75"/>
  <c r="Z102" i="75"/>
  <c r="AL139" i="48"/>
  <c r="AK27" i="48"/>
  <c r="I22" i="35" s="1"/>
  <c r="J24" i="55" s="1"/>
  <c r="AC12" i="74"/>
  <c r="AB14" i="74"/>
  <c r="AB13" i="74" s="1"/>
  <c r="AB11" i="74" s="1"/>
  <c r="AB19" i="74" s="1"/>
  <c r="AH17" i="48"/>
  <c r="E21" i="35"/>
  <c r="F23" i="55" s="1"/>
  <c r="AH57" i="20"/>
  <c r="AH58" i="20" s="1"/>
  <c r="F2" i="35"/>
  <c r="G4" i="55" s="1"/>
  <c r="L41" i="75"/>
  <c r="AJ21" i="48"/>
  <c r="H20" i="35" s="1"/>
  <c r="I22" i="55" s="1"/>
  <c r="AA28" i="75"/>
  <c r="AA26" i="75" s="1"/>
  <c r="AC70" i="59"/>
  <c r="AB69" i="59"/>
  <c r="AL136" i="48"/>
  <c r="AK23" i="48"/>
  <c r="N68" i="59"/>
  <c r="N32" i="59" s="1"/>
  <c r="M76" i="59"/>
  <c r="M29" i="59" s="1"/>
  <c r="E120" i="55"/>
  <c r="E87" i="55"/>
  <c r="Q57" i="20"/>
  <c r="Q58" i="20" s="1"/>
  <c r="J2" i="50"/>
  <c r="AL138" i="48"/>
  <c r="AK26" i="48"/>
  <c r="AH10" i="48"/>
  <c r="AG29" i="48"/>
  <c r="AK10" i="48"/>
  <c r="L33" i="59"/>
  <c r="E3" i="50" s="1"/>
  <c r="AK14" i="59"/>
  <c r="I8" i="35"/>
  <c r="J10" i="55" s="1"/>
  <c r="AC85" i="75"/>
  <c r="AB34" i="75"/>
  <c r="AB99" i="75" s="1"/>
  <c r="AB24" i="75"/>
  <c r="I72" i="55"/>
  <c r="I105" i="55"/>
  <c r="AF30" i="48"/>
  <c r="AG13" i="48"/>
  <c r="AG9" i="48" s="1"/>
  <c r="AF9" i="48"/>
  <c r="AJ17" i="20"/>
  <c r="AJ15" i="20"/>
  <c r="AJ18" i="20" s="1"/>
  <c r="G117" i="55"/>
  <c r="G84" i="55"/>
  <c r="AL137" i="48"/>
  <c r="AK25" i="48"/>
  <c r="AL56" i="70"/>
  <c r="AK16" i="20"/>
  <c r="AM71" i="59"/>
  <c r="AM73" i="59" s="1"/>
  <c r="AM72" i="59" s="1"/>
  <c r="I74" i="55"/>
  <c r="I107" i="55"/>
  <c r="AL12" i="30"/>
  <c r="AK11" i="30"/>
  <c r="AK46" i="30" s="1"/>
  <c r="I6" i="35" s="1"/>
  <c r="J8" i="55" s="1"/>
  <c r="AJ26" i="59"/>
  <c r="AJ66" i="59" s="1"/>
  <c r="AK51" i="59"/>
  <c r="F101" i="55"/>
  <c r="F68" i="55"/>
  <c r="J111" i="55"/>
  <c r="J78" i="55"/>
  <c r="AM13" i="25"/>
  <c r="AL11" i="25"/>
  <c r="AL20" i="25" s="1"/>
  <c r="AL14" i="59" s="1"/>
  <c r="AL15" i="25"/>
  <c r="AL14" i="25" s="1"/>
  <c r="I88" i="55"/>
  <c r="I121" i="55"/>
  <c r="AL17" i="59"/>
  <c r="AM10" i="33"/>
  <c r="K22" i="33"/>
  <c r="AE28" i="48"/>
  <c r="C19" i="35"/>
  <c r="D21" i="55" s="1"/>
  <c r="M39" i="75"/>
  <c r="N101" i="75"/>
  <c r="M109" i="75"/>
  <c r="M37" i="75" s="1"/>
  <c r="R15" i="26"/>
  <c r="S28" i="26"/>
  <c r="R27" i="26"/>
  <c r="R76" i="26"/>
  <c r="P57" i="20"/>
  <c r="P58" i="20" s="1"/>
  <c r="I2" i="50"/>
  <c r="AN17" i="30"/>
  <c r="AN13" i="30" s="1"/>
  <c r="AM13" i="30"/>
  <c r="AI78" i="26"/>
  <c r="AI73" i="26" s="1"/>
  <c r="AI11" i="26"/>
  <c r="AJ20" i="26"/>
  <c r="O20" i="20"/>
  <c r="O36" i="20"/>
  <c r="AJ32" i="82" l="1"/>
  <c r="AJ34" i="82"/>
  <c r="AM66" i="82"/>
  <c r="AN71" i="82"/>
  <c r="AN69" i="82" s="1"/>
  <c r="AN68" i="82" s="1"/>
  <c r="AK30" i="82"/>
  <c r="N85" i="82"/>
  <c r="M33" i="59"/>
  <c r="F3" i="50" s="1"/>
  <c r="AI29" i="49"/>
  <c r="AI10" i="26"/>
  <c r="G10" i="35"/>
  <c r="H12" i="55" s="1"/>
  <c r="H11" i="35"/>
  <c r="I13" i="55" s="1"/>
  <c r="AK26" i="49"/>
  <c r="AK28" i="49" s="1"/>
  <c r="AJ38" i="59"/>
  <c r="H77" i="55"/>
  <c r="H110" i="55"/>
  <c r="G76" i="55"/>
  <c r="G109" i="55"/>
  <c r="AI9" i="26"/>
  <c r="AN71" i="59"/>
  <c r="AN73" i="59" s="1"/>
  <c r="AN72" i="59" s="1"/>
  <c r="N94" i="59"/>
  <c r="M41" i="75"/>
  <c r="AL25" i="48"/>
  <c r="AM137" i="48"/>
  <c r="AJ78" i="26"/>
  <c r="AJ73" i="26" s="1"/>
  <c r="AK20" i="26"/>
  <c r="AJ11" i="26"/>
  <c r="D85" i="55"/>
  <c r="D118" i="55"/>
  <c r="AD85" i="75"/>
  <c r="AE85" i="75" s="1"/>
  <c r="AF85" i="75" s="1"/>
  <c r="AG85" i="75" s="1"/>
  <c r="AC24" i="75"/>
  <c r="AC34" i="75"/>
  <c r="AC99" i="75" s="1"/>
  <c r="AC14" i="74"/>
  <c r="AC13" i="74" s="1"/>
  <c r="AC11" i="74" s="1"/>
  <c r="AC19" i="74" s="1"/>
  <c r="I86" i="55"/>
  <c r="I119" i="55"/>
  <c r="J88" i="55"/>
  <c r="J121" i="55"/>
  <c r="AM56" i="70"/>
  <c r="AL16" i="20"/>
  <c r="N39" i="75"/>
  <c r="O101" i="75"/>
  <c r="N109" i="75"/>
  <c r="N37" i="75" s="1"/>
  <c r="AK26" i="59"/>
  <c r="AK66" i="59" s="1"/>
  <c r="AL51" i="59"/>
  <c r="AI57" i="20"/>
  <c r="AI58" i="20" s="1"/>
  <c r="G2" i="35"/>
  <c r="H4" i="55" s="1"/>
  <c r="Q20" i="20"/>
  <c r="Q36" i="20"/>
  <c r="AL27" i="48"/>
  <c r="AM139" i="48"/>
  <c r="AM138" i="48"/>
  <c r="AL26" i="48"/>
  <c r="AM17" i="59"/>
  <c r="AN10" i="33"/>
  <c r="AN17" i="59" s="1"/>
  <c r="AF28" i="48"/>
  <c r="D19" i="35"/>
  <c r="E21" i="55" s="1"/>
  <c r="AA102" i="75"/>
  <c r="AB103" i="75"/>
  <c r="P20" i="20"/>
  <c r="P36" i="20"/>
  <c r="AG30" i="48"/>
  <c r="AH13" i="48"/>
  <c r="AH9" i="48" s="1"/>
  <c r="H117" i="55"/>
  <c r="H84" i="55"/>
  <c r="J72" i="55"/>
  <c r="J105" i="55"/>
  <c r="R73" i="26"/>
  <c r="O68" i="59"/>
  <c r="O32" i="59" s="1"/>
  <c r="N76" i="59"/>
  <c r="N29" i="59" s="1"/>
  <c r="AK39" i="59"/>
  <c r="H18" i="35"/>
  <c r="I20" i="55" s="1"/>
  <c r="AG28" i="48"/>
  <c r="E19" i="35"/>
  <c r="F21" i="55" s="1"/>
  <c r="AI10" i="48"/>
  <c r="AH29" i="48"/>
  <c r="AI17" i="48"/>
  <c r="F21" i="35"/>
  <c r="G23" i="55" s="1"/>
  <c r="J74" i="55"/>
  <c r="J107" i="55"/>
  <c r="AM12" i="30"/>
  <c r="AL11" i="30"/>
  <c r="AL46" i="30" s="1"/>
  <c r="G101" i="55"/>
  <c r="G68" i="55"/>
  <c r="F120" i="55"/>
  <c r="F87" i="55"/>
  <c r="AB28" i="75"/>
  <c r="AB26" i="75" s="1"/>
  <c r="AD70" i="59"/>
  <c r="AC69" i="59"/>
  <c r="S76" i="26"/>
  <c r="S27" i="26"/>
  <c r="S15" i="26"/>
  <c r="S20" i="26" s="1"/>
  <c r="S78" i="26" s="1"/>
  <c r="T28" i="26"/>
  <c r="AN13" i="25"/>
  <c r="AM11" i="25"/>
  <c r="AM20" i="25" s="1"/>
  <c r="AM14" i="59" s="1"/>
  <c r="AM15" i="25"/>
  <c r="AM14" i="25" s="1"/>
  <c r="AL10" i="48"/>
  <c r="AK29" i="48"/>
  <c r="AK21" i="48"/>
  <c r="I20" i="35" s="1"/>
  <c r="J22" i="55" s="1"/>
  <c r="R20" i="26"/>
  <c r="R78" i="26" s="1"/>
  <c r="AK17" i="20"/>
  <c r="AK15" i="20"/>
  <c r="AK18" i="20" s="1"/>
  <c r="AM136" i="48"/>
  <c r="AL23" i="48"/>
  <c r="AL21" i="48" s="1"/>
  <c r="AK32" i="82" l="1"/>
  <c r="AK34" i="82"/>
  <c r="AN66" i="82"/>
  <c r="AN18" i="82"/>
  <c r="AL30" i="82"/>
  <c r="N86" i="82"/>
  <c r="N88" i="82"/>
  <c r="AL26" i="49"/>
  <c r="AL28" i="49" s="1"/>
  <c r="I11" i="35"/>
  <c r="J13" i="55" s="1"/>
  <c r="AK38" i="59"/>
  <c r="I77" i="55"/>
  <c r="I110" i="55"/>
  <c r="AJ29" i="49"/>
  <c r="H10" i="35"/>
  <c r="I12" i="55" s="1"/>
  <c r="AJ10" i="26"/>
  <c r="AJ9" i="26" s="1"/>
  <c r="H109" i="55"/>
  <c r="H76" i="55"/>
  <c r="AL29" i="48"/>
  <c r="AM10" i="48"/>
  <c r="AH28" i="48"/>
  <c r="F19" i="35"/>
  <c r="G21" i="55" s="1"/>
  <c r="AI29" i="48"/>
  <c r="AJ10" i="48"/>
  <c r="F85" i="55"/>
  <c r="F118" i="55"/>
  <c r="O39" i="75"/>
  <c r="P101" i="75"/>
  <c r="O109" i="75"/>
  <c r="O37" i="75" s="1"/>
  <c r="AL26" i="59"/>
  <c r="AM51" i="59"/>
  <c r="AN15" i="25"/>
  <c r="AN14" i="25" s="1"/>
  <c r="AN11" i="25"/>
  <c r="AN20" i="25" s="1"/>
  <c r="AN14" i="59" s="1"/>
  <c r="I84" i="55"/>
  <c r="I117" i="55"/>
  <c r="N41" i="75"/>
  <c r="E85" i="55"/>
  <c r="E118" i="55"/>
  <c r="AL17" i="20"/>
  <c r="AL15" i="20"/>
  <c r="AL18" i="20" s="1"/>
  <c r="AM27" i="48"/>
  <c r="AN139" i="48"/>
  <c r="AN27" i="48" s="1"/>
  <c r="AM25" i="48"/>
  <c r="AN137" i="48"/>
  <c r="AN25" i="48" s="1"/>
  <c r="AN136" i="48"/>
  <c r="AN23" i="48" s="1"/>
  <c r="AM23" i="48"/>
  <c r="AN56" i="70"/>
  <c r="AN16" i="20" s="1"/>
  <c r="AM16" i="20"/>
  <c r="H2" i="35"/>
  <c r="I4" i="55" s="1"/>
  <c r="AJ57" i="20"/>
  <c r="AJ58" i="20" s="1"/>
  <c r="AM11" i="30"/>
  <c r="AM46" i="30" s="1"/>
  <c r="AN12" i="30"/>
  <c r="AN11" i="30" s="1"/>
  <c r="AN46" i="30" s="1"/>
  <c r="P68" i="59"/>
  <c r="P32" i="59" s="1"/>
  <c r="O76" i="59"/>
  <c r="O29" i="59" s="1"/>
  <c r="AC28" i="75"/>
  <c r="AC26" i="75" s="1"/>
  <c r="U28" i="26"/>
  <c r="T76" i="26"/>
  <c r="T27" i="26"/>
  <c r="T15" i="26"/>
  <c r="T20" i="26" s="1"/>
  <c r="T78" i="26" s="1"/>
  <c r="AN138" i="48"/>
  <c r="AN26" i="48" s="1"/>
  <c r="AM26" i="48"/>
  <c r="AH30" i="48"/>
  <c r="AI13" i="48"/>
  <c r="AI9" i="48" s="1"/>
  <c r="S73" i="26"/>
  <c r="N33" i="59"/>
  <c r="G3" i="50" s="1"/>
  <c r="AE70" i="59"/>
  <c r="AD69" i="59"/>
  <c r="N97" i="59"/>
  <c r="N95" i="59"/>
  <c r="AL39" i="59"/>
  <c r="AM39" i="59" s="1"/>
  <c r="AN39" i="59" s="1"/>
  <c r="I18" i="35"/>
  <c r="J20" i="55" s="1"/>
  <c r="AL20" i="26"/>
  <c r="AK78" i="26"/>
  <c r="AK73" i="26" s="1"/>
  <c r="AK11" i="26"/>
  <c r="J86" i="55"/>
  <c r="J119" i="55"/>
  <c r="G120" i="55"/>
  <c r="G87" i="55"/>
  <c r="AB102" i="75"/>
  <c r="AC103" i="75"/>
  <c r="AJ17" i="48"/>
  <c r="G21" i="35"/>
  <c r="H23" i="55" s="1"/>
  <c r="R57" i="20"/>
  <c r="R58" i="20" s="1"/>
  <c r="K2" i="50"/>
  <c r="H101" i="55"/>
  <c r="H68" i="55"/>
  <c r="AL32" i="82" l="1"/>
  <c r="AL34" i="82"/>
  <c r="AN30" i="82"/>
  <c r="AN32" i="82" s="1"/>
  <c r="AM30" i="82"/>
  <c r="AM32" i="82" s="1"/>
  <c r="I76" i="55"/>
  <c r="I109" i="55"/>
  <c r="J77" i="55"/>
  <c r="J110" i="55"/>
  <c r="AM26" i="49"/>
  <c r="AM28" i="49" s="1"/>
  <c r="AL38" i="59"/>
  <c r="I10" i="35"/>
  <c r="J12" i="55" s="1"/>
  <c r="AK10" i="26"/>
  <c r="AK9" i="26" s="1"/>
  <c r="AK29" i="49"/>
  <c r="AI28" i="48"/>
  <c r="G19" i="35"/>
  <c r="H21" i="55" s="1"/>
  <c r="V28" i="26"/>
  <c r="U27" i="26"/>
  <c r="U76" i="26"/>
  <c r="U73" i="26" s="1"/>
  <c r="U15" i="26"/>
  <c r="U20" i="26" s="1"/>
  <c r="U78" i="26" s="1"/>
  <c r="AM21" i="48"/>
  <c r="AJ29" i="48"/>
  <c r="AK57" i="20"/>
  <c r="AK58" i="20" s="1"/>
  <c r="I2" i="35"/>
  <c r="J4" i="55" s="1"/>
  <c r="H120" i="55"/>
  <c r="H87" i="55"/>
  <c r="AK17" i="48"/>
  <c r="H21" i="35"/>
  <c r="I23" i="55" s="1"/>
  <c r="AN21" i="48"/>
  <c r="AL78" i="26"/>
  <c r="AL73" i="26" s="1"/>
  <c r="AL57" i="20" s="1"/>
  <c r="AL58" i="20" s="1"/>
  <c r="AM20" i="26"/>
  <c r="AL11" i="26"/>
  <c r="AN17" i="20"/>
  <c r="AN15" i="20"/>
  <c r="O41" i="75"/>
  <c r="D135" i="75"/>
  <c r="J84" i="55"/>
  <c r="J117" i="55"/>
  <c r="AM17" i="20"/>
  <c r="AM15" i="20"/>
  <c r="AM18" i="20" s="1"/>
  <c r="G118" i="55"/>
  <c r="G85" i="55"/>
  <c r="I101" i="55"/>
  <c r="I68" i="55"/>
  <c r="R20" i="20"/>
  <c r="R36" i="20"/>
  <c r="T73" i="26"/>
  <c r="AC102" i="75"/>
  <c r="AD103" i="75"/>
  <c r="Q68" i="59"/>
  <c r="Q32" i="59" s="1"/>
  <c r="P76" i="59"/>
  <c r="P29" i="59" s="1"/>
  <c r="AM26" i="59"/>
  <c r="AN51" i="59"/>
  <c r="AN26" i="59" s="1"/>
  <c r="AN66" i="59" s="1"/>
  <c r="AM29" i="48"/>
  <c r="AN10" i="48"/>
  <c r="AF70" i="59"/>
  <c r="AE69" i="59"/>
  <c r="O33" i="59"/>
  <c r="H3" i="50" s="1"/>
  <c r="S57" i="20"/>
  <c r="S58" i="20" s="1"/>
  <c r="L2" i="50"/>
  <c r="AL66" i="59"/>
  <c r="Q101" i="75"/>
  <c r="P39" i="75"/>
  <c r="P109" i="75"/>
  <c r="P37" i="75" s="1"/>
  <c r="AI30" i="48"/>
  <c r="AJ13" i="48"/>
  <c r="AJ9" i="48" s="1"/>
  <c r="AN18" i="20" l="1"/>
  <c r="P33" i="59"/>
  <c r="I3" i="50" s="1"/>
  <c r="AM38" i="59"/>
  <c r="AN26" i="49"/>
  <c r="AN28" i="49" s="1"/>
  <c r="AL10" i="26"/>
  <c r="AL29" i="49"/>
  <c r="J109" i="55"/>
  <c r="J76" i="55"/>
  <c r="AL9" i="26"/>
  <c r="AJ28" i="48"/>
  <c r="H19" i="35"/>
  <c r="I21" i="55" s="1"/>
  <c r="J101" i="55"/>
  <c r="J68" i="55"/>
  <c r="T57" i="20"/>
  <c r="T58" i="20" s="1"/>
  <c r="M2" i="50"/>
  <c r="AG70" i="59"/>
  <c r="AF69" i="59"/>
  <c r="AM78" i="26"/>
  <c r="AM73" i="26" s="1"/>
  <c r="AM57" i="20" s="1"/>
  <c r="AM58" i="20" s="1"/>
  <c r="AN20" i="26"/>
  <c r="AM11" i="26"/>
  <c r="AE103" i="75"/>
  <c r="AD102" i="75"/>
  <c r="AN29" i="48"/>
  <c r="AJ30" i="48"/>
  <c r="AK13" i="48"/>
  <c r="U57" i="20"/>
  <c r="U58" i="20" s="1"/>
  <c r="N2" i="50"/>
  <c r="R68" i="59"/>
  <c r="R32" i="59" s="1"/>
  <c r="Q76" i="59"/>
  <c r="Q29" i="59" s="1"/>
  <c r="S20" i="20"/>
  <c r="S36" i="20"/>
  <c r="AL17" i="48"/>
  <c r="AM17" i="48" s="1"/>
  <c r="AN17" i="48" s="1"/>
  <c r="I21" i="35"/>
  <c r="J23" i="55" s="1"/>
  <c r="V76" i="26"/>
  <c r="V27" i="26"/>
  <c r="W28" i="26"/>
  <c r="V15" i="26"/>
  <c r="V20" i="26" s="1"/>
  <c r="V78" i="26" s="1"/>
  <c r="I120" i="55"/>
  <c r="I87" i="55"/>
  <c r="P41" i="75"/>
  <c r="AM66" i="59"/>
  <c r="H118" i="55"/>
  <c r="H85" i="55"/>
  <c r="R101" i="75"/>
  <c r="Q39" i="75"/>
  <c r="Q41" i="75" s="1"/>
  <c r="Q109" i="75"/>
  <c r="Q37" i="75" s="1"/>
  <c r="AN10" i="26" l="1"/>
  <c r="AN38" i="59"/>
  <c r="AM10" i="26"/>
  <c r="AM9" i="26" s="1"/>
  <c r="AM29" i="49"/>
  <c r="S101" i="75"/>
  <c r="R39" i="75"/>
  <c r="R41" i="75" s="1"/>
  <c r="R109" i="75"/>
  <c r="R37" i="75" s="1"/>
  <c r="AE102" i="75"/>
  <c r="AF103" i="75"/>
  <c r="AF102" i="75" s="1"/>
  <c r="AN78" i="26"/>
  <c r="AN73" i="26" s="1"/>
  <c r="AN57" i="20" s="1"/>
  <c r="AN58" i="20" s="1"/>
  <c r="AN11" i="26"/>
  <c r="AN9" i="26" s="1"/>
  <c r="AH70" i="59"/>
  <c r="AG69" i="59"/>
  <c r="J120" i="55"/>
  <c r="J87" i="55"/>
  <c r="Q33" i="59"/>
  <c r="J3" i="50" s="1"/>
  <c r="T36" i="20"/>
  <c r="T20" i="20"/>
  <c r="U20" i="20"/>
  <c r="U36" i="20"/>
  <c r="AK30" i="48"/>
  <c r="AL13" i="48"/>
  <c r="AK9" i="48"/>
  <c r="I118" i="55"/>
  <c r="I85" i="55"/>
  <c r="S68" i="59"/>
  <c r="S32" i="59" s="1"/>
  <c r="R76" i="59"/>
  <c r="R29" i="59" s="1"/>
  <c r="W76" i="26"/>
  <c r="X28" i="26"/>
  <c r="W27" i="26"/>
  <c r="W15" i="26"/>
  <c r="W20" i="26" s="1"/>
  <c r="W78" i="26" s="1"/>
  <c r="V73" i="26"/>
  <c r="R33" i="59" l="1"/>
  <c r="K3" i="50" s="1"/>
  <c r="AN29" i="49"/>
  <c r="T68" i="59"/>
  <c r="T32" i="59" s="1"/>
  <c r="S76" i="59"/>
  <c r="S29" i="59" s="1"/>
  <c r="AI70" i="59"/>
  <c r="AH69" i="59"/>
  <c r="W73" i="26"/>
  <c r="X76" i="26"/>
  <c r="X27" i="26"/>
  <c r="AO27" i="26" s="1"/>
  <c r="X15" i="26"/>
  <c r="AO28" i="26"/>
  <c r="AP15" i="26" s="1"/>
  <c r="AK28" i="48"/>
  <c r="I19" i="35"/>
  <c r="J21" i="55" s="1"/>
  <c r="AL30" i="48"/>
  <c r="AM13" i="48"/>
  <c r="AL9" i="48"/>
  <c r="V57" i="20"/>
  <c r="V58" i="20" s="1"/>
  <c r="O2" i="50"/>
  <c r="T101" i="75"/>
  <c r="S39" i="75"/>
  <c r="S109" i="75"/>
  <c r="S37" i="75" s="1"/>
  <c r="AL28" i="48" l="1"/>
  <c r="J19" i="35"/>
  <c r="J118" i="55"/>
  <c r="J85" i="55"/>
  <c r="X20" i="26"/>
  <c r="X78" i="26" s="1"/>
  <c r="AO15" i="26"/>
  <c r="X73" i="26"/>
  <c r="W57" i="20"/>
  <c r="W58" i="20" s="1"/>
  <c r="P2" i="50"/>
  <c r="S41" i="75"/>
  <c r="E135" i="75"/>
  <c r="U101" i="75"/>
  <c r="T39" i="75"/>
  <c r="T109" i="75"/>
  <c r="T37" i="75" s="1"/>
  <c r="AJ70" i="59"/>
  <c r="AI69" i="59"/>
  <c r="V20" i="20"/>
  <c r="V36" i="20"/>
  <c r="S33" i="59"/>
  <c r="L3" i="50" s="1"/>
  <c r="AN13" i="48"/>
  <c r="AM30" i="48"/>
  <c r="AM9" i="48"/>
  <c r="AM28" i="48" s="1"/>
  <c r="U68" i="59"/>
  <c r="U32" i="59" s="1"/>
  <c r="T76" i="59"/>
  <c r="T29" i="59" s="1"/>
  <c r="T41" i="75" l="1"/>
  <c r="T33" i="59"/>
  <c r="M3" i="50" s="1"/>
  <c r="V68" i="59"/>
  <c r="V32" i="59" s="1"/>
  <c r="U76" i="59"/>
  <c r="U29" i="59" s="1"/>
  <c r="W20" i="20"/>
  <c r="W36" i="20"/>
  <c r="X57" i="20"/>
  <c r="X58" i="20" s="1"/>
  <c r="Q2" i="50"/>
  <c r="V101" i="75"/>
  <c r="U39" i="75"/>
  <c r="U109" i="75"/>
  <c r="U37" i="75" s="1"/>
  <c r="AN30" i="48"/>
  <c r="AN9" i="48"/>
  <c r="AN28" i="48"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H12" i="82"/>
  <c r="F17" i="35" l="1"/>
  <c r="G19" i="55" s="1"/>
  <c r="AH36" i="82"/>
  <c r="AF36" i="82"/>
  <c r="D17" i="35"/>
  <c r="E19" i="55" s="1"/>
  <c r="AG12" i="82"/>
  <c r="AI12" i="82"/>
  <c r="E116" i="55" l="1"/>
  <c r="E83" i="55"/>
  <c r="G83" i="55"/>
  <c r="G116" i="55"/>
  <c r="C17" i="35"/>
  <c r="D19" i="55" s="1"/>
  <c r="AE36" i="82"/>
  <c r="G17" i="35"/>
  <c r="H19" i="55" s="1"/>
  <c r="AI36" i="82"/>
  <c r="E17" i="35"/>
  <c r="F19" i="55" s="1"/>
  <c r="AG36" i="82"/>
  <c r="AJ12" i="82"/>
  <c r="H83" i="55" l="1"/>
  <c r="H116" i="55"/>
  <c r="F83" i="55"/>
  <c r="F116" i="55"/>
  <c r="D83" i="55"/>
  <c r="D116" i="55"/>
  <c r="H17" i="35"/>
  <c r="I19" i="55" s="1"/>
  <c r="AJ36" i="82"/>
  <c r="AK12" i="82"/>
  <c r="I116" i="55" l="1"/>
  <c r="I83" i="55"/>
  <c r="I17" i="35"/>
  <c r="J19" i="55" s="1"/>
  <c r="AK36" i="82"/>
  <c r="AL12" i="82"/>
  <c r="J116" i="55" l="1"/>
  <c r="J83" i="55"/>
  <c r="AL36" i="82"/>
  <c r="AN12" i="82"/>
  <c r="AM12" i="8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tc={804EAE48-21FA-4C6B-95AB-036D023A055F}</author>
    <author>tc={D06702F8-F5F4-41FB-BA11-B2023B5B68A7}</author>
    <author>tc={EEC1D483-741D-48C7-B644-5F30EE28184A}</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tc={0E1DCCB8-4FAC-4DBF-BF0B-DBB504838328}</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tc={C8938404-1076-4863-A6A6-D4BDB8C94503}</author>
  </authors>
  <commentList>
    <comment ref="R8"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7"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7"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7" authorId="4" shapeId="0" xr:uid="{00000000-0006-0000-1600-00000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7" authorId="5" shapeId="0" xr:uid="{00000000-0006-0000-16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7"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3"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3"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7"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7"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7"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7"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7" authorId="15" shapeId="0" xr:uid="{00000000-0006-0000-1600-000010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7" authorId="16" shapeId="0" xr:uid="{00000000-0006-0000-16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7" authorId="17" shapeId="0" xr:uid="{00000000-0006-0000-1600-00001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7" authorId="18" shapeId="0" xr:uid="{00000000-0006-0000-1600-000013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8" authorId="19" shapeId="0" xr:uid="{00000000-0006-0000-1600-000014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2" authorId="20" shapeId="0" xr:uid="{00000000-0006-0000-1600-000015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2" authorId="21" shapeId="0" xr:uid="{00000000-0006-0000-1600-000016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2" authorId="22" shapeId="0" xr:uid="{00000000-0006-0000-1600-000017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8" authorId="23" shapeId="0" xr:uid="{00000000-0006-0000-1600-000018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8" authorId="24" shapeId="0" xr:uid="{00000000-0006-0000-1600-000019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2" authorId="25" shapeId="0" xr:uid="{00000000-0006-0000-1600-00001A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6" shapeId="0" xr:uid="{00000000-0006-0000-1600-00001B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27" shapeId="0" xr:uid="{00000000-0006-0000-1600-00001C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28" shapeId="0" xr:uid="{00000000-0006-0000-1600-00001D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29" shapeId="0" xr:uid="{00000000-0006-0000-1600-00001E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6" authorId="30" shapeId="0" xr:uid="{00000000-0006-0000-16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7" authorId="31" shapeId="0" xr:uid="{00000000-0006-0000-16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8" authorId="32" shapeId="0" xr:uid="{00000000-0006-0000-16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9" authorId="33" shapeId="0" xr:uid="{00000000-0006-0000-16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0" authorId="34" shapeId="0" xr:uid="{00000000-0006-0000-16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1" authorId="35" shapeId="0" xr:uid="{00000000-0006-0000-16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2" authorId="36" shapeId="0" xr:uid="{00000000-0006-0000-16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3" authorId="37" shapeId="0" xr:uid="{00000000-0006-0000-16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6" authorId="38" shapeId="0" xr:uid="{00000000-0006-0000-1600-000027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9" authorId="39" shapeId="0" xr:uid="{00000000-0006-0000-1600-000028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9" authorId="40" shapeId="0" xr:uid="{00000000-0006-0000-1600-000029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9" authorId="41" shapeId="0" xr:uid="{00000000-0006-0000-1600-00002A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9" authorId="42" shapeId="0" xr:uid="{00000000-0006-0000-1600-00002B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9" authorId="43" shapeId="0" xr:uid="{00000000-0006-0000-1600-00002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9" authorId="44" shapeId="0" xr:uid="{00000000-0006-0000-1600-00002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9" authorId="45" shapeId="0" xr:uid="{00000000-0006-0000-1600-00002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<sst xmlns="http://schemas.openxmlformats.org/spreadsheetml/2006/main" count="5522" uniqueCount="2343">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</sst>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77">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49" fontId="1" fillId="0" borderId="0" xfId="0" applyNumberFormat="1" applyFont="1" applyAlignment="1">
      <alignment horizontal="left" wrapText="1" inden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3" fillId="7" borderId="35" xfId="0" applyFont="1" applyFill="1" applyBorder="1" applyAlignment="1">
      <alignment horizontal="center"/>
    </xf>
    <xf numFmtId="0" fontId="12" fillId="8" borderId="41"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12" fillId="7" borderId="37" xfId="0" applyFont="1" applyFill="1" applyBorder="1" applyAlignment="1">
      <alignment horizontal="center" vertic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12" fillId="0" borderId="7" xfId="0" applyFont="1" applyBorder="1" applyAlignment="1">
      <alignment horizontal="center"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29" fillId="0" borderId="0" xfId="0" applyFont="1" applyAlignment="1">
      <alignment horizontal="left" vertical="top" wrapText="1"/>
    </xf>
    <xf numFmtId="0" fontId="12" fillId="8" borderId="2" xfId="0" applyFont="1" applyFill="1" applyBorder="1" applyAlignment="1">
      <alignment horizontal="center"/>
    </xf>
    <xf numFmtId="0" fontId="12" fillId="8" borderId="7" xfId="0" applyFont="1" applyFill="1" applyBorder="1" applyAlignment="1">
      <alignment horizontal="center"/>
    </xf>
    <xf numFmtId="0" fontId="12" fillId="8" borderId="0" xfId="0" applyFont="1" applyFill="1" applyAlignment="1">
      <alignment horizontal="center"/>
    </xf>
    <xf numFmtId="0" fontId="3" fillId="7" borderId="5" xfId="0" applyFont="1" applyFill="1" applyBorder="1" applyAlignment="1">
      <alignment horizontal="right"/>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13" borderId="0" xfId="0" applyFont="1" applyFill="1" applyAlignment="1">
      <alignment horizontal="center"/>
    </xf>
    <xf numFmtId="0" fontId="12" fillId="0" borderId="35" xfId="0" applyFont="1" applyBorder="1" applyAlignment="1">
      <alignment horizontal="center"/>
    </xf>
    <xf numFmtId="0" fontId="12" fillId="7" borderId="51" xfId="0" applyFont="1" applyFill="1" applyBorder="1" applyAlignment="1">
      <alignment horizontal="center"/>
    </xf>
    <xf numFmtId="0" fontId="1" fillId="0" borderId="0" xfId="0" applyFont="1" applyAlignment="1">
      <alignment horizontal="center"/>
    </xf>
    <xf numFmtId="0" fontId="3" fillId="8" borderId="4" xfId="0" applyFont="1" applyFill="1" applyBorder="1" applyAlignment="1">
      <alignment horizontal="center"/>
    </xf>
    <xf numFmtId="0" fontId="5" fillId="0" borderId="7"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comparison'!$D$51:$J$51</c:f>
              <c:numCache>
                <c:formatCode>General</c:formatCode>
                <c:ptCount val="7"/>
                <c:pt idx="0">
                  <c:v>2275.6980000000003</c:v>
                </c:pt>
                <c:pt idx="1">
                  <c:v>2258.1980000000003</c:v>
                </c:pt>
                <c:pt idx="2">
                  <c:v>2303.4551905010003</c:v>
                </c:pt>
                <c:pt idx="3">
                  <c:v>2309.427190501</c:v>
                </c:pt>
                <c:pt idx="4">
                  <c:v>2317.1271905010003</c:v>
                </c:pt>
                <c:pt idx="5">
                  <c:v>2316.6721905010004</c:v>
                </c:pt>
                <c:pt idx="6">
                  <c:v>2365.2440593835236</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comparison'!$D$19:$J$19</c:f>
              <c:numCache>
                <c:formatCode>0</c:formatCode>
                <c:ptCount val="7"/>
                <c:pt idx="0">
                  <c:v>2347.0980000000004</c:v>
                </c:pt>
                <c:pt idx="1">
                  <c:v>2329.8980000000006</c:v>
                </c:pt>
                <c:pt idx="2">
                  <c:v>2373.8636460000007</c:v>
                </c:pt>
                <c:pt idx="3">
                  <c:v>2380.1356460000006</c:v>
                </c:pt>
                <c:pt idx="4">
                  <c:v>2388.1356460000006</c:v>
                </c:pt>
                <c:pt idx="5">
                  <c:v>2387.980646</c:v>
                </c:pt>
                <c:pt idx="6">
                  <c:v>2434.4405018580005</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638175</xdr:colOff>
      <xdr:row>36</xdr:row>
      <xdr:rowOff>65087</xdr:rowOff>
    </xdr:from>
    <xdr:to>
      <xdr:col>16</xdr:col>
      <xdr:colOff>638175</xdr:colOff>
      <xdr:row>51</xdr:row>
      <xdr:rowOff>93662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51</xdr:row>
      <xdr:rowOff>153987</xdr:rowOff>
    </xdr:from>
    <xdr:to>
      <xdr:col>16</xdr:col>
      <xdr:colOff>600075</xdr:colOff>
      <xdr:row>67</xdr:row>
      <xdr:rowOff>1587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42847</xdr:rowOff>
    </xdr:from>
    <xdr:to>
      <xdr:col>37</xdr:col>
      <xdr:colOff>354371</xdr:colOff>
      <xdr:row>78</xdr:row>
      <xdr:rowOff>42847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42847</xdr:rowOff>
    </xdr:from>
    <xdr:to>
      <xdr:col>37</xdr:col>
      <xdr:colOff>430571</xdr:colOff>
      <xdr:row>78</xdr:row>
      <xdr:rowOff>42847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62559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100849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147993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147993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95</xdr:row>
      <xdr:rowOff>72275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61</xdr:row>
      <xdr:rowOff>178903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91278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24527</xdr:rowOff>
    </xdr:from>
    <xdr:to>
      <xdr:col>37</xdr:col>
      <xdr:colOff>275105</xdr:colOff>
      <xdr:row>72</xdr:row>
      <xdr:rowOff>24612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24527</xdr:rowOff>
    </xdr:from>
    <xdr:to>
      <xdr:col>37</xdr:col>
      <xdr:colOff>370355</xdr:colOff>
      <xdr:row>72</xdr:row>
      <xdr:rowOff>24612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72042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174682</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110198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177942</xdr:rowOff>
    </xdr:from>
    <xdr:to>
      <xdr:col>4</xdr:col>
      <xdr:colOff>0</xdr:colOff>
      <xdr:row>24</xdr:row>
      <xdr:rowOff>128137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167968</xdr:rowOff>
    </xdr:from>
    <xdr:to>
      <xdr:col>4</xdr:col>
      <xdr:colOff>0</xdr:colOff>
      <xdr:row>24</xdr:row>
      <xdr:rowOff>128137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89818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70768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70768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166416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61371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70768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61371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32469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166729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51519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51519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165100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165100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165100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31750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88900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274913</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85949</xdr:rowOff>
    </xdr:from>
    <xdr:to>
      <xdr:col>1</xdr:col>
      <xdr:colOff>4255844</xdr:colOff>
      <xdr:row>53</xdr:row>
      <xdr:rowOff>219924</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274913</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130428</xdr:rowOff>
    </xdr:from>
    <xdr:to>
      <xdr:col>8</xdr:col>
      <xdr:colOff>254321</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4197424</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145676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178411</xdr:rowOff>
    </xdr:from>
    <xdr:to>
      <xdr:col>32</xdr:col>
      <xdr:colOff>666750</xdr:colOff>
      <xdr:row>86</xdr:row>
      <xdr:rowOff>87176</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84377</xdr:rowOff>
    </xdr:from>
    <xdr:to>
      <xdr:col>20</xdr:col>
      <xdr:colOff>647700</xdr:colOff>
      <xdr:row>66</xdr:row>
      <xdr:rowOff>12034</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84377</xdr:rowOff>
    </xdr:from>
    <xdr:to>
      <xdr:col>24</xdr:col>
      <xdr:colOff>647700</xdr:colOff>
      <xdr:row>66</xdr:row>
      <xdr:rowOff>12034</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84377</xdr:rowOff>
    </xdr:from>
    <xdr:to>
      <xdr:col>28</xdr:col>
      <xdr:colOff>647700</xdr:colOff>
      <xdr:row>66</xdr:row>
      <xdr:rowOff>12034</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181138</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181138</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181138</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20</xdr:col>
      <xdr:colOff>533400</xdr:colOff>
      <xdr:row>52</xdr:row>
      <xdr:rowOff>84231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121708</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6350</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6350</xdr:colOff>
      <xdr:row>179</xdr:row>
      <xdr:rowOff>6488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83608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6488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49</xdr:row>
      <xdr:rowOff>63500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50</xdr:row>
      <xdr:rowOff>44450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387764</xdr:rowOff>
    </xdr:from>
    <xdr:to>
      <xdr:col>24</xdr:col>
      <xdr:colOff>647700</xdr:colOff>
      <xdr:row>83</xdr:row>
      <xdr:rowOff>354633</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387764</xdr:rowOff>
    </xdr:from>
    <xdr:to>
      <xdr:col>28</xdr:col>
      <xdr:colOff>647700</xdr:colOff>
      <xdr:row>83</xdr:row>
      <xdr:rowOff>354633</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387764</xdr:rowOff>
    </xdr:from>
    <xdr:to>
      <xdr:col>32</xdr:col>
      <xdr:colOff>647700</xdr:colOff>
      <xdr:row>83</xdr:row>
      <xdr:rowOff>354633</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49</xdr:row>
      <xdr:rowOff>63500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121089</xdr:rowOff>
    </xdr:from>
    <xdr:to>
      <xdr:col>4</xdr:col>
      <xdr:colOff>467472</xdr:colOff>
      <xdr:row>82</xdr:row>
      <xdr:rowOff>3086</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77</xdr:row>
      <xdr:rowOff>35287</xdr:rowOff>
    </xdr:from>
    <xdr:to>
      <xdr:col>4</xdr:col>
      <xdr:colOff>467472</xdr:colOff>
      <xdr:row>83</xdr:row>
      <xdr:rowOff>451</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117164</xdr:rowOff>
    </xdr:from>
    <xdr:to>
      <xdr:col>4</xdr:col>
      <xdr:colOff>467472</xdr:colOff>
      <xdr:row>83</xdr:row>
      <xdr:rowOff>124062</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84</xdr:row>
      <xdr:rowOff>264818</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106529</xdr:rowOff>
    </xdr:from>
    <xdr:to>
      <xdr:col>4</xdr:col>
      <xdr:colOff>467472</xdr:colOff>
      <xdr:row>130</xdr:row>
      <xdr:rowOff>82919</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201622</xdr:rowOff>
    </xdr:from>
    <xdr:to>
      <xdr:col>4</xdr:col>
      <xdr:colOff>467472</xdr:colOff>
      <xdr:row>114</xdr:row>
      <xdr:rowOff>133337</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76</xdr:row>
      <xdr:rowOff>140200</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71</xdr:row>
      <xdr:rowOff>161501</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65</xdr:row>
      <xdr:rowOff>46368</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102163</xdr:rowOff>
    </xdr:from>
    <xdr:to>
      <xdr:col>4</xdr:col>
      <xdr:colOff>467472</xdr:colOff>
      <xdr:row>64</xdr:row>
      <xdr:rowOff>160477</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191038</xdr:rowOff>
    </xdr:from>
    <xdr:to>
      <xdr:col>4</xdr:col>
      <xdr:colOff>467472</xdr:colOff>
      <xdr:row>63</xdr:row>
      <xdr:rowOff>164431</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10609</xdr:rowOff>
    </xdr:from>
    <xdr:to>
      <xdr:col>5</xdr:col>
      <xdr:colOff>287804</xdr:colOff>
      <xdr:row>112</xdr:row>
      <xdr:rowOff>122641</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246909</xdr:rowOff>
    </xdr:from>
    <xdr:to>
      <xdr:col>4</xdr:col>
      <xdr:colOff>467472</xdr:colOff>
      <xdr:row>63</xdr:row>
      <xdr:rowOff>130536</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48342</xdr:rowOff>
    </xdr:from>
    <xdr:to>
      <xdr:col>4</xdr:col>
      <xdr:colOff>467472</xdr:colOff>
      <xdr:row>64</xdr:row>
      <xdr:rowOff>64790</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266135</xdr:rowOff>
    </xdr:from>
    <xdr:to>
      <xdr:col>4</xdr:col>
      <xdr:colOff>467472</xdr:colOff>
      <xdr:row>65</xdr:row>
      <xdr:rowOff>47185</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65491</xdr:rowOff>
    </xdr:from>
    <xdr:to>
      <xdr:col>4</xdr:col>
      <xdr:colOff>467472</xdr:colOff>
      <xdr:row>66</xdr:row>
      <xdr:rowOff>7101</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295115</xdr:rowOff>
    </xdr:from>
    <xdr:to>
      <xdr:col>4</xdr:col>
      <xdr:colOff>467472</xdr:colOff>
      <xdr:row>110</xdr:row>
      <xdr:rowOff>10072</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104188</xdr:rowOff>
    </xdr:from>
    <xdr:to>
      <xdr:col>4</xdr:col>
      <xdr:colOff>467472</xdr:colOff>
      <xdr:row>96</xdr:row>
      <xdr:rowOff>123498</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59</xdr:row>
      <xdr:rowOff>295472</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57</xdr:row>
      <xdr:rowOff>230666</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11268</xdr:rowOff>
    </xdr:from>
    <xdr:to>
      <xdr:col>5</xdr:col>
      <xdr:colOff>287804</xdr:colOff>
      <xdr:row>94</xdr:row>
      <xdr:rowOff>123981</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84</xdr:row>
      <xdr:rowOff>295265</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467472</xdr:colOff>
      <xdr:row>85</xdr:row>
      <xdr:rowOff>92674</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467472</xdr:colOff>
      <xdr:row>86</xdr:row>
      <xdr:rowOff>11177</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467472</xdr:colOff>
      <xdr:row>81</xdr:row>
      <xdr:rowOff>122323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125032</xdr:rowOff>
    </xdr:from>
    <xdr:to>
      <xdr:col>4</xdr:col>
      <xdr:colOff>467472</xdr:colOff>
      <xdr:row>76</xdr:row>
      <xdr:rowOff>112168</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142361</xdr:rowOff>
    </xdr:from>
    <xdr:to>
      <xdr:col>4</xdr:col>
      <xdr:colOff>467472</xdr:colOff>
      <xdr:row>69</xdr:row>
      <xdr:rowOff>163715</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27087</xdr:rowOff>
    </xdr:from>
    <xdr:to>
      <xdr:col>4</xdr:col>
      <xdr:colOff>467472</xdr:colOff>
      <xdr:row>69</xdr:row>
      <xdr:rowOff>404</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9376</xdr:rowOff>
    </xdr:from>
    <xdr:to>
      <xdr:col>4</xdr:col>
      <xdr:colOff>467472</xdr:colOff>
      <xdr:row>68</xdr:row>
      <xdr:rowOff>9376</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8082</xdr:rowOff>
    </xdr:from>
    <xdr:to>
      <xdr:col>17</xdr:col>
      <xdr:colOff>382316</xdr:colOff>
      <xdr:row>37</xdr:row>
      <xdr:rowOff>85604</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133275</xdr:colOff>
      <xdr:row>66</xdr:row>
      <xdr:rowOff>102405</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133275</xdr:colOff>
      <xdr:row>67</xdr:row>
      <xdr:rowOff>26663</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28001</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133275</xdr:colOff>
      <xdr:row>69</xdr:row>
      <xdr:rowOff>98</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305613</xdr:rowOff>
    </xdr:from>
    <xdr:to>
      <xdr:col>5</xdr:col>
      <xdr:colOff>287804</xdr:colOff>
      <xdr:row>97</xdr:row>
      <xdr:rowOff>103561</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57</xdr:row>
      <xdr:rowOff>29124</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57</xdr:row>
      <xdr:rowOff>85480</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56</xdr:row>
      <xdr:rowOff>2403</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56</xdr:row>
      <xdr:rowOff>30870</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56</xdr:row>
      <xdr:rowOff>274919</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144937</xdr:rowOff>
    </xdr:from>
    <xdr:to>
      <xdr:col>5</xdr:col>
      <xdr:colOff>102160</xdr:colOff>
      <xdr:row>70</xdr:row>
      <xdr:rowOff>970</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124323</xdr:rowOff>
    </xdr:from>
    <xdr:to>
      <xdr:col>5</xdr:col>
      <xdr:colOff>102160</xdr:colOff>
      <xdr:row>71</xdr:row>
      <xdr:rowOff>268</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159328</xdr:rowOff>
    </xdr:from>
    <xdr:to>
      <xdr:col>5</xdr:col>
      <xdr:colOff>102160</xdr:colOff>
      <xdr:row>71</xdr:row>
      <xdr:rowOff>131187</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133884</xdr:rowOff>
    </xdr:from>
    <xdr:to>
      <xdr:col>5</xdr:col>
      <xdr:colOff>102160</xdr:colOff>
      <xdr:row>72</xdr:row>
      <xdr:rowOff>111578</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8318</xdr:rowOff>
    </xdr:from>
    <xdr:to>
      <xdr:col>5</xdr:col>
      <xdr:colOff>102160</xdr:colOff>
      <xdr:row>81</xdr:row>
      <xdr:rowOff>27234</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46440</xdr:rowOff>
    </xdr:from>
    <xdr:to>
      <xdr:col>5</xdr:col>
      <xdr:colOff>133275</xdr:colOff>
      <xdr:row>78</xdr:row>
      <xdr:rowOff>159911</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46188</xdr:rowOff>
    </xdr:from>
    <xdr:to>
      <xdr:col>5</xdr:col>
      <xdr:colOff>102160</xdr:colOff>
      <xdr:row>73</xdr:row>
      <xdr:rowOff>101774</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20242</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102160</xdr:colOff>
      <xdr:row>74</xdr:row>
      <xdr:rowOff>169444</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102160</xdr:colOff>
      <xdr:row>93</xdr:row>
      <xdr:rowOff>149770</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102160</xdr:colOff>
      <xdr:row>94</xdr:row>
      <xdr:rowOff>160945</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113</xdr:row>
      <xdr:rowOff>230418</xdr:rowOff>
    </xdr:from>
    <xdr:to>
      <xdr:col>5</xdr:col>
      <xdr:colOff>102160</xdr:colOff>
      <xdr:row>113</xdr:row>
      <xdr:rowOff>230502</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138</xdr:row>
      <xdr:rowOff>19194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136</xdr:row>
      <xdr:rowOff>117035</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9357</xdr:rowOff>
    </xdr:from>
    <xdr:to>
      <xdr:col>5</xdr:col>
      <xdr:colOff>121210</xdr:colOff>
      <xdr:row>84</xdr:row>
      <xdr:rowOff>116117</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46188</xdr:rowOff>
    </xdr:from>
    <xdr:to>
      <xdr:col>5</xdr:col>
      <xdr:colOff>121210</xdr:colOff>
      <xdr:row>84</xdr:row>
      <xdr:rowOff>83332</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29704</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121210</xdr:colOff>
      <xdr:row>75</xdr:row>
      <xdr:rowOff>76050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77</xdr:row>
      <xdr:rowOff>31057</xdr:rowOff>
    </xdr:from>
    <xdr:to>
      <xdr:col>5</xdr:col>
      <xdr:colOff>102160</xdr:colOff>
      <xdr:row>79</xdr:row>
      <xdr:rowOff>766</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126430</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102160</xdr:colOff>
      <xdr:row>99</xdr:row>
      <xdr:rowOff>83919</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212</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61</xdr:row>
      <xdr:rowOff>103008</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61</xdr:row>
      <xdr:rowOff>102656</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56</xdr:row>
      <xdr:rowOff>359269</xdr:rowOff>
    </xdr:from>
    <xdr:to>
      <xdr:col>5</xdr:col>
      <xdr:colOff>121210</xdr:colOff>
      <xdr:row>58</xdr:row>
      <xdr:rowOff>171540</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170776</xdr:rowOff>
    </xdr:from>
    <xdr:to>
      <xdr:col>5</xdr:col>
      <xdr:colOff>121210</xdr:colOff>
      <xdr:row>58</xdr:row>
      <xdr:rowOff>68699</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152070</xdr:rowOff>
    </xdr:from>
    <xdr:to>
      <xdr:col>5</xdr:col>
      <xdr:colOff>102160</xdr:colOff>
      <xdr:row>60</xdr:row>
      <xdr:rowOff>133195</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29471</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76</xdr:row>
      <xdr:rowOff>190845</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102160</xdr:colOff>
      <xdr:row>77</xdr:row>
      <xdr:rowOff>29084</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102160</xdr:colOff>
      <xdr:row>78</xdr:row>
      <xdr:rowOff>31581</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57</xdr:row>
      <xdr:rowOff>907</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265178</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25746</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143136</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11482</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95809</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102160</xdr:colOff>
      <xdr:row>105</xdr:row>
      <xdr:rowOff>29749</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102160</xdr:colOff>
      <xdr:row>106</xdr:row>
      <xdr:rowOff>1844</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102160</xdr:colOff>
      <xdr:row>94</xdr:row>
      <xdr:rowOff>160946</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101697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154445</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122017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85822</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473409</xdr:rowOff>
    </xdr:from>
    <xdr:to>
      <xdr:col>5</xdr:col>
      <xdr:colOff>121210</xdr:colOff>
      <xdr:row>57</xdr:row>
      <xdr:rowOff>341193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181106</xdr:rowOff>
    </xdr:from>
    <xdr:to>
      <xdr:col>5</xdr:col>
      <xdr:colOff>121210</xdr:colOff>
      <xdr:row>58</xdr:row>
      <xdr:rowOff>131895</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341193</xdr:rowOff>
    </xdr:from>
    <xdr:to>
      <xdr:col>5</xdr:col>
      <xdr:colOff>121210</xdr:colOff>
      <xdr:row>59</xdr:row>
      <xdr:rowOff>257747</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131895</xdr:rowOff>
    </xdr:from>
    <xdr:to>
      <xdr:col>5</xdr:col>
      <xdr:colOff>121210</xdr:colOff>
      <xdr:row>60</xdr:row>
      <xdr:rowOff>86793</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313877</xdr:rowOff>
    </xdr:from>
    <xdr:to>
      <xdr:col>5</xdr:col>
      <xdr:colOff>121210</xdr:colOff>
      <xdr:row>60</xdr:row>
      <xdr:rowOff>239573</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121210</xdr:colOff>
      <xdr:row>76</xdr:row>
      <xdr:rowOff>317302</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121210</xdr:colOff>
      <xdr:row>77</xdr:row>
      <xdr:rowOff>106512</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121210</xdr:colOff>
      <xdr:row>78</xdr:row>
      <xdr:rowOff>104889</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47349</xdr:rowOff>
    </xdr:from>
    <xdr:to>
      <xdr:col>5</xdr:col>
      <xdr:colOff>121210</xdr:colOff>
      <xdr:row>79</xdr:row>
      <xdr:rowOff>93673</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121210</xdr:colOff>
      <xdr:row>100</xdr:row>
      <xdr:rowOff>28881</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121210</xdr:colOff>
      <xdr:row>100</xdr:row>
      <xdr:rowOff>149233</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83422</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101</xdr:row>
      <xdr:rowOff>122369</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330534</xdr:rowOff>
    </xdr:from>
    <xdr:to>
      <xdr:col>5</xdr:col>
      <xdr:colOff>102160</xdr:colOff>
      <xdr:row>56</xdr:row>
      <xdr:rowOff>10218</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181106</xdr:rowOff>
    </xdr:from>
    <xdr:to>
      <xdr:col>5</xdr:col>
      <xdr:colOff>102160</xdr:colOff>
      <xdr:row>57</xdr:row>
      <xdr:rowOff>47759</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341193</xdr:rowOff>
    </xdr:from>
    <xdr:to>
      <xdr:col>5</xdr:col>
      <xdr:colOff>102160</xdr:colOff>
      <xdr:row>60</xdr:row>
      <xdr:rowOff>30764</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61</xdr:row>
      <xdr:rowOff>159041</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313877</xdr:rowOff>
    </xdr:from>
    <xdr:to>
      <xdr:col>5</xdr:col>
      <xdr:colOff>102160</xdr:colOff>
      <xdr:row>63</xdr:row>
      <xdr:rowOff>136495</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102160</xdr:colOff>
      <xdr:row>76</xdr:row>
      <xdr:rowOff>317302</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102160</xdr:colOff>
      <xdr:row>100</xdr:row>
      <xdr:rowOff>78772</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100</xdr:row>
      <xdr:rowOff>78772</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100</xdr:row>
      <xdr:rowOff>211646</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40927</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216040</xdr:rowOff>
    </xdr:from>
    <xdr:to>
      <xdr:col>5</xdr:col>
      <xdr:colOff>102160</xdr:colOff>
      <xdr:row>57</xdr:row>
      <xdr:rowOff>163733</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163733</xdr:rowOff>
    </xdr:from>
    <xdr:to>
      <xdr:col>5</xdr:col>
      <xdr:colOff>102160</xdr:colOff>
      <xdr:row>57</xdr:row>
      <xdr:rowOff>249645</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60</xdr:row>
      <xdr:rowOff>220378</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285884</xdr:rowOff>
    </xdr:from>
    <xdr:to>
      <xdr:col>5</xdr:col>
      <xdr:colOff>102160</xdr:colOff>
      <xdr:row>62</xdr:row>
      <xdr:rowOff>65255</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102012</xdr:rowOff>
    </xdr:from>
    <xdr:to>
      <xdr:col>5</xdr:col>
      <xdr:colOff>102160</xdr:colOff>
      <xdr:row>64</xdr:row>
      <xdr:rowOff>103916</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190610</xdr:rowOff>
    </xdr:from>
    <xdr:to>
      <xdr:col>5</xdr:col>
      <xdr:colOff>102160</xdr:colOff>
      <xdr:row>80</xdr:row>
      <xdr:rowOff>111580</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101</xdr:row>
      <xdr:rowOff>74744</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74744</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76332</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101</xdr:row>
      <xdr:rowOff>200717</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21</xdr:row>
      <xdr:rowOff>496980</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79</xdr:row>
      <xdr:rowOff>180</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80</xdr:row>
      <xdr:rowOff>85273</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163390</xdr:rowOff>
    </xdr:from>
    <xdr:to>
      <xdr:col>5</xdr:col>
      <xdr:colOff>102160</xdr:colOff>
      <xdr:row>81</xdr:row>
      <xdr:rowOff>452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6392</xdr:rowOff>
    </xdr:from>
    <xdr:to>
      <xdr:col>5</xdr:col>
      <xdr:colOff>102160</xdr:colOff>
      <xdr:row>83</xdr:row>
      <xdr:rowOff>152197</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102160</xdr:colOff>
      <xdr:row>100</xdr:row>
      <xdr:rowOff>101928</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11356</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101</xdr:row>
      <xdr:rowOff>218182</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102</xdr:row>
      <xdr:rowOff>181511</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21332</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255915</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77</xdr:row>
      <xdr:rowOff>30438</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102160</xdr:colOff>
      <xdr:row>80</xdr:row>
      <xdr:rowOff>68847</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336352</xdr:rowOff>
    </xdr:from>
    <xdr:to>
      <xdr:col>5</xdr:col>
      <xdr:colOff>102160</xdr:colOff>
      <xdr:row>84</xdr:row>
      <xdr:rowOff>273677</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102091</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102160</xdr:colOff>
      <xdr:row>99</xdr:row>
      <xdr:rowOff>124698</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22178</xdr:rowOff>
    </xdr:from>
    <xdr:to>
      <xdr:col>21</xdr:col>
      <xdr:colOff>274366</xdr:colOff>
      <xdr:row>30</xdr:row>
      <xdr:rowOff>28700</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198534</xdr:colOff>
      <xdr:row>37</xdr:row>
      <xdr:rowOff>95671</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56</xdr:row>
      <xdr:rowOff>211278</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75781</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369187</xdr:rowOff>
    </xdr:from>
    <xdr:to>
      <xdr:col>5</xdr:col>
      <xdr:colOff>102160</xdr:colOff>
      <xdr:row>58</xdr:row>
      <xdr:rowOff>48185</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230328</xdr:rowOff>
    </xdr:from>
    <xdr:to>
      <xdr:col>5</xdr:col>
      <xdr:colOff>102160</xdr:colOff>
      <xdr:row>60</xdr:row>
      <xdr:rowOff>11740</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170789</xdr:rowOff>
    </xdr:from>
    <xdr:to>
      <xdr:col>5</xdr:col>
      <xdr:colOff>102160</xdr:colOff>
      <xdr:row>64</xdr:row>
      <xdr:rowOff>29069</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77611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99</xdr:row>
      <xdr:rowOff>103033</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99</xdr:row>
      <xdr:rowOff>103033</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102160</xdr:colOff>
      <xdr:row>99</xdr:row>
      <xdr:rowOff>103033</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77927</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170220</xdr:rowOff>
    </xdr:from>
    <xdr:to>
      <xdr:col>22</xdr:col>
      <xdr:colOff>445815</xdr:colOff>
      <xdr:row>32</xdr:row>
      <xdr:rowOff>25851</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25985</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45035</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19523</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105925</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18826</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22</xdr:row>
      <xdr:rowOff>145396</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22</xdr:row>
      <xdr:rowOff>125552</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65</xdr:row>
      <xdr:rowOff>203186</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143321</xdr:rowOff>
    </xdr:from>
    <xdr:to>
      <xdr:col>5</xdr:col>
      <xdr:colOff>121210</xdr:colOff>
      <xdr:row>88</xdr:row>
      <xdr:rowOff>87784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86</xdr:row>
      <xdr:rowOff>22042</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6709</xdr:rowOff>
    </xdr:from>
    <xdr:to>
      <xdr:col>5</xdr:col>
      <xdr:colOff>102160</xdr:colOff>
      <xdr:row>86</xdr:row>
      <xdr:rowOff>46238</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239544</xdr:rowOff>
    </xdr:from>
    <xdr:to>
      <xdr:col>5</xdr:col>
      <xdr:colOff>102160</xdr:colOff>
      <xdr:row>97</xdr:row>
      <xdr:rowOff>76770</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371541</xdr:rowOff>
    </xdr:from>
    <xdr:to>
      <xdr:col>5</xdr:col>
      <xdr:colOff>102160</xdr:colOff>
      <xdr:row>96</xdr:row>
      <xdr:rowOff>67574</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96</xdr:row>
      <xdr:rowOff>143678</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111952</xdr:rowOff>
    </xdr:from>
    <xdr:to>
      <xdr:col>5</xdr:col>
      <xdr:colOff>102160</xdr:colOff>
      <xdr:row>98</xdr:row>
      <xdr:rowOff>126535</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125021</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86457</xdr:rowOff>
    </xdr:from>
    <xdr:to>
      <xdr:col>30</xdr:col>
      <xdr:colOff>439039</xdr:colOff>
      <xdr:row>29</xdr:row>
      <xdr:rowOff>141941</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78</xdr:row>
      <xdr:rowOff>77690</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163713</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210015</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31218</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89</xdr:row>
      <xdr:rowOff>3151</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145067</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145067</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145067</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59</xdr:row>
      <xdr:rowOff>323890</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85146</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59</xdr:row>
      <xdr:rowOff>209065</xdr:rowOff>
    </xdr:from>
    <xdr:to>
      <xdr:col>5</xdr:col>
      <xdr:colOff>294154</xdr:colOff>
      <xdr:row>61</xdr:row>
      <xdr:rowOff>145981</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79</xdr:row>
      <xdr:rowOff>7178</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77</xdr:row>
      <xdr:rowOff>144702</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78</xdr:row>
      <xdr:rowOff>131</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12022</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88</xdr:row>
      <xdr:rowOff>170866</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164117</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164117</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164117</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60</xdr:row>
      <xdr:rowOff>46966</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48250</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209065</xdr:rowOff>
    </xdr:from>
    <xdr:to>
      <xdr:col>5</xdr:col>
      <xdr:colOff>268754</xdr:colOff>
      <xdr:row>62</xdr:row>
      <xdr:rowOff>123216</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22</xdr:row>
      <xdr:rowOff>143809</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115048</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126290</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1235</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126976</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102160</xdr:colOff>
      <xdr:row>97</xdr:row>
      <xdr:rowOff>78732</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39178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172897</xdr:rowOff>
    </xdr:from>
    <xdr:to>
      <xdr:col>5</xdr:col>
      <xdr:colOff>268754</xdr:colOff>
      <xdr:row>72</xdr:row>
      <xdr:rowOff>1105</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483121</xdr:colOff>
      <xdr:row>22</xdr:row>
      <xdr:rowOff>143809</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483121</xdr:colOff>
      <xdr:row>33</xdr:row>
      <xdr:rowOff>115048</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483121</xdr:colOff>
      <xdr:row>139</xdr:row>
      <xdr:rowOff>31097</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64</xdr:row>
      <xdr:rowOff>1780</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121210</xdr:colOff>
      <xdr:row>89</xdr:row>
      <xdr:rowOff>47801</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29843</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75449</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180067</xdr:rowOff>
    </xdr:from>
    <xdr:to>
      <xdr:col>5</xdr:col>
      <xdr:colOff>102160</xdr:colOff>
      <xdr:row>90</xdr:row>
      <xdr:rowOff>1349</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202075</xdr:rowOff>
    </xdr:from>
    <xdr:to>
      <xdr:col>5</xdr:col>
      <xdr:colOff>102160</xdr:colOff>
      <xdr:row>97</xdr:row>
      <xdr:rowOff>152246</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7839</xdr:rowOff>
    </xdr:from>
    <xdr:to>
      <xdr:col>5</xdr:col>
      <xdr:colOff>102160</xdr:colOff>
      <xdr:row>101</xdr:row>
      <xdr:rowOff>10994</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92774</xdr:rowOff>
    </xdr:from>
    <xdr:to>
      <xdr:col>5</xdr:col>
      <xdr:colOff>102160</xdr:colOff>
      <xdr:row>118</xdr:row>
      <xdr:rowOff>66888</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1293</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64495</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102160</xdr:colOff>
      <xdr:row>114</xdr:row>
      <xdr:rowOff>64495</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122917</xdr:rowOff>
    </xdr:from>
    <xdr:to>
      <xdr:col>14</xdr:col>
      <xdr:colOff>450825</xdr:colOff>
      <xdr:row>77</xdr:row>
      <xdr:rowOff>26559</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177859</xdr:rowOff>
    </xdr:from>
    <xdr:to>
      <xdr:col>5</xdr:col>
      <xdr:colOff>268754</xdr:colOff>
      <xdr:row>77</xdr:row>
      <xdr:rowOff>144702</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483121</xdr:colOff>
      <xdr:row>142</xdr:row>
      <xdr:rowOff>31097</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611982</xdr:colOff>
      <xdr:row>22</xdr:row>
      <xdr:rowOff>86659</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611982</xdr:colOff>
      <xdr:row>33</xdr:row>
      <xdr:rowOff>76948</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115047</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76381</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164947</xdr:rowOff>
    </xdr:from>
    <xdr:to>
      <xdr:col>9</xdr:col>
      <xdr:colOff>124385</xdr:colOff>
      <xdr:row>83</xdr:row>
      <xdr:rowOff>76381</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84</xdr:row>
      <xdr:rowOff>39388</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88189</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164192</xdr:rowOff>
    </xdr:from>
    <xdr:to>
      <xdr:col>9</xdr:col>
      <xdr:colOff>105335</xdr:colOff>
      <xdr:row>88</xdr:row>
      <xdr:rowOff>12117</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88410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40295</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201930</xdr:rowOff>
    </xdr:from>
    <xdr:to>
      <xdr:col>9</xdr:col>
      <xdr:colOff>105335</xdr:colOff>
      <xdr:row>104</xdr:row>
      <xdr:rowOff>142698</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369789</xdr:rowOff>
    </xdr:from>
    <xdr:to>
      <xdr:col>9</xdr:col>
      <xdr:colOff>105335</xdr:colOff>
      <xdr:row>105</xdr:row>
      <xdr:rowOff>47238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105474</xdr:rowOff>
    </xdr:from>
    <xdr:to>
      <xdr:col>9</xdr:col>
      <xdr:colOff>105335</xdr:colOff>
      <xdr:row>125</xdr:row>
      <xdr:rowOff>66120</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105335</xdr:colOff>
      <xdr:row>127</xdr:row>
      <xdr:rowOff>78988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60</xdr:row>
      <xdr:rowOff>220122</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464071</xdr:colOff>
      <xdr:row>40</xdr:row>
      <xdr:rowOff>126627</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464071</xdr:colOff>
      <xdr:row>49</xdr:row>
      <xdr:rowOff>107576</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464071</xdr:colOff>
      <xdr:row>155</xdr:row>
      <xdr:rowOff>160976</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464071</xdr:colOff>
      <xdr:row>40</xdr:row>
      <xdr:rowOff>88527</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464071</xdr:colOff>
      <xdr:row>49</xdr:row>
      <xdr:rowOff>50426</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464071</xdr:colOff>
      <xdr:row>155</xdr:row>
      <xdr:rowOff>160976</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7366</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7366</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464072</xdr:colOff>
      <xdr:row>45</xdr:row>
      <xdr:rowOff>160991</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164947</xdr:rowOff>
    </xdr:from>
    <xdr:to>
      <xdr:col>18</xdr:col>
      <xdr:colOff>407231</xdr:colOff>
      <xdr:row>83</xdr:row>
      <xdr:rowOff>104064</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95303</xdr:rowOff>
    </xdr:from>
    <xdr:to>
      <xdr:col>18</xdr:col>
      <xdr:colOff>445331</xdr:colOff>
      <xdr:row>88</xdr:row>
      <xdr:rowOff>36932</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7366</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123114</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458089</xdr:colOff>
      <xdr:row>40</xdr:row>
      <xdr:rowOff>107577</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458089</xdr:colOff>
      <xdr:row>49</xdr:row>
      <xdr:rowOff>107576</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28981</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483122</xdr:colOff>
      <xdr:row>40</xdr:row>
      <xdr:rowOff>107577</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483122</xdr:colOff>
      <xdr:row>49</xdr:row>
      <xdr:rowOff>107576</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483122</xdr:colOff>
      <xdr:row>158</xdr:row>
      <xdr:rowOff>28981</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592933</xdr:colOff>
      <xdr:row>40</xdr:row>
      <xdr:rowOff>50427</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592933</xdr:colOff>
      <xdr:row>49</xdr:row>
      <xdr:rowOff>69476</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31376</xdr:rowOff>
    </xdr:from>
    <xdr:to>
      <xdr:col>41</xdr:col>
      <xdr:colOff>592933</xdr:colOff>
      <xdr:row>34</xdr:row>
      <xdr:rowOff>57897</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313764</xdr:rowOff>
    </xdr:from>
    <xdr:to>
      <xdr:col>9</xdr:col>
      <xdr:colOff>105335</xdr:colOff>
      <xdr:row>80</xdr:row>
      <xdr:rowOff>7255</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313765</xdr:rowOff>
    </xdr:from>
    <xdr:to>
      <xdr:col>9</xdr:col>
      <xdr:colOff>124385</xdr:colOff>
      <xdr:row>80</xdr:row>
      <xdr:rowOff>67413</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199572</xdr:rowOff>
    </xdr:from>
    <xdr:to>
      <xdr:col>9</xdr:col>
      <xdr:colOff>105335</xdr:colOff>
      <xdr:row>84</xdr:row>
      <xdr:rowOff>330878</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101</xdr:row>
      <xdr:rowOff>123167</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105335</xdr:colOff>
      <xdr:row>101</xdr:row>
      <xdr:rowOff>217748</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105335</xdr:colOff>
      <xdr:row>102</xdr:row>
      <xdr:rowOff>171263</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68149</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216647</xdr:rowOff>
    </xdr:from>
    <xdr:to>
      <xdr:col>9</xdr:col>
      <xdr:colOff>105335</xdr:colOff>
      <xdr:row>122</xdr:row>
      <xdr:rowOff>153304</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178448</xdr:rowOff>
    </xdr:from>
    <xdr:to>
      <xdr:col>9</xdr:col>
      <xdr:colOff>105335</xdr:colOff>
      <xdr:row>123</xdr:row>
      <xdr:rowOff>125290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152616</xdr:rowOff>
    </xdr:from>
    <xdr:to>
      <xdr:col>9</xdr:col>
      <xdr:colOff>105335</xdr:colOff>
      <xdr:row>124</xdr:row>
      <xdr:rowOff>125290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114516</xdr:rowOff>
    </xdr:from>
    <xdr:to>
      <xdr:col>9</xdr:col>
      <xdr:colOff>105335</xdr:colOff>
      <xdr:row>124</xdr:row>
      <xdr:rowOff>125290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58</xdr:row>
      <xdr:rowOff>1494</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143435</xdr:colOff>
      <xdr:row>40</xdr:row>
      <xdr:rowOff>126627</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143435</xdr:colOff>
      <xdr:row>49</xdr:row>
      <xdr:rowOff>107576</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143435</xdr:colOff>
      <xdr:row>152</xdr:row>
      <xdr:rowOff>153305</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143435</xdr:colOff>
      <xdr:row>40</xdr:row>
      <xdr:rowOff>88527</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143435</xdr:colOff>
      <xdr:row>49</xdr:row>
      <xdr:rowOff>50426</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143435</xdr:colOff>
      <xdr:row>152</xdr:row>
      <xdr:rowOff>153305</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2536</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2536</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141942</xdr:rowOff>
    </xdr:from>
    <xdr:to>
      <xdr:col>34</xdr:col>
      <xdr:colOff>143436</xdr:colOff>
      <xdr:row>45</xdr:row>
      <xdr:rowOff>141941</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59</xdr:row>
      <xdr:rowOff>313764</xdr:rowOff>
    </xdr:from>
    <xdr:to>
      <xdr:col>18</xdr:col>
      <xdr:colOff>67236</xdr:colOff>
      <xdr:row>80</xdr:row>
      <xdr:rowOff>7255</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105336</xdr:colOff>
      <xdr:row>85</xdr:row>
      <xdr:rowOff>26078</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2536</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159310</xdr:colOff>
      <xdr:row>40</xdr:row>
      <xdr:rowOff>107577</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159310</xdr:colOff>
      <xdr:row>49</xdr:row>
      <xdr:rowOff>107576</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159310</xdr:colOff>
      <xdr:row>155</xdr:row>
      <xdr:rowOff>49090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159310</xdr:colOff>
      <xdr:row>40</xdr:row>
      <xdr:rowOff>107577</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159310</xdr:colOff>
      <xdr:row>49</xdr:row>
      <xdr:rowOff>107576</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159310</xdr:colOff>
      <xdr:row>155</xdr:row>
      <xdr:rowOff>49090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306854</xdr:colOff>
      <xdr:row>40</xdr:row>
      <xdr:rowOff>50427</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306854</xdr:colOff>
      <xdr:row>49</xdr:row>
      <xdr:rowOff>69476</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31376</xdr:rowOff>
    </xdr:from>
    <xdr:to>
      <xdr:col>41</xdr:col>
      <xdr:colOff>306854</xdr:colOff>
      <xdr:row>34</xdr:row>
      <xdr:rowOff>57897</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159310</xdr:colOff>
      <xdr:row>154</xdr:row>
      <xdr:rowOff>58448</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181" name="Text Box 293" hidden="1">
          <a:extLst>
            <a:ext uri="{FF2B5EF4-FFF2-40B4-BE49-F238E27FC236}">
              <a16:creationId xmlns:a16="http://schemas.microsoft.com/office/drawing/2014/main" id="{C33B107A-0757-738B-70BD-4A9E95270C51}"/>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180" name="Text Box 292" hidden="1">
          <a:extLst>
            <a:ext uri="{FF2B5EF4-FFF2-40B4-BE49-F238E27FC236}">
              <a16:creationId xmlns:a16="http://schemas.microsoft.com/office/drawing/2014/main" id="{DD9EF204-9320-709B-C412-00235F550353}"/>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179" name="Text Box 291" hidden="1">
          <a:extLst>
            <a:ext uri="{FF2B5EF4-FFF2-40B4-BE49-F238E27FC236}">
              <a16:creationId xmlns:a16="http://schemas.microsoft.com/office/drawing/2014/main" id="{FD830108-494C-3D7B-839C-04C04D82D8F9}"/>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8" name="Text Box 290" hidden="1">
          <a:extLst>
            <a:ext uri="{FF2B5EF4-FFF2-40B4-BE49-F238E27FC236}">
              <a16:creationId xmlns:a16="http://schemas.microsoft.com/office/drawing/2014/main" id="{6C67BBE2-8E44-823A-E9DA-663D9BDD0867}"/>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7" name="Text Box 289" hidden="1">
          <a:extLst>
            <a:ext uri="{FF2B5EF4-FFF2-40B4-BE49-F238E27FC236}">
              <a16:creationId xmlns:a16="http://schemas.microsoft.com/office/drawing/2014/main" id="{D00F6FFF-EF25-DE0A-099C-E005E99E6A4F}"/>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176" name="Text Box 288" hidden="1">
          <a:extLst>
            <a:ext uri="{FF2B5EF4-FFF2-40B4-BE49-F238E27FC236}">
              <a16:creationId xmlns:a16="http://schemas.microsoft.com/office/drawing/2014/main" id="{08300F08-5DC7-D200-F230-2646AD859207}"/>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175" name="Text Box 287" hidden="1">
          <a:extLst>
            <a:ext uri="{FF2B5EF4-FFF2-40B4-BE49-F238E27FC236}">
              <a16:creationId xmlns:a16="http://schemas.microsoft.com/office/drawing/2014/main" id="{F41B41B2-FA60-20AE-8862-B21260585D40}"/>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174" name="Text Box 286" hidden="1">
          <a:extLst>
            <a:ext uri="{FF2B5EF4-FFF2-40B4-BE49-F238E27FC236}">
              <a16:creationId xmlns:a16="http://schemas.microsoft.com/office/drawing/2014/main" id="{2CE5EA40-4A95-6CD8-3D6D-55299386994C}"/>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173" name="Text Box 285" hidden="1">
          <a:extLst>
            <a:ext uri="{FF2B5EF4-FFF2-40B4-BE49-F238E27FC236}">
              <a16:creationId xmlns:a16="http://schemas.microsoft.com/office/drawing/2014/main" id="{FCFD5E3E-6C83-4C02-3376-5A7337F0B3D4}"/>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172" name="Text Box 284" hidden="1">
          <a:extLst>
            <a:ext uri="{FF2B5EF4-FFF2-40B4-BE49-F238E27FC236}">
              <a16:creationId xmlns:a16="http://schemas.microsoft.com/office/drawing/2014/main" id="{84CEFD40-BB3C-99B5-64BF-4BBF49BD4879}"/>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171" name="Text Box 283" hidden="1">
          <a:extLst>
            <a:ext uri="{FF2B5EF4-FFF2-40B4-BE49-F238E27FC236}">
              <a16:creationId xmlns:a16="http://schemas.microsoft.com/office/drawing/2014/main" id="{C02F9BCF-092C-0F58-272F-3137BB64F459}"/>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170" name="Text Box 282" hidden="1">
          <a:extLst>
            <a:ext uri="{FF2B5EF4-FFF2-40B4-BE49-F238E27FC236}">
              <a16:creationId xmlns:a16="http://schemas.microsoft.com/office/drawing/2014/main" id="{3469B06D-BC79-C901-6D94-A65AD1FFEB3F}"/>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169" name="Text Box 281" hidden="1">
          <a:extLst>
            <a:ext uri="{FF2B5EF4-FFF2-40B4-BE49-F238E27FC236}">
              <a16:creationId xmlns:a16="http://schemas.microsoft.com/office/drawing/2014/main" id="{0E5F3D99-A43C-8684-FED7-995CAA42D03E}"/>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168" name="Text Box 280" hidden="1">
          <a:extLst>
            <a:ext uri="{FF2B5EF4-FFF2-40B4-BE49-F238E27FC236}">
              <a16:creationId xmlns:a16="http://schemas.microsoft.com/office/drawing/2014/main" id="{B7897A25-4264-8A23-2F6F-DCD860057D0C}"/>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167" name="Text Box 279" hidden="1">
          <a:extLst>
            <a:ext uri="{FF2B5EF4-FFF2-40B4-BE49-F238E27FC236}">
              <a16:creationId xmlns:a16="http://schemas.microsoft.com/office/drawing/2014/main" id="{4D580C7B-5BAC-25EF-FE55-587D146D87E2}"/>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166" name="Text Box 278" hidden="1">
          <a:extLst>
            <a:ext uri="{FF2B5EF4-FFF2-40B4-BE49-F238E27FC236}">
              <a16:creationId xmlns:a16="http://schemas.microsoft.com/office/drawing/2014/main" id="{B80CEBB4-347B-083C-E806-C7D0FD938465}"/>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165" name="Text Box 277" hidden="1">
          <a:extLst>
            <a:ext uri="{FF2B5EF4-FFF2-40B4-BE49-F238E27FC236}">
              <a16:creationId xmlns:a16="http://schemas.microsoft.com/office/drawing/2014/main" id="{E74F7A22-9722-DCD4-BED5-DD1752CE13D5}"/>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164" name="Text Box 276" hidden="1">
          <a:extLst>
            <a:ext uri="{FF2B5EF4-FFF2-40B4-BE49-F238E27FC236}">
              <a16:creationId xmlns:a16="http://schemas.microsoft.com/office/drawing/2014/main" id="{AF493734-7CF4-85ED-9D56-34177B8FB921}"/>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163" name="Text Box 275" hidden="1">
          <a:extLst>
            <a:ext uri="{FF2B5EF4-FFF2-40B4-BE49-F238E27FC236}">
              <a16:creationId xmlns:a16="http://schemas.microsoft.com/office/drawing/2014/main" id="{CC1C601E-77A3-836E-6E5A-F00CD7B7F367}"/>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162" name="Text Box 274" hidden="1">
          <a:extLst>
            <a:ext uri="{FF2B5EF4-FFF2-40B4-BE49-F238E27FC236}">
              <a16:creationId xmlns:a16="http://schemas.microsoft.com/office/drawing/2014/main" id="{33F7B1A2-3C28-B2CB-D4B0-7E19090DD65D}"/>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161" name="Text Box 273" hidden="1">
          <a:extLst>
            <a:ext uri="{FF2B5EF4-FFF2-40B4-BE49-F238E27FC236}">
              <a16:creationId xmlns:a16="http://schemas.microsoft.com/office/drawing/2014/main" id="{10B0EFD3-E7F8-F21A-634C-28E58FE6FC6A}"/>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160" name="Text Box 272" hidden="1">
          <a:extLst>
            <a:ext uri="{FF2B5EF4-FFF2-40B4-BE49-F238E27FC236}">
              <a16:creationId xmlns:a16="http://schemas.microsoft.com/office/drawing/2014/main" id="{9683DD95-45EB-64B6-0C82-51E94691C75E}"/>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159" name="Text Box 271" hidden="1">
          <a:extLst>
            <a:ext uri="{FF2B5EF4-FFF2-40B4-BE49-F238E27FC236}">
              <a16:creationId xmlns:a16="http://schemas.microsoft.com/office/drawing/2014/main" id="{0302E8DA-9835-B92F-6C2C-F45BA20179A8}"/>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158" name="Text Box 270" hidden="1">
          <a:extLst>
            <a:ext uri="{FF2B5EF4-FFF2-40B4-BE49-F238E27FC236}">
              <a16:creationId xmlns:a16="http://schemas.microsoft.com/office/drawing/2014/main" id="{EBF69C7C-B377-95DC-3668-27FB1D6A5C73}"/>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157" name="Text Box 269" hidden="1">
          <a:extLst>
            <a:ext uri="{FF2B5EF4-FFF2-40B4-BE49-F238E27FC236}">
              <a16:creationId xmlns:a16="http://schemas.microsoft.com/office/drawing/2014/main" id="{492A9C12-0326-EA3A-EB00-B19A91C42409}"/>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156" name="Text Box 268" hidden="1">
          <a:extLst>
            <a:ext uri="{FF2B5EF4-FFF2-40B4-BE49-F238E27FC236}">
              <a16:creationId xmlns:a16="http://schemas.microsoft.com/office/drawing/2014/main" id="{C3768E6B-1338-0CA1-3B9F-269A878B75D9}"/>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155" name="Text Box 267" hidden="1">
          <a:extLst>
            <a:ext uri="{FF2B5EF4-FFF2-40B4-BE49-F238E27FC236}">
              <a16:creationId xmlns:a16="http://schemas.microsoft.com/office/drawing/2014/main" id="{E364E47D-531C-CD93-8D43-E1DB3638C533}"/>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154" name="Text Box 266" hidden="1">
          <a:extLst>
            <a:ext uri="{FF2B5EF4-FFF2-40B4-BE49-F238E27FC236}">
              <a16:creationId xmlns:a16="http://schemas.microsoft.com/office/drawing/2014/main" id="{82D54F2E-2715-50F8-2EA8-D48165B2AB78}"/>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153" name="Text Box 265" hidden="1">
          <a:extLst>
            <a:ext uri="{FF2B5EF4-FFF2-40B4-BE49-F238E27FC236}">
              <a16:creationId xmlns:a16="http://schemas.microsoft.com/office/drawing/2014/main" id="{FD5A8926-D095-413B-DCAB-89017437F368}"/>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152" name="Text Box 264" hidden="1">
          <a:extLst>
            <a:ext uri="{FF2B5EF4-FFF2-40B4-BE49-F238E27FC236}">
              <a16:creationId xmlns:a16="http://schemas.microsoft.com/office/drawing/2014/main" id="{39B54FB5-D61C-4453-3C63-8CF7C0E9882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51" name="Text Box 263" hidden="1">
          <a:extLst>
            <a:ext uri="{FF2B5EF4-FFF2-40B4-BE49-F238E27FC236}">
              <a16:creationId xmlns:a16="http://schemas.microsoft.com/office/drawing/2014/main" id="{326B106B-5900-987D-101B-DE1C5652634D}"/>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50" name="Text Box 262" hidden="1">
          <a:extLst>
            <a:ext uri="{FF2B5EF4-FFF2-40B4-BE49-F238E27FC236}">
              <a16:creationId xmlns:a16="http://schemas.microsoft.com/office/drawing/2014/main" id="{37CEBA18-C0B0-1A72-2A0F-39CD4736824A}"/>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49" name="Text Box 261" hidden="1">
          <a:extLst>
            <a:ext uri="{FF2B5EF4-FFF2-40B4-BE49-F238E27FC236}">
              <a16:creationId xmlns:a16="http://schemas.microsoft.com/office/drawing/2014/main" id="{7E1CB103-BA3A-C537-ACD3-260F29C1C178}"/>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48" name="Text Box 260" hidden="1">
          <a:extLst>
            <a:ext uri="{FF2B5EF4-FFF2-40B4-BE49-F238E27FC236}">
              <a16:creationId xmlns:a16="http://schemas.microsoft.com/office/drawing/2014/main" id="{FC2FBF1E-8AB0-B1C4-AD82-5032D8B7C78C}"/>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47" name="Text Box 259" hidden="1">
          <a:extLst>
            <a:ext uri="{FF2B5EF4-FFF2-40B4-BE49-F238E27FC236}">
              <a16:creationId xmlns:a16="http://schemas.microsoft.com/office/drawing/2014/main" id="{A009A254-F0A5-1A8C-A1D8-C0B334B2C917}"/>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46" name="Text Box 258" hidden="1">
          <a:extLst>
            <a:ext uri="{FF2B5EF4-FFF2-40B4-BE49-F238E27FC236}">
              <a16:creationId xmlns:a16="http://schemas.microsoft.com/office/drawing/2014/main" id="{1D620D36-B23A-A449-88DA-0D1A095B1E22}"/>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45" name="Text Box 257" hidden="1">
          <a:extLst>
            <a:ext uri="{FF2B5EF4-FFF2-40B4-BE49-F238E27FC236}">
              <a16:creationId xmlns:a16="http://schemas.microsoft.com/office/drawing/2014/main" id="{8BD578EC-1A34-295D-24B8-CECE3EA0DB18}"/>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44" name="Text Box 256" hidden="1">
          <a:extLst>
            <a:ext uri="{FF2B5EF4-FFF2-40B4-BE49-F238E27FC236}">
              <a16:creationId xmlns:a16="http://schemas.microsoft.com/office/drawing/2014/main" id="{4236E726-9DD5-81E6-793B-25DF54C84B4A}"/>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43" name="Text Box 255" hidden="1">
          <a:extLst>
            <a:ext uri="{FF2B5EF4-FFF2-40B4-BE49-F238E27FC236}">
              <a16:creationId xmlns:a16="http://schemas.microsoft.com/office/drawing/2014/main" id="{712E8D52-087D-8549-C34C-CF08CA757DE4}"/>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41" name="Text Box 253" hidden="1">
          <a:extLst>
            <a:ext uri="{FF2B5EF4-FFF2-40B4-BE49-F238E27FC236}">
              <a16:creationId xmlns:a16="http://schemas.microsoft.com/office/drawing/2014/main" id="{15B4A7E3-0A23-D00F-CAF2-72F4DBE91043}"/>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40" name="Text Box 252" hidden="1">
          <a:extLst>
            <a:ext uri="{FF2B5EF4-FFF2-40B4-BE49-F238E27FC236}">
              <a16:creationId xmlns:a16="http://schemas.microsoft.com/office/drawing/2014/main" id="{180D50D5-C66B-91B3-B668-C0C517315510}"/>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39" name="Text Box 251" hidden="1">
          <a:extLst>
            <a:ext uri="{FF2B5EF4-FFF2-40B4-BE49-F238E27FC236}">
              <a16:creationId xmlns:a16="http://schemas.microsoft.com/office/drawing/2014/main" id="{C196AFCE-259A-A3D1-B72E-045006EDA64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69476</xdr:rowOff>
    </xdr:from>
    <xdr:to>
      <xdr:col>30</xdr:col>
      <xdr:colOff>673100</xdr:colOff>
      <xdr:row>22</xdr:row>
      <xdr:rowOff>171824</xdr:rowOff>
    </xdr:to>
    <xdr:sp macro="" textlink="">
      <xdr:nvSpPr>
        <xdr:cNvPr id="422182" name="Text Box 294" hidden="1">
          <a:extLst>
            <a:ext uri="{FF2B5EF4-FFF2-40B4-BE49-F238E27FC236}">
              <a16:creationId xmlns:a16="http://schemas.microsoft.com/office/drawing/2014/main" id="{97AB9756-7D3B-116F-333C-B1593EF78C96}"/>
            </a:ext>
          </a:extLst>
        </xdr:cNvPr>
        <xdr:cNvSpPr txBox="1">
          <a:spLocks noChangeArrowheads="1"/>
        </xdr:cNvSpPr>
      </xdr:nvSpPr>
      <xdr:spPr bwMode="auto">
        <a:xfrm>
          <a:off x="24796750" y="35750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69477</xdr:rowOff>
    </xdr:from>
    <xdr:to>
      <xdr:col>30</xdr:col>
      <xdr:colOff>673100</xdr:colOff>
      <xdr:row>33</xdr:row>
      <xdr:rowOff>149412</xdr:rowOff>
    </xdr:to>
    <xdr:sp macro="" textlink="">
      <xdr:nvSpPr>
        <xdr:cNvPr id="422183" name="Text Box 295" hidden="1">
          <a:extLst>
            <a:ext uri="{FF2B5EF4-FFF2-40B4-BE49-F238E27FC236}">
              <a16:creationId xmlns:a16="http://schemas.microsoft.com/office/drawing/2014/main" id="{882EAED7-FE57-510F-99E1-BBC0AEE9F943}"/>
            </a:ext>
          </a:extLst>
        </xdr:cNvPr>
        <xdr:cNvSpPr txBox="1">
          <a:spLocks noChangeArrowheads="1"/>
        </xdr:cNvSpPr>
      </xdr:nvSpPr>
      <xdr:spPr bwMode="auto">
        <a:xfrm>
          <a:off x="24796750" y="55816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134</xdr:row>
      <xdr:rowOff>172355</xdr:rowOff>
    </xdr:from>
    <xdr:to>
      <xdr:col>30</xdr:col>
      <xdr:colOff>673100</xdr:colOff>
      <xdr:row>139</xdr:row>
      <xdr:rowOff>58447</xdr:rowOff>
    </xdr:to>
    <xdr:sp macro="" textlink="">
      <xdr:nvSpPr>
        <xdr:cNvPr id="422184" name="Text Box 296" hidden="1">
          <a:extLst>
            <a:ext uri="{FF2B5EF4-FFF2-40B4-BE49-F238E27FC236}">
              <a16:creationId xmlns:a16="http://schemas.microsoft.com/office/drawing/2014/main" id="{328955A2-447B-4C66-7FCA-DF0AFCD5D1AD}"/>
            </a:ext>
          </a:extLst>
        </xdr:cNvPr>
        <xdr:cNvSpPr txBox="1">
          <a:spLocks noChangeArrowheads="1"/>
        </xdr:cNvSpPr>
      </xdr:nvSpPr>
      <xdr:spPr bwMode="auto">
        <a:xfrm>
          <a:off x="24796750" y="272288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229" name="Text Box 341" hidden="1">
          <a:extLst>
            <a:ext uri="{FF2B5EF4-FFF2-40B4-BE49-F238E27FC236}">
              <a16:creationId xmlns:a16="http://schemas.microsoft.com/office/drawing/2014/main" id="{5869E515-740E-A197-35C4-0E4D46424013}"/>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228" name="Text Box 340" hidden="1">
          <a:extLst>
            <a:ext uri="{FF2B5EF4-FFF2-40B4-BE49-F238E27FC236}">
              <a16:creationId xmlns:a16="http://schemas.microsoft.com/office/drawing/2014/main" id="{25AC7E6B-AAA7-B3FF-CD4A-B5FC28773070}"/>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227" name="Text Box 339" hidden="1">
          <a:extLst>
            <a:ext uri="{FF2B5EF4-FFF2-40B4-BE49-F238E27FC236}">
              <a16:creationId xmlns:a16="http://schemas.microsoft.com/office/drawing/2014/main" id="{AF02E12B-96C9-AAC0-04E9-E2A03C714C57}"/>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6" name="Text Box 338" hidden="1">
          <a:extLst>
            <a:ext uri="{FF2B5EF4-FFF2-40B4-BE49-F238E27FC236}">
              <a16:creationId xmlns:a16="http://schemas.microsoft.com/office/drawing/2014/main" id="{A49EFA38-18B1-A52E-AD57-C016435728CE}"/>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5" name="Text Box 337" hidden="1">
          <a:extLst>
            <a:ext uri="{FF2B5EF4-FFF2-40B4-BE49-F238E27FC236}">
              <a16:creationId xmlns:a16="http://schemas.microsoft.com/office/drawing/2014/main" id="{D48A0CC7-C1BE-B31B-D6A5-7641F40F66BA}"/>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224" name="Text Box 336" hidden="1">
          <a:extLst>
            <a:ext uri="{FF2B5EF4-FFF2-40B4-BE49-F238E27FC236}">
              <a16:creationId xmlns:a16="http://schemas.microsoft.com/office/drawing/2014/main" id="{D3A57841-2346-6D8B-8A1C-4F47FDC117F3}"/>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223" name="Text Box 335" hidden="1">
          <a:extLst>
            <a:ext uri="{FF2B5EF4-FFF2-40B4-BE49-F238E27FC236}">
              <a16:creationId xmlns:a16="http://schemas.microsoft.com/office/drawing/2014/main" id="{BC543BF0-E2FB-D0E7-EE31-53E0CA37EFEA}"/>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222" name="Text Box 334" hidden="1">
          <a:extLst>
            <a:ext uri="{FF2B5EF4-FFF2-40B4-BE49-F238E27FC236}">
              <a16:creationId xmlns:a16="http://schemas.microsoft.com/office/drawing/2014/main" id="{600373A5-A9D6-F1B2-424E-AC3BDE741081}"/>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221" name="Text Box 333" hidden="1">
          <a:extLst>
            <a:ext uri="{FF2B5EF4-FFF2-40B4-BE49-F238E27FC236}">
              <a16:creationId xmlns:a16="http://schemas.microsoft.com/office/drawing/2014/main" id="{BAF4AB45-15CD-4889-B3E6-6B8CE1984089}"/>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220" name="Text Box 332" hidden="1">
          <a:extLst>
            <a:ext uri="{FF2B5EF4-FFF2-40B4-BE49-F238E27FC236}">
              <a16:creationId xmlns:a16="http://schemas.microsoft.com/office/drawing/2014/main" id="{1A620417-ED23-C8B3-3544-00F6A56316DD}"/>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219" name="Text Box 331" hidden="1">
          <a:extLst>
            <a:ext uri="{FF2B5EF4-FFF2-40B4-BE49-F238E27FC236}">
              <a16:creationId xmlns:a16="http://schemas.microsoft.com/office/drawing/2014/main" id="{623D8D39-AA75-8987-39C3-C44B68E937F6}"/>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218" name="Text Box 330" hidden="1">
          <a:extLst>
            <a:ext uri="{FF2B5EF4-FFF2-40B4-BE49-F238E27FC236}">
              <a16:creationId xmlns:a16="http://schemas.microsoft.com/office/drawing/2014/main" id="{E0A24E1B-D552-ED44-6930-0B55EEA0F3CD}"/>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217" name="Text Box 329" hidden="1">
          <a:extLst>
            <a:ext uri="{FF2B5EF4-FFF2-40B4-BE49-F238E27FC236}">
              <a16:creationId xmlns:a16="http://schemas.microsoft.com/office/drawing/2014/main" id="{E11F445B-FD9B-240B-BF67-B83619A2CA4D}"/>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216" name="Text Box 328" hidden="1">
          <a:extLst>
            <a:ext uri="{FF2B5EF4-FFF2-40B4-BE49-F238E27FC236}">
              <a16:creationId xmlns:a16="http://schemas.microsoft.com/office/drawing/2014/main" id="{2BAA3014-B79D-5A86-5A15-5A2377CDF352}"/>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215" name="Text Box 327" hidden="1">
          <a:extLst>
            <a:ext uri="{FF2B5EF4-FFF2-40B4-BE49-F238E27FC236}">
              <a16:creationId xmlns:a16="http://schemas.microsoft.com/office/drawing/2014/main" id="{59F27FB4-4A5B-5AFC-78B0-DD4F874294DF}"/>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214" name="Text Box 326" hidden="1">
          <a:extLst>
            <a:ext uri="{FF2B5EF4-FFF2-40B4-BE49-F238E27FC236}">
              <a16:creationId xmlns:a16="http://schemas.microsoft.com/office/drawing/2014/main" id="{CE2BDBB7-0099-FF35-7068-3938394E007D}"/>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213" name="Text Box 325" hidden="1">
          <a:extLst>
            <a:ext uri="{FF2B5EF4-FFF2-40B4-BE49-F238E27FC236}">
              <a16:creationId xmlns:a16="http://schemas.microsoft.com/office/drawing/2014/main" id="{C9F3758B-1610-D7CF-80D7-5C6260187CE0}"/>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212" name="Text Box 324" hidden="1">
          <a:extLst>
            <a:ext uri="{FF2B5EF4-FFF2-40B4-BE49-F238E27FC236}">
              <a16:creationId xmlns:a16="http://schemas.microsoft.com/office/drawing/2014/main" id="{5BFD50C4-A9BC-70EB-8260-7EF457DD67B4}"/>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211" name="Text Box 323" hidden="1">
          <a:extLst>
            <a:ext uri="{FF2B5EF4-FFF2-40B4-BE49-F238E27FC236}">
              <a16:creationId xmlns:a16="http://schemas.microsoft.com/office/drawing/2014/main" id="{4D446DA2-4AB0-7BA1-44EF-C7CF65CB70AC}"/>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210" name="Text Box 322" hidden="1">
          <a:extLst>
            <a:ext uri="{FF2B5EF4-FFF2-40B4-BE49-F238E27FC236}">
              <a16:creationId xmlns:a16="http://schemas.microsoft.com/office/drawing/2014/main" id="{8B0D6042-D1C8-5F8E-B382-3245B8FEF1B7}"/>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209" name="Text Box 321" hidden="1">
          <a:extLst>
            <a:ext uri="{FF2B5EF4-FFF2-40B4-BE49-F238E27FC236}">
              <a16:creationId xmlns:a16="http://schemas.microsoft.com/office/drawing/2014/main" id="{673CB22D-ECC3-1DD7-580B-4FD3B5C1A467}"/>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208" name="Text Box 320" hidden="1">
          <a:extLst>
            <a:ext uri="{FF2B5EF4-FFF2-40B4-BE49-F238E27FC236}">
              <a16:creationId xmlns:a16="http://schemas.microsoft.com/office/drawing/2014/main" id="{2A555745-0772-6C25-C8EB-D4BFBBD561B1}"/>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207" name="Text Box 319" hidden="1">
          <a:extLst>
            <a:ext uri="{FF2B5EF4-FFF2-40B4-BE49-F238E27FC236}">
              <a16:creationId xmlns:a16="http://schemas.microsoft.com/office/drawing/2014/main" id="{EA44C6D2-37BB-499D-FC0E-4674A6CE8C3E}"/>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206" name="Text Box 318" hidden="1">
          <a:extLst>
            <a:ext uri="{FF2B5EF4-FFF2-40B4-BE49-F238E27FC236}">
              <a16:creationId xmlns:a16="http://schemas.microsoft.com/office/drawing/2014/main" id="{32CCFF43-0655-6BFD-67A6-CC838899A266}"/>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205" name="Text Box 317" hidden="1">
          <a:extLst>
            <a:ext uri="{FF2B5EF4-FFF2-40B4-BE49-F238E27FC236}">
              <a16:creationId xmlns:a16="http://schemas.microsoft.com/office/drawing/2014/main" id="{FD4AEB8C-CA89-40DC-8582-D1D24335F2B4}"/>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204" name="Text Box 316" hidden="1">
          <a:extLst>
            <a:ext uri="{FF2B5EF4-FFF2-40B4-BE49-F238E27FC236}">
              <a16:creationId xmlns:a16="http://schemas.microsoft.com/office/drawing/2014/main" id="{B2956D35-CF82-D753-0AC6-A856945BC766}"/>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203" name="Text Box 315" hidden="1">
          <a:extLst>
            <a:ext uri="{FF2B5EF4-FFF2-40B4-BE49-F238E27FC236}">
              <a16:creationId xmlns:a16="http://schemas.microsoft.com/office/drawing/2014/main" id="{AF12C6CD-053B-EFF2-8AC2-97B80F9195BE}"/>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202" name="Text Box 314" hidden="1">
          <a:extLst>
            <a:ext uri="{FF2B5EF4-FFF2-40B4-BE49-F238E27FC236}">
              <a16:creationId xmlns:a16="http://schemas.microsoft.com/office/drawing/2014/main" id="{F72F4822-226F-4549-C838-4D901FFE4081}"/>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201" name="Text Box 313" hidden="1">
          <a:extLst>
            <a:ext uri="{FF2B5EF4-FFF2-40B4-BE49-F238E27FC236}">
              <a16:creationId xmlns:a16="http://schemas.microsoft.com/office/drawing/2014/main" id="{50C96A7F-E81C-0BE6-86C3-6171A917DB70}"/>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200" name="Text Box 312" hidden="1">
          <a:extLst>
            <a:ext uri="{FF2B5EF4-FFF2-40B4-BE49-F238E27FC236}">
              <a16:creationId xmlns:a16="http://schemas.microsoft.com/office/drawing/2014/main" id="{B599EEDB-61CC-14CE-C271-AC85880E1CC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99" name="Text Box 311" hidden="1">
          <a:extLst>
            <a:ext uri="{FF2B5EF4-FFF2-40B4-BE49-F238E27FC236}">
              <a16:creationId xmlns:a16="http://schemas.microsoft.com/office/drawing/2014/main" id="{1643F479-5E52-A7D4-C0FA-EA9A6ADBA9D4}"/>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98" name="Text Box 310" hidden="1">
          <a:extLst>
            <a:ext uri="{FF2B5EF4-FFF2-40B4-BE49-F238E27FC236}">
              <a16:creationId xmlns:a16="http://schemas.microsoft.com/office/drawing/2014/main" id="{3DFB5D47-825E-CA72-E252-A8A4D6F56FC4}"/>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97" name="Text Box 309" hidden="1">
          <a:extLst>
            <a:ext uri="{FF2B5EF4-FFF2-40B4-BE49-F238E27FC236}">
              <a16:creationId xmlns:a16="http://schemas.microsoft.com/office/drawing/2014/main" id="{C1D435A9-3F65-BE62-A8FD-A69CC086B992}"/>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96" name="Text Box 308" hidden="1">
          <a:extLst>
            <a:ext uri="{FF2B5EF4-FFF2-40B4-BE49-F238E27FC236}">
              <a16:creationId xmlns:a16="http://schemas.microsoft.com/office/drawing/2014/main" id="{68A84F2C-5D07-692B-D647-972DF4ADB120}"/>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95" name="Text Box 307" hidden="1">
          <a:extLst>
            <a:ext uri="{FF2B5EF4-FFF2-40B4-BE49-F238E27FC236}">
              <a16:creationId xmlns:a16="http://schemas.microsoft.com/office/drawing/2014/main" id="{52B47B05-3DBE-F63F-6D52-07E6887C4165}"/>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94" name="Text Box 306" hidden="1">
          <a:extLst>
            <a:ext uri="{FF2B5EF4-FFF2-40B4-BE49-F238E27FC236}">
              <a16:creationId xmlns:a16="http://schemas.microsoft.com/office/drawing/2014/main" id="{3F12BC05-752D-B8E9-98F0-BC0FCF198C46}"/>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93" name="Text Box 305" hidden="1">
          <a:extLst>
            <a:ext uri="{FF2B5EF4-FFF2-40B4-BE49-F238E27FC236}">
              <a16:creationId xmlns:a16="http://schemas.microsoft.com/office/drawing/2014/main" id="{B7F64756-266F-8C5D-1F66-AC96CE8B4C76}"/>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92" name="Text Box 304" hidden="1">
          <a:extLst>
            <a:ext uri="{FF2B5EF4-FFF2-40B4-BE49-F238E27FC236}">
              <a16:creationId xmlns:a16="http://schemas.microsoft.com/office/drawing/2014/main" id="{C82380D8-1A8C-F045-918E-C99258EE151E}"/>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91" name="Text Box 303" hidden="1">
          <a:extLst>
            <a:ext uri="{FF2B5EF4-FFF2-40B4-BE49-F238E27FC236}">
              <a16:creationId xmlns:a16="http://schemas.microsoft.com/office/drawing/2014/main" id="{2068E458-BAC5-CF6E-D7EA-729FABCC1508}"/>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90" name="Text Box 302" hidden="1">
          <a:extLst>
            <a:ext uri="{FF2B5EF4-FFF2-40B4-BE49-F238E27FC236}">
              <a16:creationId xmlns:a16="http://schemas.microsoft.com/office/drawing/2014/main" id="{FC67CA2F-BF2C-C628-FBD4-03BE993661A9}"/>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89" name="Text Box 301" hidden="1">
          <a:extLst>
            <a:ext uri="{FF2B5EF4-FFF2-40B4-BE49-F238E27FC236}">
              <a16:creationId xmlns:a16="http://schemas.microsoft.com/office/drawing/2014/main" id="{C2A86827-67A6-F580-5DDE-591EEE99CC01}"/>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88" name="Text Box 300" hidden="1">
          <a:extLst>
            <a:ext uri="{FF2B5EF4-FFF2-40B4-BE49-F238E27FC236}">
              <a16:creationId xmlns:a16="http://schemas.microsoft.com/office/drawing/2014/main" id="{7BD9512D-5CFE-5B4F-48BF-24237B1080D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69476</xdr:rowOff>
    </xdr:from>
    <xdr:to>
      <xdr:col>34</xdr:col>
      <xdr:colOff>666750</xdr:colOff>
      <xdr:row>39</xdr:row>
      <xdr:rowOff>141941</xdr:rowOff>
    </xdr:to>
    <xdr:sp macro="" textlink="">
      <xdr:nvSpPr>
        <xdr:cNvPr id="422187" name="Text Box 299" hidden="1">
          <a:extLst>
            <a:ext uri="{FF2B5EF4-FFF2-40B4-BE49-F238E27FC236}">
              <a16:creationId xmlns:a16="http://schemas.microsoft.com/office/drawing/2014/main" id="{C6EFEC49-5B52-F6F0-70C8-DEFFAD896841}"/>
            </a:ext>
          </a:extLst>
        </xdr:cNvPr>
        <xdr:cNvSpPr txBox="1">
          <a:spLocks noChangeArrowheads="1"/>
        </xdr:cNvSpPr>
      </xdr:nvSpPr>
      <xdr:spPr bwMode="auto">
        <a:xfrm>
          <a:off x="24790400" y="357505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69477</xdr:rowOff>
    </xdr:from>
    <xdr:to>
      <xdr:col>34</xdr:col>
      <xdr:colOff>666750</xdr:colOff>
      <xdr:row>48</xdr:row>
      <xdr:rowOff>141941</xdr:rowOff>
    </xdr:to>
    <xdr:sp macro="" textlink="">
      <xdr:nvSpPr>
        <xdr:cNvPr id="422186" name="Text Box 298" hidden="1">
          <a:extLst>
            <a:ext uri="{FF2B5EF4-FFF2-40B4-BE49-F238E27FC236}">
              <a16:creationId xmlns:a16="http://schemas.microsoft.com/office/drawing/2014/main" id="{2FD0EFED-0D59-0EC5-AF2D-B3E3DF46CBF2}"/>
            </a:ext>
          </a:extLst>
        </xdr:cNvPr>
        <xdr:cNvSpPr txBox="1">
          <a:spLocks noChangeArrowheads="1"/>
        </xdr:cNvSpPr>
      </xdr:nvSpPr>
      <xdr:spPr bwMode="auto">
        <a:xfrm>
          <a:off x="24790400" y="55816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422185" name="Text Box 297" hidden="1">
          <a:extLst>
            <a:ext uri="{FF2B5EF4-FFF2-40B4-BE49-F238E27FC236}">
              <a16:creationId xmlns:a16="http://schemas.microsoft.com/office/drawing/2014/main" id="{28174532-AA31-6842-FE5A-E553760B6560}"/>
            </a:ext>
          </a:extLst>
        </xdr:cNvPr>
        <xdr:cNvSpPr txBox="1">
          <a:spLocks noChangeArrowheads="1"/>
        </xdr:cNvSpPr>
      </xdr:nvSpPr>
      <xdr:spPr bwMode="auto">
        <a:xfrm>
          <a:off x="24790400" y="272288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422274" name="Text Box 1410" hidden="1">
          <a:extLst>
            <a:ext uri="{FF2B5EF4-FFF2-40B4-BE49-F238E27FC236}">
              <a16:creationId xmlns:a16="http://schemas.microsoft.com/office/drawing/2014/main" id="{9111CE36-E8DE-ED89-953C-8EC113336719}"/>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38100</xdr:rowOff>
    </xdr:from>
    <xdr:to>
      <xdr:col>9</xdr:col>
      <xdr:colOff>609600</xdr:colOff>
      <xdr:row>77</xdr:row>
      <xdr:rowOff>0</xdr:rowOff>
    </xdr:to>
    <xdr:sp macro="" textlink="">
      <xdr:nvSpPr>
        <xdr:cNvPr id="422273" name="Text Box 1409" hidden="1">
          <a:extLst>
            <a:ext uri="{FF2B5EF4-FFF2-40B4-BE49-F238E27FC236}">
              <a16:creationId xmlns:a16="http://schemas.microsoft.com/office/drawing/2014/main" id="{A542D9AC-5C49-4EAB-05D5-D42B349B2839}"/>
            </a:ext>
          </a:extLst>
        </xdr:cNvPr>
        <xdr:cNvSpPr txBox="1">
          <a:spLocks noChangeArrowheads="1"/>
        </xdr:cNvSpPr>
      </xdr:nvSpPr>
      <xdr:spPr bwMode="auto">
        <a:xfrm>
          <a:off x="4489450" y="12306300"/>
          <a:ext cx="436245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38100</xdr:rowOff>
    </xdr:from>
    <xdr:to>
      <xdr:col>9</xdr:col>
      <xdr:colOff>628650</xdr:colOff>
      <xdr:row>80</xdr:row>
      <xdr:rowOff>57150</xdr:rowOff>
    </xdr:to>
    <xdr:sp macro="" textlink="">
      <xdr:nvSpPr>
        <xdr:cNvPr id="422272" name="Text Box 1408" hidden="1">
          <a:extLst>
            <a:ext uri="{FF2B5EF4-FFF2-40B4-BE49-F238E27FC236}">
              <a16:creationId xmlns:a16="http://schemas.microsoft.com/office/drawing/2014/main" id="{8E293205-E079-CF0D-7E68-A8433FEC85E2}"/>
            </a:ext>
          </a:extLst>
        </xdr:cNvPr>
        <xdr:cNvSpPr txBox="1">
          <a:spLocks noChangeArrowheads="1"/>
        </xdr:cNvSpPr>
      </xdr:nvSpPr>
      <xdr:spPr bwMode="auto">
        <a:xfrm>
          <a:off x="450850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1" name="Text Box 1407" hidden="1">
          <a:extLst>
            <a:ext uri="{FF2B5EF4-FFF2-40B4-BE49-F238E27FC236}">
              <a16:creationId xmlns:a16="http://schemas.microsoft.com/office/drawing/2014/main" id="{B303C031-2DCB-4E1C-D98E-8B4A548D2F5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0" name="Text Box 1406" hidden="1">
          <a:extLst>
            <a:ext uri="{FF2B5EF4-FFF2-40B4-BE49-F238E27FC236}">
              <a16:creationId xmlns:a16="http://schemas.microsoft.com/office/drawing/2014/main" id="{4AA4733F-F78C-47E3-7458-7F5C507BA0F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133350</xdr:rowOff>
    </xdr:from>
    <xdr:to>
      <xdr:col>9</xdr:col>
      <xdr:colOff>609600</xdr:colOff>
      <xdr:row>83</xdr:row>
      <xdr:rowOff>171450</xdr:rowOff>
    </xdr:to>
    <xdr:sp macro="" textlink="">
      <xdr:nvSpPr>
        <xdr:cNvPr id="422269" name="Text Box 1405" hidden="1">
          <a:extLst>
            <a:ext uri="{FF2B5EF4-FFF2-40B4-BE49-F238E27FC236}">
              <a16:creationId xmlns:a16="http://schemas.microsoft.com/office/drawing/2014/main" id="{772D5345-2A02-E3CF-B542-565B929B0CA7}"/>
            </a:ext>
          </a:extLst>
        </xdr:cNvPr>
        <xdr:cNvSpPr txBox="1">
          <a:spLocks noChangeArrowheads="1"/>
        </xdr:cNvSpPr>
      </xdr:nvSpPr>
      <xdr:spPr bwMode="auto">
        <a:xfrm>
          <a:off x="4489450" y="14344650"/>
          <a:ext cx="436245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101</xdr:row>
      <xdr:rowOff>171450</xdr:rowOff>
    </xdr:to>
    <xdr:sp macro="" textlink="">
      <xdr:nvSpPr>
        <xdr:cNvPr id="422268" name="Text Box 1404" hidden="1">
          <a:extLst>
            <a:ext uri="{FF2B5EF4-FFF2-40B4-BE49-F238E27FC236}">
              <a16:creationId xmlns:a16="http://schemas.microsoft.com/office/drawing/2014/main" id="{2576EFD9-FCD6-26DF-4892-88D7770A0C52}"/>
            </a:ext>
          </a:extLst>
        </xdr:cNvPr>
        <xdr:cNvSpPr txBox="1">
          <a:spLocks noChangeArrowheads="1"/>
        </xdr:cNvSpPr>
      </xdr:nvSpPr>
      <xdr:spPr bwMode="auto">
        <a:xfrm>
          <a:off x="4489450" y="18014950"/>
          <a:ext cx="436245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19050</xdr:rowOff>
    </xdr:to>
    <xdr:sp macro="" textlink="">
      <xdr:nvSpPr>
        <xdr:cNvPr id="422267" name="Text Box 1403" hidden="1">
          <a:extLst>
            <a:ext uri="{FF2B5EF4-FFF2-40B4-BE49-F238E27FC236}">
              <a16:creationId xmlns:a16="http://schemas.microsoft.com/office/drawing/2014/main" id="{60391CC8-D839-396A-821C-271C50E02C4E}"/>
            </a:ext>
          </a:extLst>
        </xdr:cNvPr>
        <xdr:cNvSpPr txBox="1">
          <a:spLocks noChangeArrowheads="1"/>
        </xdr:cNvSpPr>
      </xdr:nvSpPr>
      <xdr:spPr bwMode="auto">
        <a:xfrm>
          <a:off x="4489450" y="1812290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19050</xdr:rowOff>
    </xdr:to>
    <xdr:sp macro="" textlink="">
      <xdr:nvSpPr>
        <xdr:cNvPr id="422266" name="Text Box 1402" hidden="1">
          <a:extLst>
            <a:ext uri="{FF2B5EF4-FFF2-40B4-BE49-F238E27FC236}">
              <a16:creationId xmlns:a16="http://schemas.microsoft.com/office/drawing/2014/main" id="{1849C394-1A23-A8B0-91A9-ABC1C690B278}"/>
            </a:ext>
          </a:extLst>
        </xdr:cNvPr>
        <xdr:cNvSpPr txBox="1">
          <a:spLocks noChangeArrowheads="1"/>
        </xdr:cNvSpPr>
      </xdr:nvSpPr>
      <xdr:spPr bwMode="auto">
        <a:xfrm>
          <a:off x="4489450" y="182372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103</xdr:row>
      <xdr:rowOff>152400</xdr:rowOff>
    </xdr:to>
    <xdr:sp macro="" textlink="">
      <xdr:nvSpPr>
        <xdr:cNvPr id="422265" name="Text Box 1401" hidden="1">
          <a:extLst>
            <a:ext uri="{FF2B5EF4-FFF2-40B4-BE49-F238E27FC236}">
              <a16:creationId xmlns:a16="http://schemas.microsoft.com/office/drawing/2014/main" id="{059451C8-3206-FAB5-50AE-BB9344525D91}"/>
            </a:ext>
          </a:extLst>
        </xdr:cNvPr>
        <xdr:cNvSpPr txBox="1">
          <a:spLocks noChangeArrowheads="1"/>
        </xdr:cNvSpPr>
      </xdr:nvSpPr>
      <xdr:spPr bwMode="auto">
        <a:xfrm>
          <a:off x="4489450" y="18421350"/>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114300</xdr:rowOff>
    </xdr:from>
    <xdr:to>
      <xdr:col>9</xdr:col>
      <xdr:colOff>609600</xdr:colOff>
      <xdr:row>123</xdr:row>
      <xdr:rowOff>57150</xdr:rowOff>
    </xdr:to>
    <xdr:sp macro="" textlink="">
      <xdr:nvSpPr>
        <xdr:cNvPr id="422264" name="Text Box 1400" hidden="1">
          <a:extLst>
            <a:ext uri="{FF2B5EF4-FFF2-40B4-BE49-F238E27FC236}">
              <a16:creationId xmlns:a16="http://schemas.microsoft.com/office/drawing/2014/main" id="{CB20FB22-96EF-9B1E-BA5E-4FE77D77DD6A}"/>
            </a:ext>
          </a:extLst>
        </xdr:cNvPr>
        <xdr:cNvSpPr txBox="1">
          <a:spLocks noChangeArrowheads="1"/>
        </xdr:cNvSpPr>
      </xdr:nvSpPr>
      <xdr:spPr bwMode="auto">
        <a:xfrm>
          <a:off x="4489450" y="224218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57150</xdr:rowOff>
    </xdr:from>
    <xdr:to>
      <xdr:col>9</xdr:col>
      <xdr:colOff>609600</xdr:colOff>
      <xdr:row>124</xdr:row>
      <xdr:rowOff>19050</xdr:rowOff>
    </xdr:to>
    <xdr:sp macro="" textlink="">
      <xdr:nvSpPr>
        <xdr:cNvPr id="422263" name="Text Box 1399" hidden="1">
          <a:extLst>
            <a:ext uri="{FF2B5EF4-FFF2-40B4-BE49-F238E27FC236}">
              <a16:creationId xmlns:a16="http://schemas.microsoft.com/office/drawing/2014/main" id="{FACE59CC-6586-1ECB-25E2-45D7C8C7425B}"/>
            </a:ext>
          </a:extLst>
        </xdr:cNvPr>
        <xdr:cNvSpPr txBox="1">
          <a:spLocks noChangeArrowheads="1"/>
        </xdr:cNvSpPr>
      </xdr:nvSpPr>
      <xdr:spPr bwMode="auto">
        <a:xfrm>
          <a:off x="4489450" y="226060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422262" name="Text Box 1398" hidden="1">
          <a:extLst>
            <a:ext uri="{FF2B5EF4-FFF2-40B4-BE49-F238E27FC236}">
              <a16:creationId xmlns:a16="http://schemas.microsoft.com/office/drawing/2014/main" id="{90276AE8-39C5-6C9D-C6AC-F572C11C9D65}"/>
            </a:ext>
          </a:extLst>
        </xdr:cNvPr>
        <xdr:cNvSpPr txBox="1">
          <a:spLocks noChangeArrowheads="1"/>
        </xdr:cNvSpPr>
      </xdr:nvSpPr>
      <xdr:spPr bwMode="auto">
        <a:xfrm>
          <a:off x="4489450" y="228473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57150</xdr:rowOff>
    </xdr:from>
    <xdr:to>
      <xdr:col>9</xdr:col>
      <xdr:colOff>609600</xdr:colOff>
      <xdr:row>125</xdr:row>
      <xdr:rowOff>114300</xdr:rowOff>
    </xdr:to>
    <xdr:sp macro="" textlink="">
      <xdr:nvSpPr>
        <xdr:cNvPr id="422261" name="Text Box 1397" hidden="1">
          <a:extLst>
            <a:ext uri="{FF2B5EF4-FFF2-40B4-BE49-F238E27FC236}">
              <a16:creationId xmlns:a16="http://schemas.microsoft.com/office/drawing/2014/main" id="{A220F7DD-5C0F-CD13-66C8-05EE7FD8D829}"/>
            </a:ext>
          </a:extLst>
        </xdr:cNvPr>
        <xdr:cNvSpPr txBox="1">
          <a:spLocks noChangeArrowheads="1"/>
        </xdr:cNvSpPr>
      </xdr:nvSpPr>
      <xdr:spPr bwMode="auto">
        <a:xfrm>
          <a:off x="4489450" y="227901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422260" name="Text Box 1396" hidden="1">
          <a:extLst>
            <a:ext uri="{FF2B5EF4-FFF2-40B4-BE49-F238E27FC236}">
              <a16:creationId xmlns:a16="http://schemas.microsoft.com/office/drawing/2014/main" id="{C744CC4E-ACE2-90E9-549C-A3F8699FFB7B}"/>
            </a:ext>
          </a:extLst>
        </xdr:cNvPr>
        <xdr:cNvSpPr txBox="1">
          <a:spLocks noChangeArrowheads="1"/>
        </xdr:cNvSpPr>
      </xdr:nvSpPr>
      <xdr:spPr bwMode="auto">
        <a:xfrm>
          <a:off x="17703800" y="272605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422259" name="Text Box 1395" hidden="1">
          <a:extLst>
            <a:ext uri="{FF2B5EF4-FFF2-40B4-BE49-F238E27FC236}">
              <a16:creationId xmlns:a16="http://schemas.microsoft.com/office/drawing/2014/main" id="{ED37F358-A9B9-5607-5E45-1F7034AC377E}"/>
            </a:ext>
          </a:extLst>
        </xdr:cNvPr>
        <xdr:cNvSpPr txBox="1">
          <a:spLocks noChangeArrowheads="1"/>
        </xdr:cNvSpPr>
      </xdr:nvSpPr>
      <xdr:spPr bwMode="auto">
        <a:xfrm>
          <a:off x="185229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133350</xdr:rowOff>
    </xdr:from>
    <xdr:to>
      <xdr:col>25</xdr:col>
      <xdr:colOff>609600</xdr:colOff>
      <xdr:row>43</xdr:row>
      <xdr:rowOff>76200</xdr:rowOff>
    </xdr:to>
    <xdr:sp macro="" textlink="">
      <xdr:nvSpPr>
        <xdr:cNvPr id="422258" name="Text Box 1394" hidden="1">
          <a:extLst>
            <a:ext uri="{FF2B5EF4-FFF2-40B4-BE49-F238E27FC236}">
              <a16:creationId xmlns:a16="http://schemas.microsoft.com/office/drawing/2014/main" id="{8EA0654C-6AB5-F61E-179F-F9E06C16CA1F}"/>
            </a:ext>
          </a:extLst>
        </xdr:cNvPr>
        <xdr:cNvSpPr txBox="1">
          <a:spLocks noChangeArrowheads="1"/>
        </xdr:cNvSpPr>
      </xdr:nvSpPr>
      <xdr:spPr bwMode="auto">
        <a:xfrm>
          <a:off x="18522950" y="56007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422257" name="Text Box 1393" hidden="1">
          <a:extLst>
            <a:ext uri="{FF2B5EF4-FFF2-40B4-BE49-F238E27FC236}">
              <a16:creationId xmlns:a16="http://schemas.microsoft.com/office/drawing/2014/main" id="{81FBE7B5-1976-0D43-6C89-5C275A46891D}"/>
            </a:ext>
          </a:extLst>
        </xdr:cNvPr>
        <xdr:cNvSpPr txBox="1">
          <a:spLocks noChangeArrowheads="1"/>
        </xdr:cNvSpPr>
      </xdr:nvSpPr>
      <xdr:spPr bwMode="auto">
        <a:xfrm>
          <a:off x="18522950" y="279971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422256" name="Text Box 1392" hidden="1">
          <a:extLst>
            <a:ext uri="{FF2B5EF4-FFF2-40B4-BE49-F238E27FC236}">
              <a16:creationId xmlns:a16="http://schemas.microsoft.com/office/drawing/2014/main" id="{71644F7C-4F1E-DED5-75CB-1939B4B677C5}"/>
            </a:ext>
          </a:extLst>
        </xdr:cNvPr>
        <xdr:cNvSpPr txBox="1">
          <a:spLocks noChangeArrowheads="1"/>
        </xdr:cNvSpPr>
      </xdr:nvSpPr>
      <xdr:spPr bwMode="auto">
        <a:xfrm>
          <a:off x="10179050" y="76009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422255" name="Text Box 1391" hidden="1">
          <a:extLst>
            <a:ext uri="{FF2B5EF4-FFF2-40B4-BE49-F238E27FC236}">
              <a16:creationId xmlns:a16="http://schemas.microsoft.com/office/drawing/2014/main" id="{9663E2C0-7395-A8AB-F954-45F5783C7088}"/>
            </a:ext>
          </a:extLst>
        </xdr:cNvPr>
        <xdr:cNvSpPr txBox="1">
          <a:spLocks noChangeArrowheads="1"/>
        </xdr:cNvSpPr>
      </xdr:nvSpPr>
      <xdr:spPr bwMode="auto">
        <a:xfrm>
          <a:off x="20218400" y="374015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133350</xdr:rowOff>
    </xdr:from>
    <xdr:to>
      <xdr:col>28</xdr:col>
      <xdr:colOff>647700</xdr:colOff>
      <xdr:row>43</xdr:row>
      <xdr:rowOff>171450</xdr:rowOff>
    </xdr:to>
    <xdr:sp macro="" textlink="">
      <xdr:nvSpPr>
        <xdr:cNvPr id="422254" name="Text Box 1390" hidden="1">
          <a:extLst>
            <a:ext uri="{FF2B5EF4-FFF2-40B4-BE49-F238E27FC236}">
              <a16:creationId xmlns:a16="http://schemas.microsoft.com/office/drawing/2014/main" id="{18A0182D-1AAC-467D-B2FB-37CAE57B89C6}"/>
            </a:ext>
          </a:extLst>
        </xdr:cNvPr>
        <xdr:cNvSpPr txBox="1">
          <a:spLocks noChangeArrowheads="1"/>
        </xdr:cNvSpPr>
      </xdr:nvSpPr>
      <xdr:spPr bwMode="auto">
        <a:xfrm>
          <a:off x="20218400" y="56007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422253" name="Text Box 1389" hidden="1">
          <a:extLst>
            <a:ext uri="{FF2B5EF4-FFF2-40B4-BE49-F238E27FC236}">
              <a16:creationId xmlns:a16="http://schemas.microsoft.com/office/drawing/2014/main" id="{A03CE116-D643-4E8A-84F5-1CAAAFBD3E1A}"/>
            </a:ext>
          </a:extLst>
        </xdr:cNvPr>
        <xdr:cNvSpPr txBox="1">
          <a:spLocks noChangeArrowheads="1"/>
        </xdr:cNvSpPr>
      </xdr:nvSpPr>
      <xdr:spPr bwMode="auto">
        <a:xfrm>
          <a:off x="20218400" y="279971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422252" name="Text Box 1388" hidden="1">
          <a:extLst>
            <a:ext uri="{FF2B5EF4-FFF2-40B4-BE49-F238E27FC236}">
              <a16:creationId xmlns:a16="http://schemas.microsoft.com/office/drawing/2014/main" id="{C8FA81B2-B9F2-25C7-69B8-F637769340BE}"/>
            </a:ext>
          </a:extLst>
        </xdr:cNvPr>
        <xdr:cNvSpPr txBox="1">
          <a:spLocks noChangeArrowheads="1"/>
        </xdr:cNvSpPr>
      </xdr:nvSpPr>
      <xdr:spPr bwMode="auto">
        <a:xfrm>
          <a:off x="209804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133350</xdr:rowOff>
    </xdr:from>
    <xdr:to>
      <xdr:col>29</xdr:col>
      <xdr:colOff>647700</xdr:colOff>
      <xdr:row>43</xdr:row>
      <xdr:rowOff>114300</xdr:rowOff>
    </xdr:to>
    <xdr:sp macro="" textlink="">
      <xdr:nvSpPr>
        <xdr:cNvPr id="422251" name="Text Box 1387" hidden="1">
          <a:extLst>
            <a:ext uri="{FF2B5EF4-FFF2-40B4-BE49-F238E27FC236}">
              <a16:creationId xmlns:a16="http://schemas.microsoft.com/office/drawing/2014/main" id="{CC2481FA-ADCD-E063-CE6D-6B8B50C5D907}"/>
            </a:ext>
          </a:extLst>
        </xdr:cNvPr>
        <xdr:cNvSpPr txBox="1">
          <a:spLocks noChangeArrowheads="1"/>
        </xdr:cNvSpPr>
      </xdr:nvSpPr>
      <xdr:spPr bwMode="auto">
        <a:xfrm>
          <a:off x="20980400" y="56007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422250" name="Text Box 1386" hidden="1">
          <a:extLst>
            <a:ext uri="{FF2B5EF4-FFF2-40B4-BE49-F238E27FC236}">
              <a16:creationId xmlns:a16="http://schemas.microsoft.com/office/drawing/2014/main" id="{FD97E1C0-89B9-ABD8-9944-A6F62110C0C0}"/>
            </a:ext>
          </a:extLst>
        </xdr:cNvPr>
        <xdr:cNvSpPr txBox="1">
          <a:spLocks noChangeArrowheads="1"/>
        </xdr:cNvSpPr>
      </xdr:nvSpPr>
      <xdr:spPr bwMode="auto">
        <a:xfrm>
          <a:off x="20980400" y="280543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285750</xdr:rowOff>
    </xdr:to>
    <xdr:sp macro="" textlink="">
      <xdr:nvSpPr>
        <xdr:cNvPr id="422249" name="Text Box 1385" hidden="1">
          <a:extLst>
            <a:ext uri="{FF2B5EF4-FFF2-40B4-BE49-F238E27FC236}">
              <a16:creationId xmlns:a16="http://schemas.microsoft.com/office/drawing/2014/main" id="{220D1FB6-676A-A7D1-A54E-D027295A5538}"/>
            </a:ext>
          </a:extLst>
        </xdr:cNvPr>
        <xdr:cNvSpPr txBox="1">
          <a:spLocks noChangeArrowheads="1"/>
        </xdr:cNvSpPr>
      </xdr:nvSpPr>
      <xdr:spPr bwMode="auto">
        <a:xfrm>
          <a:off x="10217150" y="8299450"/>
          <a:ext cx="44958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285750</xdr:rowOff>
    </xdr:to>
    <xdr:sp macro="" textlink="">
      <xdr:nvSpPr>
        <xdr:cNvPr id="422248" name="Text Box 1384" hidden="1">
          <a:extLst>
            <a:ext uri="{FF2B5EF4-FFF2-40B4-BE49-F238E27FC236}">
              <a16:creationId xmlns:a16="http://schemas.microsoft.com/office/drawing/2014/main" id="{AD59AD43-B3A9-B240-EC3C-0B5CDAEA3A66}"/>
            </a:ext>
          </a:extLst>
        </xdr:cNvPr>
        <xdr:cNvSpPr txBox="1">
          <a:spLocks noChangeArrowheads="1"/>
        </xdr:cNvSpPr>
      </xdr:nvSpPr>
      <xdr:spPr bwMode="auto">
        <a:xfrm>
          <a:off x="11315700" y="8299450"/>
          <a:ext cx="48260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190500</xdr:rowOff>
    </xdr:from>
    <xdr:to>
      <xdr:col>34</xdr:col>
      <xdr:colOff>647700</xdr:colOff>
      <xdr:row>41</xdr:row>
      <xdr:rowOff>19050</xdr:rowOff>
    </xdr:to>
    <xdr:sp macro="" textlink="">
      <xdr:nvSpPr>
        <xdr:cNvPr id="422247" name="Text Box 1383" hidden="1">
          <a:extLst>
            <a:ext uri="{FF2B5EF4-FFF2-40B4-BE49-F238E27FC236}">
              <a16:creationId xmlns:a16="http://schemas.microsoft.com/office/drawing/2014/main" id="{5D54815B-AF7A-A499-2885-C062E208378F}"/>
            </a:ext>
          </a:extLst>
        </xdr:cNvPr>
        <xdr:cNvSpPr txBox="1">
          <a:spLocks noChangeArrowheads="1"/>
        </xdr:cNvSpPr>
      </xdr:nvSpPr>
      <xdr:spPr bwMode="auto">
        <a:xfrm>
          <a:off x="24790400" y="4940300"/>
          <a:ext cx="48450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57</xdr:row>
      <xdr:rowOff>38100</xdr:rowOff>
    </xdr:from>
    <xdr:to>
      <xdr:col>18</xdr:col>
      <xdr:colOff>571500</xdr:colOff>
      <xdr:row>77</xdr:row>
      <xdr:rowOff>0</xdr:rowOff>
    </xdr:to>
    <xdr:sp macro="" textlink="">
      <xdr:nvSpPr>
        <xdr:cNvPr id="422246" name="Text Box 1382" hidden="1">
          <a:extLst>
            <a:ext uri="{FF2B5EF4-FFF2-40B4-BE49-F238E27FC236}">
              <a16:creationId xmlns:a16="http://schemas.microsoft.com/office/drawing/2014/main" id="{7949A581-E8C9-F786-CD46-296F85DB9EBD}"/>
            </a:ext>
          </a:extLst>
        </xdr:cNvPr>
        <xdr:cNvSpPr txBox="1">
          <a:spLocks noChangeArrowheads="1"/>
        </xdr:cNvSpPr>
      </xdr:nvSpPr>
      <xdr:spPr bwMode="auto">
        <a:xfrm>
          <a:off x="12147550" y="12306300"/>
          <a:ext cx="46609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76200</xdr:rowOff>
    </xdr:from>
    <xdr:to>
      <xdr:col>18</xdr:col>
      <xdr:colOff>609600</xdr:colOff>
      <xdr:row>83</xdr:row>
      <xdr:rowOff>171450</xdr:rowOff>
    </xdr:to>
    <xdr:sp macro="" textlink="">
      <xdr:nvSpPr>
        <xdr:cNvPr id="422245" name="Text Box 1381" hidden="1">
          <a:extLst>
            <a:ext uri="{FF2B5EF4-FFF2-40B4-BE49-F238E27FC236}">
              <a16:creationId xmlns:a16="http://schemas.microsoft.com/office/drawing/2014/main" id="{26220470-6BE5-D39A-AC51-842EA5855ED3}"/>
            </a:ext>
          </a:extLst>
        </xdr:cNvPr>
        <xdr:cNvSpPr txBox="1">
          <a:spLocks noChangeArrowheads="1"/>
        </xdr:cNvSpPr>
      </xdr:nvSpPr>
      <xdr:spPr bwMode="auto">
        <a:xfrm>
          <a:off x="12185650" y="14287500"/>
          <a:ext cx="466090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285750</xdr:rowOff>
    </xdr:to>
    <xdr:sp macro="" textlink="">
      <xdr:nvSpPr>
        <xdr:cNvPr id="422244" name="Text Box 1380" hidden="1">
          <a:extLst>
            <a:ext uri="{FF2B5EF4-FFF2-40B4-BE49-F238E27FC236}">
              <a16:creationId xmlns:a16="http://schemas.microsoft.com/office/drawing/2014/main" id="{891B5007-95CC-A451-1D58-81DF9CDE41EB}"/>
            </a:ext>
          </a:extLst>
        </xdr:cNvPr>
        <xdr:cNvSpPr txBox="1">
          <a:spLocks noChangeArrowheads="1"/>
        </xdr:cNvSpPr>
      </xdr:nvSpPr>
      <xdr:spPr bwMode="auto">
        <a:xfrm>
          <a:off x="12185650" y="8299450"/>
          <a:ext cx="46609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422243" name="Text Box 1379" hidden="1">
          <a:extLst>
            <a:ext uri="{FF2B5EF4-FFF2-40B4-BE49-F238E27FC236}">
              <a16:creationId xmlns:a16="http://schemas.microsoft.com/office/drawing/2014/main" id="{50D5EED7-2F53-5840-2707-49887B521824}"/>
            </a:ext>
          </a:extLst>
        </xdr:cNvPr>
        <xdr:cNvSpPr txBox="1">
          <a:spLocks noChangeArrowheads="1"/>
        </xdr:cNvSpPr>
      </xdr:nvSpPr>
      <xdr:spPr bwMode="auto">
        <a:xfrm>
          <a:off x="21742400" y="374015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133350</xdr:rowOff>
    </xdr:from>
    <xdr:to>
      <xdr:col>30</xdr:col>
      <xdr:colOff>666750</xdr:colOff>
      <xdr:row>43</xdr:row>
      <xdr:rowOff>171450</xdr:rowOff>
    </xdr:to>
    <xdr:sp macro="" textlink="">
      <xdr:nvSpPr>
        <xdr:cNvPr id="422242" name="Text Box 1378" hidden="1">
          <a:extLst>
            <a:ext uri="{FF2B5EF4-FFF2-40B4-BE49-F238E27FC236}">
              <a16:creationId xmlns:a16="http://schemas.microsoft.com/office/drawing/2014/main" id="{79571C05-D086-C9C1-277B-6E5D2B3EBC8A}"/>
            </a:ext>
          </a:extLst>
        </xdr:cNvPr>
        <xdr:cNvSpPr txBox="1">
          <a:spLocks noChangeArrowheads="1"/>
        </xdr:cNvSpPr>
      </xdr:nvSpPr>
      <xdr:spPr bwMode="auto">
        <a:xfrm>
          <a:off x="21742400" y="56007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422241" name="Text Box 1377" hidden="1">
          <a:extLst>
            <a:ext uri="{FF2B5EF4-FFF2-40B4-BE49-F238E27FC236}">
              <a16:creationId xmlns:a16="http://schemas.microsoft.com/office/drawing/2014/main" id="{ACC25041-255F-D6F9-4E77-BE9C0A1CAD79}"/>
            </a:ext>
          </a:extLst>
        </xdr:cNvPr>
        <xdr:cNvSpPr txBox="1">
          <a:spLocks noChangeArrowheads="1"/>
        </xdr:cNvSpPr>
      </xdr:nvSpPr>
      <xdr:spPr bwMode="auto">
        <a:xfrm>
          <a:off x="21742400" y="284797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422240" name="Text Box 1376" hidden="1">
          <a:extLst>
            <a:ext uri="{FF2B5EF4-FFF2-40B4-BE49-F238E27FC236}">
              <a16:creationId xmlns:a16="http://schemas.microsoft.com/office/drawing/2014/main" id="{3C890A15-EBB0-E8AB-50AA-1A030C5A13BC}"/>
            </a:ext>
          </a:extLst>
        </xdr:cNvPr>
        <xdr:cNvSpPr txBox="1">
          <a:spLocks noChangeArrowheads="1"/>
        </xdr:cNvSpPr>
      </xdr:nvSpPr>
      <xdr:spPr bwMode="auto">
        <a:xfrm>
          <a:off x="22504400" y="375920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133350</xdr:rowOff>
    </xdr:from>
    <xdr:to>
      <xdr:col>31</xdr:col>
      <xdr:colOff>666750</xdr:colOff>
      <xdr:row>43</xdr:row>
      <xdr:rowOff>171450</xdr:rowOff>
    </xdr:to>
    <xdr:sp macro="" textlink="">
      <xdr:nvSpPr>
        <xdr:cNvPr id="422239" name="Text Box 1375" hidden="1">
          <a:extLst>
            <a:ext uri="{FF2B5EF4-FFF2-40B4-BE49-F238E27FC236}">
              <a16:creationId xmlns:a16="http://schemas.microsoft.com/office/drawing/2014/main" id="{A253C89A-478D-48B0-815A-E98296D3CA30}"/>
            </a:ext>
          </a:extLst>
        </xdr:cNvPr>
        <xdr:cNvSpPr txBox="1">
          <a:spLocks noChangeArrowheads="1"/>
        </xdr:cNvSpPr>
      </xdr:nvSpPr>
      <xdr:spPr bwMode="auto">
        <a:xfrm>
          <a:off x="22504400" y="56007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422238" name="Text Box 1374" hidden="1">
          <a:extLst>
            <a:ext uri="{FF2B5EF4-FFF2-40B4-BE49-F238E27FC236}">
              <a16:creationId xmlns:a16="http://schemas.microsoft.com/office/drawing/2014/main" id="{8DF7F970-4B9D-DECE-0AF1-8155FF0A8DD2}"/>
            </a:ext>
          </a:extLst>
        </xdr:cNvPr>
        <xdr:cNvSpPr txBox="1">
          <a:spLocks noChangeArrowheads="1"/>
        </xdr:cNvSpPr>
      </xdr:nvSpPr>
      <xdr:spPr bwMode="auto">
        <a:xfrm>
          <a:off x="22504400" y="284797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422237" name="Text Box 1373" hidden="1">
          <a:extLst>
            <a:ext uri="{FF2B5EF4-FFF2-40B4-BE49-F238E27FC236}">
              <a16:creationId xmlns:a16="http://schemas.microsoft.com/office/drawing/2014/main" id="{5C522AED-D009-6C8F-883C-FD39CA357F49}"/>
            </a:ext>
          </a:extLst>
        </xdr:cNvPr>
        <xdr:cNvSpPr txBox="1">
          <a:spLocks noChangeArrowheads="1"/>
        </xdr:cNvSpPr>
      </xdr:nvSpPr>
      <xdr:spPr bwMode="auto">
        <a:xfrm>
          <a:off x="23304500" y="374015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133350</xdr:rowOff>
    </xdr:from>
    <xdr:to>
      <xdr:col>32</xdr:col>
      <xdr:colOff>57150</xdr:colOff>
      <xdr:row>43</xdr:row>
      <xdr:rowOff>114300</xdr:rowOff>
    </xdr:to>
    <xdr:sp macro="" textlink="">
      <xdr:nvSpPr>
        <xdr:cNvPr id="422236" name="Text Box 1372" hidden="1">
          <a:extLst>
            <a:ext uri="{FF2B5EF4-FFF2-40B4-BE49-F238E27FC236}">
              <a16:creationId xmlns:a16="http://schemas.microsoft.com/office/drawing/2014/main" id="{D322491F-2720-A156-E5FC-CBEF827CC225}"/>
            </a:ext>
          </a:extLst>
        </xdr:cNvPr>
        <xdr:cNvSpPr txBox="1">
          <a:spLocks noChangeArrowheads="1"/>
        </xdr:cNvSpPr>
      </xdr:nvSpPr>
      <xdr:spPr bwMode="auto">
        <a:xfrm>
          <a:off x="23304500" y="56007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422235" name="Text Box 1371" hidden="1">
          <a:extLst>
            <a:ext uri="{FF2B5EF4-FFF2-40B4-BE49-F238E27FC236}">
              <a16:creationId xmlns:a16="http://schemas.microsoft.com/office/drawing/2014/main" id="{D619D231-A910-A80D-0B71-6A0F73ADEA1A}"/>
            </a:ext>
          </a:extLst>
        </xdr:cNvPr>
        <xdr:cNvSpPr txBox="1">
          <a:spLocks noChangeArrowheads="1"/>
        </xdr:cNvSpPr>
      </xdr:nvSpPr>
      <xdr:spPr bwMode="auto">
        <a:xfrm>
          <a:off x="23266400" y="284416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422234" name="Text Box 1370" hidden="1">
          <a:extLst>
            <a:ext uri="{FF2B5EF4-FFF2-40B4-BE49-F238E27FC236}">
              <a16:creationId xmlns:a16="http://schemas.microsoft.com/office/drawing/2014/main" id="{9F76661A-BA3C-5ACD-10DC-5BEE58CC4B96}"/>
            </a:ext>
          </a:extLst>
        </xdr:cNvPr>
        <xdr:cNvSpPr txBox="1">
          <a:spLocks noChangeArrowheads="1"/>
        </xdr:cNvSpPr>
      </xdr:nvSpPr>
      <xdr:spPr bwMode="auto">
        <a:xfrm>
          <a:off x="24028400" y="375920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133350</xdr:rowOff>
    </xdr:from>
    <xdr:to>
      <xdr:col>33</xdr:col>
      <xdr:colOff>647700</xdr:colOff>
      <xdr:row>43</xdr:row>
      <xdr:rowOff>0</xdr:rowOff>
    </xdr:to>
    <xdr:sp macro="" textlink="">
      <xdr:nvSpPr>
        <xdr:cNvPr id="422233" name="Text Box 1369" hidden="1">
          <a:extLst>
            <a:ext uri="{FF2B5EF4-FFF2-40B4-BE49-F238E27FC236}">
              <a16:creationId xmlns:a16="http://schemas.microsoft.com/office/drawing/2014/main" id="{68AD7679-A1F6-3E74-9824-CC5CB88A4CF4}"/>
            </a:ext>
          </a:extLst>
        </xdr:cNvPr>
        <xdr:cNvSpPr txBox="1">
          <a:spLocks noChangeArrowheads="1"/>
        </xdr:cNvSpPr>
      </xdr:nvSpPr>
      <xdr:spPr bwMode="auto">
        <a:xfrm>
          <a:off x="24028400" y="56007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422232" name="Text Box 1368" hidden="1">
          <a:extLst>
            <a:ext uri="{FF2B5EF4-FFF2-40B4-BE49-F238E27FC236}">
              <a16:creationId xmlns:a16="http://schemas.microsoft.com/office/drawing/2014/main" id="{360AB74F-F3FB-A826-4490-D4EA05963533}"/>
            </a:ext>
          </a:extLst>
        </xdr:cNvPr>
        <xdr:cNvSpPr txBox="1">
          <a:spLocks noChangeArrowheads="1"/>
        </xdr:cNvSpPr>
      </xdr:nvSpPr>
      <xdr:spPr bwMode="auto">
        <a:xfrm>
          <a:off x="24790400" y="375920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422231" name="Text Box 1367" hidden="1">
          <a:extLst>
            <a:ext uri="{FF2B5EF4-FFF2-40B4-BE49-F238E27FC236}">
              <a16:creationId xmlns:a16="http://schemas.microsoft.com/office/drawing/2014/main" id="{7AC14FCB-45CE-16B3-58D9-EC34E10F3725}"/>
            </a:ext>
          </a:extLst>
        </xdr:cNvPr>
        <xdr:cNvSpPr txBox="1">
          <a:spLocks noChangeArrowheads="1"/>
        </xdr:cNvSpPr>
      </xdr:nvSpPr>
      <xdr:spPr bwMode="auto">
        <a:xfrm>
          <a:off x="24790400" y="59499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422230" name="Text Box 1366" hidden="1">
          <a:extLst>
            <a:ext uri="{FF2B5EF4-FFF2-40B4-BE49-F238E27FC236}">
              <a16:creationId xmlns:a16="http://schemas.microsoft.com/office/drawing/2014/main" id="{9F2BC955-2DB2-A832-DB87-D3086927F8C8}"/>
            </a:ext>
          </a:extLst>
        </xdr:cNvPr>
        <xdr:cNvSpPr txBox="1">
          <a:spLocks noChangeArrowheads="1"/>
        </xdr:cNvSpPr>
      </xdr:nvSpPr>
      <xdr:spPr bwMode="auto">
        <a:xfrm>
          <a:off x="24790400" y="287909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466725</xdr:rowOff>
    </xdr:from>
    <xdr:to>
      <xdr:col>34</xdr:col>
      <xdr:colOff>657225</xdr:colOff>
      <xdr:row>26</xdr:row>
      <xdr:rowOff>0</xdr:rowOff>
    </xdr:to>
    <xdr:sp macro="" textlink="">
      <xdr:nvSpPr>
        <xdr:cNvPr id="422275" name="Text Box 1411" hidden="1">
          <a:extLst>
            <a:ext uri="{FF2B5EF4-FFF2-40B4-BE49-F238E27FC236}">
              <a16:creationId xmlns:a16="http://schemas.microsoft.com/office/drawing/2014/main" id="{A5459490-31B6-AB4D-FB2B-255C9868954F}"/>
            </a:ext>
          </a:extLst>
        </xdr:cNvPr>
        <xdr:cNvSpPr txBox="1">
          <a:spLocks noChangeArrowheads="1"/>
        </xdr:cNvSpPr>
      </xdr:nvSpPr>
      <xdr:spPr bwMode="auto">
        <a:xfrm>
          <a:off x="28321000" y="52133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7" dT="2023-07-27T13:55:30.12" personId="{2C68A5A1-706F-4A3E-93A3-741BBABEC4EA}" id="{EBE1E7D2-6EB8-4B92-8CE8-BB562C83E893}">
    <text>Drag my predecessor forward in August 2023!! (Corporate taxes come in late, and we couldn't update in July!)</text>
  </threadedComment>
  <threadedComment ref="W17" dT="2023-10-26T13:36:22.11" personId="{609654FB-393E-4954-B3A3-EDB231775774}" id="{593AFA9A-8DC4-4E71-AAA8-0645166E3F25}">
    <text>Drag this forward in November, by the same logic as the comment in the previous cell.</text>
  </threadedComment>
  <threadedComment ref="X17" dT="2024-01-24T19:06:54.51" personId="{09FAC3F1-DFDB-4CF8-9903-358701529E2B}" id="{E6E2D78D-4384-4561-939B-9BC7331F8BE8}">
    <text>Drag this forward in February because we get Q4 data a month late.</text>
  </threadedComment>
  <threadedComment ref="Y17" dT="2024-07-25T15:32:05.95" personId="{09FAC3F1-DFDB-4CF8-9903-358701529E2B}" id="{49FFCEA4-DB95-4205-AFF6-7460DD4E5BD6}">
    <text xml:space="preserve">Drag this forward in August 2024 because we get corporate taxes a month late. </text>
  </threadedComment>
  <threadedComment ref="Z17" dT="2024-08-29T14:13:41.39" personId="{09FAC3F1-DFDB-4CF8-9903-358701529E2B}" id="{532E12BD-0998-418E-B570-F87A746D9747}">
    <text xml:space="preserve">Drag this forward in November because we get taxes a month late. </text>
  </threadedComment>
  <threadedComment ref="AA17"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7" dT="2025-03-28T13:31:17.28" personId="{09FAC3F1-DFDB-4CF8-9903-358701529E2B}" id="{04F0C19F-5689-47C7-8B13-A2E1AE7CD1BE}">
    <text xml:space="preserve">Drag this forward in May - we get corporate taxes a month late. </text>
  </threadedComment>
  <threadedComment ref="AC17" dT="2025-05-29T15:29:26.13" personId="{B61C96CF-201E-4FBB-AE0C-863888EC2CC5}" id="{804EAE48-21FA-4C6B-95AB-036D023A055F}">
    <text xml:space="preserve">Drag this forward in August - we get corporate taxes a month late. </text>
  </threadedComment>
  <threadedComment ref="AC23" dT="2024-04-26T16:37:16.34" personId="{09FAC3F1-DFDB-4CF8-9903-358701529E2B}" id="{D06702F8-F5F4-41FB-BA11-B2023B5B68A7}">
    <text>For all state taxes, (lines 21,23,24), Change Y to AC when data come in</text>
  </threadedComment>
  <threadedComment ref="AG23" dT="2025-07-30T18:21:52.74" personId="{B61C96CF-201E-4FBB-AE0C-863888EC2CC5}" id="{EEC1D483-741D-48C7-B644-5F30EE28184A}">
    <text>Update values in column AC</text>
  </threadedComment>
  <threadedComment ref="V27" dT="2023-07-27T13:56:35.04" personId="{2C68A5A1-706F-4A3E-93A3-741BBABEC4EA}" id="{9443444D-0A20-425F-9300-C411DBC65A0D}">
    <text>Drag my predecessor forward in August 2023!! (Corporate taxes come in late, and we couldn't update in July!)</text>
  </threadedComment>
  <threadedComment ref="W27" dT="2023-10-26T13:36:43.23" personId="{609654FB-393E-4954-B3A3-EDB231775774}" id="{8773E616-7533-4D96-8216-0F45303BCB01}">
    <text>Drag this forward in November, by the same logic as in the previous cell.</text>
  </threadedComment>
  <threadedComment ref="X27" dT="2024-01-24T19:07:35.34" personId="{09FAC3F1-DFDB-4CF8-9903-358701529E2B}" id="{F4C081DF-9BF8-4221-BECE-CB42A30EB5BC}">
    <text>Drag this forward in February because we get Q4 data one month late.</text>
  </threadedComment>
  <threadedComment ref="Y27" dT="2024-07-25T15:32:48.53" personId="{09FAC3F1-DFDB-4CF8-9903-358701529E2B}" id="{FA85206C-2107-4C24-ACB7-B7A58E6685DD}">
    <text>Drag this forward in August because we get corporate taxes a month late.</text>
  </threadedComment>
  <threadedComment ref="Z27" dT="2024-08-29T14:14:21.83" personId="{09FAC3F1-DFDB-4CF8-9903-358701529E2B}" id="{F748C468-F3C4-4E41-BF45-75E421D4EB9E}">
    <text>Drag this forward in November because we get taxes a month late.</text>
  </threadedComment>
  <threadedComment ref="AA27" dT="2024-11-26T20:16:59.30" personId="{09FAC3F1-DFDB-4CF8-9903-358701529E2B}" id="{D570B77E-B816-43C6-ACEF-79E4AFAEEA7C}">
    <text xml:space="preserve">Drag this forward in March. </text>
  </threadedComment>
  <threadedComment ref="AB27" dT="2025-04-29T13:43:13.39" personId="{B61C96CF-201E-4FBB-AE0C-863888EC2CC5}" id="{637B160A-FB62-428D-8639-3B976C548310}">
    <text xml:space="preserve">Drag this forward in May - we get corporate taxes a month late. 
</text>
  </threadedComment>
  <threadedComment ref="AC27" dT="2025-05-29T15:29:35.91" personId="{B61C96CF-201E-4FBB-AE0C-863888EC2CC5}" id="{0E1DCCB8-4FAC-4DBF-BF0B-DBB504838328}">
    <text>Drag this forward in August - we get corporate taxes a month late.</text>
  </threadedComment>
  <threadedComment ref="K38" dT="2023-09-29T18:40:36.76" personId="{2C68A5A1-706F-4A3E-93A3-741BBABEC4EA}" id="{1065F4CB-52AB-4B92-B793-654578199E67}">
    <text>We adjusted these growth rates upward because CBO expected taxes to fall gradually but instead they fell quickly.</text>
  </threadedComment>
  <threadedComment ref="K42" dT="2024-02-29T21:02:38.53" personId="{4C0C5F85-AD1E-4C57-B372-003AF5B78A9F}" id="{6EA59173-A6A4-4520-BC55-CD373EBDD6E4}">
    <text>We reduced the CBO growth rate from 36% to 10% because it seemed anomolously high</text>
  </threadedComment>
  <threadedComment ref="L42" dT="2024-02-29T21:03:05.03" personId="{4C0C5F85-AD1E-4C57-B372-003AF5B78A9F}" id="{B7BB92B9-56AF-428A-90BE-8769E0F9A367}">
    <text>We increased the CBO growth rate to account for our large adjustment in the previous year</text>
  </threadedComment>
  <threadedComment ref="M42" dT="2024-05-30T19:58:14.22" personId="{2C68A5A1-706F-4A3E-93A3-741BBABEC4EA}" id="{F12C7BC9-1DAF-45BE-BFCA-781CDA4BC7CD}">
    <text>Another additional add factor, similar to comment to the left</text>
  </threadedComment>
  <threadedComment ref="D58" dT="2023-02-15T20:39:04.10" personId="{609654FB-393E-4954-B3A3-EDB231775774}" id="{54F6D9F3-8868-417E-999A-B95E2C1FC589}">
    <text>May 2023 CBO Budget Projections Table 1 Row 12</text>
  </threadedComment>
  <threadedComment ref="D58" dT="2024-02-22T14:31:10.89" personId="{09FAC3F1-DFDB-4CF8-9903-358701529E2B}" id="{5AD6BF73-9438-4F75-A02E-C3EAB6B7E7E0}" parentId="{54F6D9F3-8868-417E-999A-B95E2C1FC589}">
    <text>Feb 2024 CBO Budget Projections Table 1-1 Row 10</text>
  </threadedComment>
  <threadedComment ref="D58" dT="2024-06-27T14:27:47.87" personId="{2C68A5A1-706F-4A3E-93A3-741BBABEC4EA}" id="{B8639833-1036-486E-B271-B2B70A5F4327}" parentId="{54F6D9F3-8868-417E-999A-B95E2C1FC589}">
    <text>June 2024 CBO Budget Projections Table 1-1 Row 10</text>
  </threadedComment>
  <threadedComment ref="D58" dT="2025-01-23T19:50:30.29" personId="{B61C96CF-201E-4FBB-AE0C-863888EC2CC5}" id="{9BB771C0-1D7D-4A18-A691-345E41F1D0D3}" parentId="{54F6D9F3-8868-417E-999A-B95E2C1FC589}">
    <text>January 2025 CBO Budget Projections Table B-1 Row 11 from 2024 onward</text>
  </threadedComment>
  <threadedComment ref="M58"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2" dT="2023-02-15T20:40:59.29" personId="{609654FB-393E-4954-B3A3-EDB231775774}" id="{1FB99C5A-E921-4C2B-94A6-469F8368DE8C}">
    <text>February 2023 Budget Projections Table 1 Row 13</text>
  </threadedComment>
  <threadedComment ref="D62" dT="2023-07-27T18:42:32.97" personId="{609654FB-393E-4954-B3A3-EDB231775774}" id="{6C707ADF-070D-4A54-B1A8-849B2DDA53F5}" parentId="{1FB99C5A-E921-4C2B-94A6-469F8368DE8C}">
    <text>These are now May 2023 Budget Projections Table 1 row 13</text>
  </threadedComment>
  <threadedComment ref="D62" dT="2024-02-22T14:36:16.32" personId="{09FAC3F1-DFDB-4CF8-9903-358701529E2B}" id="{9F895A21-C5E6-4F14-982E-DE530E6FCE79}" parentId="{1FB99C5A-E921-4C2B-94A6-469F8368DE8C}">
    <text>February 2024 CBO Budget Projections Table 1-1 Row 11</text>
  </threadedComment>
  <threadedComment ref="D62" dT="2024-06-27T14:28:28.14" personId="{2C68A5A1-706F-4A3E-93A3-741BBABEC4EA}" id="{AAC1A7F3-5101-4D77-A002-FBE231A1A27C}" parentId="{1FB99C5A-E921-4C2B-94A6-469F8368DE8C}">
    <text>June 2024 CBO Budget Projections Table 1-1 Row 11</text>
  </threadedComment>
  <threadedComment ref="D62" dT="2025-01-23T19:51:13.49" personId="{B61C96CF-201E-4FBB-AE0C-863888EC2CC5}" id="{68A5C0C3-6669-4F13-AC97-1C28D413955D}" parentId="{1FB99C5A-E921-4C2B-94A6-469F8368DE8C}">
    <text>January 2025 CBO Budget Projections Table B-1 Row 12 from 2024 onward</text>
  </threadedComment>
  <threadedComment ref="D64" dT="2023-02-15T20:49:24.23" personId="{609654FB-393E-4954-B3A3-EDB231775774}" id="{CE0F5DCB-3CCE-4E3D-A6E4-2AC8A4A5F19D}">
    <text>February 2023 CBO Budget Projections Table 1-6 Row 14</text>
  </threadedComment>
  <threadedComment ref="D64" dT="2024-02-22T14:44:59.03" personId="{09FAC3F1-DFDB-4CF8-9903-358701529E2B}" id="{570B49A8-6692-4986-87A6-4A3AB8B43DB9}" parentId="{CE0F5DCB-3CCE-4E3D-A6E4-2AC8A4A5F19D}">
    <text>February 2024 CBO Budget Projections Table 1-7 Row 14</text>
  </threadedComment>
  <threadedComment ref="D64" dT="2024-06-27T21:11:02.98" personId="{09FAC3F1-DFDB-4CF8-9903-358701529E2B}" id="{987C1579-7615-47DB-BE54-85464A342721}" parentId="{CE0F5DCB-3CCE-4E3D-A6E4-2AC8A4A5F19D}">
    <text>June 2024 CBO Revenue Projections by Category, Revenue Projections, Row 14</text>
  </threadedComment>
  <threadedComment ref="D64" dT="2025-01-24T16:18:13.91" personId="{09FAC3F1-DFDB-4CF8-9903-358701529E2B}" id="{1E08FE26-99AD-439F-9B14-3A00B6D3A357}" parentId="{CE0F5DCB-3CCE-4E3D-A6E4-2AC8A4A5F19D}">
    <text>January 2025 CBO Revenue Projections, by Category, Revenue Projections Row 14</text>
  </threadedComment>
  <threadedComment ref="D65" dT="2023-02-15T20:50:01.14" personId="{609654FB-393E-4954-B3A3-EDB231775774}" id="{B0E96582-484F-445D-8FF5-3592B5A172FA}">
    <text>February 2023 CBO Budget Projections Table 1-6 Row 16</text>
  </threadedComment>
  <threadedComment ref="D65" dT="2024-02-22T14:45:22.24" personId="{09FAC3F1-DFDB-4CF8-9903-358701529E2B}" id="{4F586962-5804-4FED-852B-7ABCF3DF98B2}" parentId="{B0E96582-484F-445D-8FF5-3592B5A172FA}">
    <text>February 2024 CBO Budget Projections Table 1-7, row 16</text>
  </threadedComment>
  <threadedComment ref="D65" dT="2024-06-27T21:11:21.66" personId="{09FAC3F1-DFDB-4CF8-9903-358701529E2B}" id="{86CF1027-BCEB-4550-AD6D-A909A0CEF61D}" parentId="{B0E96582-484F-445D-8FF5-3592B5A172FA}">
    <text>June 2024 CBO Revenue Projections, Revenue Projections Sheet, Row 16</text>
  </threadedComment>
  <threadedComment ref="D65" dT="2025-01-24T16:20:10.43" personId="{09FAC3F1-DFDB-4CF8-9903-358701529E2B}" id="{DBED5F51-4B7C-4207-861F-042671FF4D0B}" parentId="{B0E96582-484F-445D-8FF5-3592B5A172FA}">
    <text xml:space="preserve">January 2025 CBO Revenue Projections, Revenue Projections Sheet, Row 15
</text>
  </threadedComment>
  <threadedComment ref="D66" dT="2023-02-15T20:51:09.94" personId="{609654FB-393E-4954-B3A3-EDB231775774}" id="{E6B5A35A-07FA-4F2B-9A9E-866D21A47917}">
    <text>May 2023 CBO Budget Projections Table 1 Row 14</text>
  </threadedComment>
  <threadedComment ref="D66" dT="2024-02-22T14:47:44.47" personId="{09FAC3F1-DFDB-4CF8-9903-358701529E2B}" id="{E777AE82-BE55-4B42-9F51-8E1C71456A8B}" parentId="{E6B5A35A-07FA-4F2B-9A9E-866D21A47917}">
    <text>February 2023 CBO Budget Projections Table 1-1, row 12</text>
  </threadedComment>
  <threadedComment ref="D66" dT="2024-06-27T14:32:38.18" personId="{2C68A5A1-706F-4A3E-93A3-741BBABEC4EA}" id="{0FB34D58-0EA7-45D9-9687-C1C4AAD9A17B}" parentId="{E6B5A35A-07FA-4F2B-9A9E-866D21A47917}">
    <text>June 2024 CBO Budget projections table 1-1 row 12</text>
  </threadedComment>
  <threadedComment ref="D66" dT="2025-01-23T19:53:53.10" personId="{B61C96CF-201E-4FBB-AE0C-863888EC2CC5}" id="{8A6D3A49-6F1B-46FD-9724-1E601D11143C}" parentId="{E6B5A35A-07FA-4F2B-9A9E-866D21A47917}">
    <text>January 2025 CBO Budget Projections Table B-1 row 13 from 2024 onward</text>
  </threadedComment>
  <threadedComment ref="M66" dT="2024-05-30T19:35:19.75" personId="{2C68A5A1-706F-4A3E-93A3-741BBABEC4EA}" id="{4A8F6F92-75ED-4D7D-9EAC-6799BA8D11ED}" done="1">
    <text xml:space="preserve">See comment in M56 on using CBO estimate of TCJA not expiring
</text>
  </threadedComment>
  <threadedComment ref="D86" dT="2023-02-15T20:53:24.39" personId="{609654FB-393E-4954-B3A3-EDB231775774}" id="{BAC4C9C5-057D-4522-9D5B-345501733B13}">
    <text>February 2023 CBO Economic Projections Fiscal Year Table row 92</text>
  </threadedComment>
  <threadedComment ref="D86" dT="2023-07-27T18:46:48.63" personId="{609654FB-393E-4954-B3A3-EDB231775774}" id="{64D40D74-2A66-4530-BD07-3D55C243D880}" parentId="{BAC4C9C5-057D-4522-9D5B-345501733B13}">
    <text>July 2023 now</text>
  </threadedComment>
  <threadedComment ref="D86" dT="2024-02-22T15:10:21.02" personId="{09FAC3F1-DFDB-4CF8-9903-358701529E2B}" id="{9188F4B5-7FFF-4AD3-B884-A6BD992DF509}" parentId="{BAC4C9C5-057D-4522-9D5B-345501733B13}">
    <text>This is now February 2024 CBO Economic Projections Fiscal Year Sheet, row 94</text>
  </threadedComment>
  <threadedComment ref="D86" dT="2024-06-27T14:34:45.71" personId="{2C68A5A1-706F-4A3E-93A3-741BBABEC4EA}" id="{87A09169-659E-458F-A9F3-D0AB63E74083}" parentId="{BAC4C9C5-057D-4522-9D5B-345501733B13}">
    <text>June 2024 Econ projections Fiscal Year sheet row 94. Pasted for 2021 onward</text>
  </threadedComment>
  <threadedComment ref="D86" dT="2025-01-23T19:55:46.36" personId="{B61C96CF-201E-4FBB-AE0C-863888EC2CC5}" id="{C8B714F8-96D3-466B-B532-40F653B70695}" parentId="{BAC4C9C5-057D-4522-9D5B-345501733B13}">
    <text>January 2025 Economic Projections Fiscal Year Sheet row 94 from 2022 onward</text>
  </threadedComment>
  <threadedComment ref="D87" dT="2023-02-15T20:55:16.88" personId="{609654FB-393E-4954-B3A3-EDB231775774}" id="{903D683D-E956-41A0-87A0-4A0ACF2A3EC0}">
    <text>February 2023 CBO Economic Projections Fiscal Year Table row 96</text>
  </threadedComment>
  <threadedComment ref="D87" dT="2023-07-27T18:46:54.82" personId="{609654FB-393E-4954-B3A3-EDB231775774}" id="{D9697230-6007-4D86-9D27-2784C2D59C94}" parentId="{903D683D-E956-41A0-87A0-4A0ACF2A3EC0}">
    <text>July 2023 now</text>
  </threadedComment>
  <threadedComment ref="D87" dT="2024-02-22T15:12:46.20" personId="{09FAC3F1-DFDB-4CF8-9903-358701529E2B}" id="{5EB79390-D49F-4610-A389-9A566FE7B07F}" parentId="{903D683D-E956-41A0-87A0-4A0ACF2A3EC0}">
    <text>This is now February 2024 CBO Economic Projections Fiscal Year Table row, row 98</text>
  </threadedComment>
  <threadedComment ref="D87" dT="2024-06-27T14:35:02.92" personId="{2C68A5A1-706F-4A3E-93A3-741BBABEC4EA}" id="{7727E27A-5B75-4F93-BBAF-2B2028A6DBD6}" parentId="{903D683D-E956-41A0-87A0-4A0ACF2A3EC0}">
    <text>June 2024 Econ projections Fiscal Year sheet row 98. Pasted for 2021 onward</text>
  </threadedComment>
  <threadedComment ref="D87" dT="2025-01-23T21:37:17.60" personId="{B61C96CF-201E-4FBB-AE0C-863888EC2CC5}" id="{421872A7-87D1-4196-9B5A-B2E80B7BB76C}" parentId="{903D683D-E956-41A0-87A0-4A0ACF2A3EC0}">
    <text>January 2025 Economic Projections Fiscal Year Row 98 from 2022 onward</text>
  </threadedComment>
  <threadedComment ref="D88" dT="2023-02-15T20:56:03.85" personId="{609654FB-393E-4954-B3A3-EDB231775774}" id="{3EBCE0D2-6A48-4CE9-BC8C-5855F5261D1F}">
    <text>February 2023 CBO Economic Projections, Fiscal Year Table row 116</text>
  </threadedComment>
  <threadedComment ref="D88" dT="2023-07-27T18:47:32.66" personId="{609654FB-393E-4954-B3A3-EDB231775774}" id="{A6D061A0-2D6B-4586-A606-81C5A9C89977}" parentId="{3EBCE0D2-6A48-4CE9-BC8C-5855F5261D1F}">
    <text>July now</text>
  </threadedComment>
  <threadedComment ref="D88" dT="2024-02-22T15:13:36.88" personId="{09FAC3F1-DFDB-4CF8-9903-358701529E2B}" id="{5B0E85F2-3E88-4DE5-B75D-A1DFDE5E2251}" parentId="{3EBCE0D2-6A48-4CE9-BC8C-5855F5261D1F}">
    <text>February 2024 CBO Economic Projections, Fiscal Year Table, row 118</text>
  </threadedComment>
  <threadedComment ref="D88" dT="2024-06-27T14:36:46.17" personId="{2C68A5A1-706F-4A3E-93A3-741BBABEC4EA}" id="{742D0AD1-132D-49B8-ACB8-D7A00789C5CC}" parentId="{3EBCE0D2-6A48-4CE9-BC8C-5855F5261D1F}">
    <text>June 2024 CBO Economic Projections, Fiscal Year Table, row 118 pasted from 2021 onward</text>
  </threadedComment>
  <threadedComment ref="D88" dT="2025-01-23T21:39:29.83" personId="{B61C96CF-201E-4FBB-AE0C-863888EC2CC5}" id="{6020325F-C5B2-4C57-9D5F-797314CE5F4D}" parentId="{3EBCE0D2-6A48-4CE9-BC8C-5855F5261D1F}">
    <text>January 2025 CBO Economic Projections, Fiscal Year Table, row 118 from 2022 onward</text>
  </threadedComment>
  <threadedComment ref="D89" dT="2023-02-15T20:57:01.88" personId="{609654FB-393E-4954-B3A3-EDB231775774}" id="{48184811-5BD0-438A-8E38-4FDE0C8DFA8F}">
    <text>February 2023 CBO Economic Projections Fiscal Year Table row 110</text>
  </threadedComment>
  <threadedComment ref="D89" dT="2023-07-27T18:47:56.03" personId="{609654FB-393E-4954-B3A3-EDB231775774}" id="{42694EC8-B4D2-4CD1-BAD5-30DE831C4BF2}" parentId="{48184811-5BD0-438A-8E38-4FDE0C8DFA8F}">
    <text>July now</text>
  </threadedComment>
  <threadedComment ref="D89" dT="2024-02-22T15:15:43.17" personId="{09FAC3F1-DFDB-4CF8-9903-358701529E2B}" id="{7286570C-B0B2-4C53-B491-EBC2A429EFF9}" parentId="{48184811-5BD0-438A-8E38-4FDE0C8DFA8F}">
    <text>This is now February 2024 CBO Economic Projections Fiscal Year Table, row 112</text>
  </threadedComment>
  <threadedComment ref="D89" dT="2024-06-27T14:37:42.80" personId="{2C68A5A1-706F-4A3E-93A3-741BBABEC4EA}" id="{BDF2F21B-F60E-4F9C-A5EF-0E83248D90F2}" parentId="{48184811-5BD0-438A-8E38-4FDE0C8DFA8F}">
    <text>June 2024 CBO Economic Projections Fiscal Year Table, row 112 from 2021 onward</text>
  </threadedComment>
  <threadedComment ref="D89" dT="2025-01-23T21:41:08.62" personId="{B61C96CF-201E-4FBB-AE0C-863888EC2CC5}" id="{011DCA9C-1890-4EF7-A312-8EB8CBDC7AA3}" parentId="{48184811-5BD0-438A-8E38-4FDE0C8DFA8F}">
    <text>January 2025 CBO Economic Projections Fiscal Year Table, row 112 from 2022 onward</text>
  </threadedComment>
  <threadedComment ref="D110" dT="2023-02-15T21:14:11.24" personId="{609654FB-393E-4954-B3A3-EDB231775774}" id="{D2748782-D0E6-49AC-8A19-1F2FBF9255CC}">
    <text>February 2023 CBO Economic Projections Quarterly Table, row 96</text>
  </threadedComment>
  <threadedComment ref="D110" dT="2023-07-27T18:51:44.27" personId="{609654FB-393E-4954-B3A3-EDB231775774}" id="{7967E3A9-28DA-40F3-87FB-C23201CBC514}" parentId="{D2748782-D0E6-49AC-8A19-1F2FBF9255CC}">
    <text>Same table and row, July 2023</text>
  </threadedComment>
  <threadedComment ref="D110" dT="2024-02-22T15:28:26.88" personId="{09FAC3F1-DFDB-4CF8-9903-358701529E2B}" id="{3C76C544-F68F-455F-86CF-8627D74B7C59}" parentId="{D2748782-D0E6-49AC-8A19-1F2FBF9255CC}">
    <text>February 2024 CBO Economic Projections Quarterly Table, row 98</text>
  </threadedComment>
  <threadedComment ref="D110" dT="2024-06-27T14:40:11.35" personId="{2C68A5A1-706F-4A3E-93A3-741BBABEC4EA}" id="{A345901C-E565-4819-91C3-A4DED1F11875}" parentId="{D2748782-D0E6-49AC-8A19-1F2FBF9255CC}">
    <text>Ju 2024 economic projections quarterly table row 98 pasted from 2021 Q1 onward</text>
  </threadedComment>
  <threadedComment ref="D110" dT="2025-01-23T21:43:23.67" personId="{B61C96CF-201E-4FBB-AE0C-863888EC2CC5}" id="{CB6EDD8C-BF86-43D7-A30F-4806F4D077D6}" parentId="{D2748782-D0E6-49AC-8A19-1F2FBF9255CC}">
    <text>January 2025 Economic Projections Quarterly Table, Row 98 from 2022 Q1 onward</text>
  </threadedComment>
  <threadedComment ref="D111" dT="2023-02-15T21:14:52.42" personId="{609654FB-393E-4954-B3A3-EDB231775774}" id="{A46F7C4F-6912-4219-A6BF-9B291D29572E}">
    <text>February 2023 CBO Economic Projections quarterly tables, row 98</text>
  </threadedComment>
  <threadedComment ref="D111" dT="2023-07-27T18:51:58.38" personId="{609654FB-393E-4954-B3A3-EDB231775774}" id="{7A0F03B6-E33D-4474-9555-B84E69B17617}" parentId="{A46F7C4F-6912-4219-A6BF-9B291D29572E}">
    <text>Same table and row, July 2023</text>
  </threadedComment>
  <threadedComment ref="D111" dT="2024-02-22T15:30:49.62" personId="{09FAC3F1-DFDB-4CF8-9903-358701529E2B}" id="{8B50D8B1-7987-47E1-B1DC-D2F70DCC216E}" parentId="{A46F7C4F-6912-4219-A6BF-9B291D29572E}">
    <text>February 2024 CBO Economic Projections quarterly tables, row 100</text>
  </threadedComment>
  <threadedComment ref="D111" dT="2024-06-27T14:41:16.43" personId="{2C68A5A1-706F-4A3E-93A3-741BBABEC4EA}" id="{6425957B-D42C-489A-A538-4AA95EC109FD}" parentId="{A46F7C4F-6912-4219-A6BF-9B291D29572E}">
    <text>June 2024 CBO Economic Projections Quarterly table row 100 from 2021 Q1 onward</text>
  </threadedComment>
  <threadedComment ref="D111" dT="2025-01-23T21:44:55.46" personId="{B61C96CF-201E-4FBB-AE0C-863888EC2CC5}" id="{98CFB5AA-E68D-4003-A1AB-EA789D5B11B9}" parentId="{A46F7C4F-6912-4219-A6BF-9B291D29572E}">
    <text>January 2025 CBO Economic Projections Quarterly Table, Row 100 from 2022 Q1 onward</text>
  </threadedComment>
  <threadedComment ref="D112" dT="2023-02-15T21:15:38.27" personId="{609654FB-393E-4954-B3A3-EDB231775774}" id="{76E953CB-BD49-43CF-8F2D-8BFB47D725D7}">
    <text>February 2023 CBO Economic Projections quarterly table, row 116</text>
  </threadedComment>
  <threadedComment ref="D112" dT="2023-07-27T18:51:50.61" personId="{609654FB-393E-4954-B3A3-EDB231775774}" id="{5483793C-0C25-47A5-BAF9-EF712CAD7D04}" parentId="{76E953CB-BD49-43CF-8F2D-8BFB47D725D7}">
    <text>Same table and row, July 2023</text>
  </threadedComment>
  <threadedComment ref="D112" dT="2024-02-22T15:37:14.65" personId="{09FAC3F1-DFDB-4CF8-9903-358701529E2B}" id="{385DCECF-44A3-4344-9011-2A6CE78C506F}" parentId="{76E953CB-BD49-43CF-8F2D-8BFB47D725D7}">
    <text>This is now February 2024 CBO Economic Projections Quarterly Table, row 118</text>
  </threadedComment>
  <threadedComment ref="D112"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12" dT="2025-01-23T21:45:46.12" personId="{B61C96CF-201E-4FBB-AE0C-863888EC2CC5}" id="{8C2B4E67-5388-4A6C-AD4C-0897E488E469}" parentId="{76E953CB-BD49-43CF-8F2D-8BFB47D725D7}">
    <text>January 2025 CBO Economic Projections Quarterly Table, Row 118 from 2022 Q1 onward</text>
  </threadedComment>
  <threadedComment ref="D113" dT="2023-02-15T21:16:25.78" personId="{609654FB-393E-4954-B3A3-EDB231775774}" id="{8FB584A5-2B54-4AD8-94A1-F46A717E4FE5}">
    <text>February 2023 CBO Economic Projections quarterly table row 112</text>
  </threadedComment>
  <threadedComment ref="D113" dT="2023-07-27T18:52:05.52" personId="{609654FB-393E-4954-B3A3-EDB231775774}" id="{0C631DB7-7EAD-4CD2-978E-4DD9468CD3B1}" parentId="{8FB584A5-2B54-4AD8-94A1-F46A717E4FE5}">
    <text>Same table and row, July 2023</text>
  </threadedComment>
  <threadedComment ref="D113" dT="2024-02-22T15:42:56.34" personId="{09FAC3F1-DFDB-4CF8-9903-358701529E2B}" id="{19BF4626-D0E8-42B5-BD70-3452F9A463CA}" parentId="{8FB584A5-2B54-4AD8-94A1-F46A717E4FE5}">
    <text>February 2024 CBO Economic Projections quarterly table row 114 corporate profits domestic</text>
  </threadedComment>
  <threadedComment ref="D113"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13"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6" dT="2023-04-27T03:02:33.18" personId="{2C68A5A1-706F-4A3E-93A3-741BBABEC4EA}" id="{65B2F617-D738-4757-983D-98D9DB3870FB}">
    <text>I can't drag these over because of circular references.</text>
  </threadedComment>
  <threadedComment ref="V139" dT="2023-07-27T14:08:57.55" personId="{2C68A5A1-706F-4A3E-93A3-741BBABEC4EA}" id="{0AC09EFD-8A54-444C-A82D-77111C533292}">
    <text>Drag my predecessor forward in August 2023!! (Corporate taxes come in late, and we couldn't update in July!)</text>
  </threadedComment>
  <threadedComment ref="W139" dT="2023-10-26T13:42:51.37" personId="{609654FB-393E-4954-B3A3-EDB231775774}" id="{1B45073C-05DE-4E50-B57C-9DA43CA3E5DB}">
    <text>Drag forward in November by same logic as in previous cell.</text>
  </threadedComment>
  <threadedComment ref="X139" dT="2024-01-24T19:09:22.97" personId="{09FAC3F1-DFDB-4CF8-9903-358701529E2B}" id="{1EFE3D94-A914-4335-ADA0-94B1C8F72E64}">
    <text>Drag forward in February because we get Q4 Data 1 month late.</text>
  </threadedComment>
  <threadedComment ref="Y139" dT="2024-07-25T15:51:05.68" personId="{09FAC3F1-DFDB-4CF8-9903-358701529E2B}" id="{C31DCF28-75B2-4DBC-B036-BE5C96FD6331}">
    <text xml:space="preserve">Drag forward in August because we get the data a month late. </text>
  </threadedComment>
  <threadedComment ref="Z139" dT="2024-08-29T14:15:29.25" personId="{09FAC3F1-DFDB-4CF8-9903-358701529E2B}" id="{50A49FB6-37DC-43B3-965C-43A7195061F6}">
    <text xml:space="preserve">Drag this forward in November because we get taxes a month late. </text>
  </threadedComment>
  <threadedComment ref="AA139" dT="2025-01-31T15:14:38.88" personId="{B61C96CF-201E-4FBB-AE0C-863888EC2CC5}" id="{25B0BED1-95A1-48C5-AB16-3FDF328CCCC4}">
    <text xml:space="preserve">Drag this forward in February because we get taxes a month late. </text>
  </threadedComment>
  <threadedComment ref="AC139" dT="2025-05-29T15:32:21.65" personId="{B61C96CF-201E-4FBB-AE0C-863888EC2CC5}" id="{C8938404-1076-4863-A6A6-D4BDB8C9450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1.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2.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5" t="s">
        <v>0</v>
      </c>
      <c r="C10" s="1266"/>
      <c r="D10" s="1266"/>
      <c r="E10" s="1266"/>
      <c r="F10" s="1266"/>
      <c r="G10" s="1266"/>
      <c r="H10" s="1266"/>
      <c r="I10" s="1266"/>
      <c r="J10" s="1266"/>
      <c r="K10" s="1266"/>
      <c r="L10" s="1266"/>
      <c r="M10" s="1266"/>
      <c r="N10" s="1266"/>
      <c r="O10" s="1266"/>
      <c r="P10" s="1266"/>
      <c r="Q10" s="1267"/>
    </row>
    <row r="11" spans="2:17" x14ac:dyDescent="0.35">
      <c r="B11" s="1268"/>
      <c r="C11" s="1269"/>
      <c r="D11" s="1269"/>
      <c r="E11" s="1269"/>
      <c r="F11" s="1269"/>
      <c r="G11" s="1269"/>
      <c r="H11" s="1269"/>
      <c r="I11" s="1269"/>
      <c r="J11" s="1269"/>
      <c r="K11" s="1269"/>
      <c r="L11" s="1269"/>
      <c r="M11" s="1269"/>
      <c r="N11" s="1269"/>
      <c r="O11" s="1269"/>
      <c r="P11" s="1269"/>
      <c r="Q11" s="1270"/>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1" t="s">
        <v>3</v>
      </c>
      <c r="D13" s="1271"/>
      <c r="E13" s="1271"/>
      <c r="F13" s="1271"/>
      <c r="G13" s="1271"/>
      <c r="H13" s="1271"/>
      <c r="I13" s="1271"/>
      <c r="J13" s="1271"/>
      <c r="K13" s="1271"/>
      <c r="L13" s="1271"/>
      <c r="M13" s="1271"/>
      <c r="N13" s="1271"/>
      <c r="O13" s="1271"/>
      <c r="P13" s="1271"/>
      <c r="Q13" s="1272"/>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3" t="s">
        <v>14</v>
      </c>
      <c r="D20" s="1263"/>
      <c r="E20" s="1263"/>
      <c r="F20" s="1263"/>
      <c r="G20" s="1263"/>
      <c r="H20" s="1263"/>
      <c r="I20" s="1263"/>
      <c r="J20" s="1263"/>
      <c r="K20" s="1263"/>
      <c r="L20" s="1263"/>
      <c r="M20" s="1263"/>
      <c r="N20" s="1263"/>
      <c r="O20" s="1263"/>
      <c r="P20" s="1263"/>
      <c r="Q20" s="1264"/>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3" t="s">
        <v>832</v>
      </c>
      <c r="D22" s="1263"/>
      <c r="E22" s="1263"/>
      <c r="F22" s="1263"/>
      <c r="G22" s="1263"/>
      <c r="H22" s="1263"/>
      <c r="I22" s="1263"/>
      <c r="J22" s="1263"/>
      <c r="K22" s="1263"/>
      <c r="L22" s="1263"/>
      <c r="M22" s="1263"/>
      <c r="N22" s="1263"/>
      <c r="O22" s="1263"/>
      <c r="P22" s="1263"/>
      <c r="Q22" s="1264"/>
    </row>
    <row r="23" spans="2:17" ht="31.4" customHeight="1" x14ac:dyDescent="0.35">
      <c r="B23" s="3" t="s">
        <v>17</v>
      </c>
      <c r="C23" s="1263" t="s">
        <v>834</v>
      </c>
      <c r="D23" s="1263"/>
      <c r="E23" s="1263"/>
      <c r="F23" s="1263"/>
      <c r="G23" s="1263"/>
      <c r="H23" s="1263"/>
      <c r="I23" s="1263"/>
      <c r="J23" s="1263"/>
      <c r="K23" s="1263"/>
      <c r="L23" s="1263"/>
      <c r="M23" s="1263"/>
      <c r="N23" s="1263"/>
      <c r="O23" s="1263"/>
      <c r="P23" s="1263"/>
      <c r="Q23" s="1264"/>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2" t="s">
        <v>837</v>
      </c>
      <c r="C33" s="1263"/>
      <c r="D33" s="1263"/>
      <c r="E33" s="1263"/>
      <c r="F33" s="1263"/>
      <c r="G33" s="1263"/>
      <c r="H33" s="1263"/>
      <c r="I33" s="1263"/>
      <c r="J33" s="1263"/>
      <c r="K33" s="1263"/>
      <c r="L33" s="1263"/>
      <c r="M33" s="1263"/>
      <c r="N33" s="1263"/>
      <c r="O33" s="1263"/>
      <c r="P33" s="1263"/>
      <c r="Q33" s="1264"/>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5" t="s">
        <v>37</v>
      </c>
      <c r="B2" s="1276"/>
      <c r="C2" s="1276"/>
      <c r="D2" s="1277"/>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5" t="s">
        <v>842</v>
      </c>
      <c r="B12" s="1276"/>
      <c r="C12" s="1276"/>
      <c r="D12" s="1277"/>
      <c r="E12" s="16"/>
      <c r="F12" s="14"/>
    </row>
    <row r="13" spans="1:7" ht="29.9" customHeight="1" x14ac:dyDescent="0.35">
      <c r="A13" s="19" t="s">
        <v>9</v>
      </c>
      <c r="B13" s="1281" t="s">
        <v>844</v>
      </c>
      <c r="C13" s="1281"/>
      <c r="D13" s="23"/>
      <c r="E13" s="16"/>
      <c r="F13" s="14"/>
    </row>
    <row r="14" spans="1:7" ht="48.65" customHeight="1" x14ac:dyDescent="0.35">
      <c r="A14" s="17" t="s">
        <v>843</v>
      </c>
      <c r="B14" s="1281" t="s">
        <v>853</v>
      </c>
      <c r="C14" s="1281"/>
      <c r="D14" s="22"/>
      <c r="E14" s="16"/>
      <c r="F14" s="14"/>
    </row>
    <row r="15" spans="1:7" ht="48.65" customHeight="1" x14ac:dyDescent="0.35">
      <c r="A15" s="17" t="s">
        <v>845</v>
      </c>
      <c r="B15" s="1281" t="s">
        <v>846</v>
      </c>
      <c r="C15" s="1281"/>
      <c r="D15" s="15"/>
      <c r="E15" s="16"/>
      <c r="F15" s="14"/>
    </row>
    <row r="16" spans="1:7" x14ac:dyDescent="0.35">
      <c r="A16" s="1278" t="s">
        <v>59</v>
      </c>
      <c r="B16" s="1279"/>
      <c r="C16" s="1279"/>
      <c r="D16" s="1280"/>
      <c r="E16" s="14"/>
      <c r="F16" s="14"/>
    </row>
    <row r="17" spans="1:6" ht="36.65" customHeight="1" x14ac:dyDescent="0.35">
      <c r="A17" s="1273" t="s">
        <v>847</v>
      </c>
      <c r="B17" s="1274"/>
      <c r="C17" s="1274"/>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3" t="s">
        <v>821</v>
      </c>
      <c r="B21" s="1274"/>
      <c r="C21" s="1274"/>
      <c r="D21" s="15"/>
      <c r="E21" s="14"/>
      <c r="F21" s="14"/>
    </row>
    <row r="22" spans="1:6" x14ac:dyDescent="0.35">
      <c r="A22" s="1278" t="s">
        <v>62</v>
      </c>
      <c r="B22" s="1279"/>
      <c r="C22" s="1279"/>
      <c r="D22" s="1280"/>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5" t="s">
        <v>37</v>
      </c>
      <c r="B2" s="1276"/>
      <c r="C2" s="1276"/>
      <c r="D2" s="1277"/>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5" t="s">
        <v>842</v>
      </c>
      <c r="B11" s="1276"/>
      <c r="C11" s="1276"/>
      <c r="D11" s="1277"/>
      <c r="E11" s="16"/>
      <c r="F11" s="14"/>
    </row>
    <row r="12" spans="1:6" ht="22.5" customHeight="1" x14ac:dyDescent="0.35">
      <c r="A12" s="19" t="s">
        <v>75</v>
      </c>
      <c r="B12" s="1288" t="s">
        <v>851</v>
      </c>
      <c r="C12" s="1289"/>
      <c r="D12" s="32"/>
      <c r="E12" s="16"/>
      <c r="F12" s="14"/>
    </row>
    <row r="13" spans="1:6" ht="33" customHeight="1" x14ac:dyDescent="0.35">
      <c r="A13" s="19" t="s">
        <v>850</v>
      </c>
      <c r="B13" s="1281" t="s">
        <v>852</v>
      </c>
      <c r="C13" s="1281"/>
      <c r="D13" s="22"/>
      <c r="E13" s="14"/>
      <c r="F13" s="14"/>
    </row>
    <row r="14" spans="1:6" ht="39.65" customHeight="1" x14ac:dyDescent="0.35">
      <c r="A14" s="17" t="s">
        <v>843</v>
      </c>
      <c r="B14" s="1281" t="s">
        <v>853</v>
      </c>
      <c r="C14" s="1281"/>
      <c r="D14" s="22"/>
    </row>
    <row r="15" spans="1:6" ht="38.9" customHeight="1" x14ac:dyDescent="0.35">
      <c r="A15" s="17" t="s">
        <v>845</v>
      </c>
      <c r="B15" s="1281" t="s">
        <v>846</v>
      </c>
      <c r="C15" s="1281"/>
      <c r="D15" s="22"/>
    </row>
    <row r="16" spans="1:6" ht="20.149999999999999" customHeight="1" x14ac:dyDescent="0.35">
      <c r="A16" s="1278" t="s">
        <v>59</v>
      </c>
      <c r="B16" s="1279"/>
      <c r="C16" s="1279"/>
      <c r="D16" s="1280"/>
    </row>
    <row r="17" spans="1:7" ht="24.65" customHeight="1" x14ac:dyDescent="0.35">
      <c r="A17" s="1282" t="s">
        <v>822</v>
      </c>
      <c r="B17" s="1283"/>
      <c r="C17" s="1284"/>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5" t="s">
        <v>821</v>
      </c>
      <c r="B21" s="1286"/>
      <c r="C21" s="1287"/>
      <c r="D21" s="22"/>
    </row>
    <row r="22" spans="1:7" x14ac:dyDescent="0.35">
      <c r="A22" s="1278" t="s">
        <v>62</v>
      </c>
      <c r="B22" s="1279"/>
      <c r="C22" s="1279"/>
      <c r="D22" s="1280"/>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9"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24" sqref="D2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c r="W7" s="71" t="e">
        <f>Taxes!#REF!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1">
        <f>'Student loans'!W11</f>
        <v>2.0815079999999999</v>
      </c>
      <c r="Q11" s="71">
        <f>'Student loans'!X11</f>
        <v>2.1006180000000003</v>
      </c>
      <c r="R11" s="71">
        <f>'Student loans'!Y11</f>
        <v>2.5815300000000003</v>
      </c>
      <c r="S11" s="71">
        <f>'Student loans'!Z11</f>
        <v>2.6040450000000002</v>
      </c>
      <c r="T11" s="71">
        <f>'Student loans'!AA11</f>
        <v>2.626465</v>
      </c>
      <c r="U11" s="71">
        <f>'Student loans'!AB11</f>
        <v>2.6498349999999999</v>
      </c>
      <c r="V11" s="71">
        <f>'Student loans'!AC11</f>
        <v>2.6454420000000001</v>
      </c>
      <c r="W11" s="71">
        <f>'Student loans'!AD11</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K4" sqref="K4"/>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zoomScaleNormal="100" workbookViewId="0">
      <selection activeCell="E18" sqref="E18"/>
    </sheetView>
  </sheetViews>
  <sheetFormatPr defaultColWidth="10.90625" defaultRowHeight="14.5" x14ac:dyDescent="0.35"/>
  <cols>
    <col min="2" max="2" width="39.453125" customWidth="1"/>
    <col min="3" max="3" width="20.1796875" customWidth="1"/>
  </cols>
  <sheetData>
    <row r="2" spans="2:10" x14ac:dyDescent="0.35">
      <c r="B2" s="1290" t="s">
        <v>2013</v>
      </c>
      <c r="C2" s="1290"/>
      <c r="D2" s="1290"/>
      <c r="E2" s="1290"/>
      <c r="F2" s="1290"/>
      <c r="G2" s="1290"/>
      <c r="H2" s="1290"/>
      <c r="I2" s="1290"/>
      <c r="J2" s="1290"/>
    </row>
    <row r="3" spans="2:10" x14ac:dyDescent="0.35">
      <c r="B3" t="str">
        <f>forecast!A1</f>
        <v>name</v>
      </c>
      <c r="C3" t="str">
        <f>forecast!B1</f>
        <v>variable</v>
      </c>
      <c r="D3" t="s">
        <v>764</v>
      </c>
      <c r="E3" t="s">
        <v>765</v>
      </c>
      <c r="F3" t="s">
        <v>1151</v>
      </c>
      <c r="G3" t="s">
        <v>1152</v>
      </c>
      <c r="H3" t="s">
        <v>1153</v>
      </c>
      <c r="I3" t="s">
        <v>1154</v>
      </c>
      <c r="J3" t="s">
        <v>1155</v>
      </c>
    </row>
    <row r="4" spans="2:10" x14ac:dyDescent="0.35">
      <c r="B4" t="str">
        <f>forecast!A2</f>
        <v>Consumption Grants</v>
      </c>
      <c r="C4" t="str">
        <f>forecast!B2</f>
        <v>consumption_grants</v>
      </c>
      <c r="D4" s="80">
        <f>forecast!C2</f>
        <v>403.22655010069974</v>
      </c>
      <c r="E4" s="80">
        <f>forecast!D2</f>
        <v>401.86440476318199</v>
      </c>
      <c r="F4" s="80">
        <f>forecast!E2</f>
        <v>404.53896501683153</v>
      </c>
      <c r="G4" s="80">
        <f>forecast!F2</f>
        <v>404.43687879999999</v>
      </c>
      <c r="H4" s="80">
        <f>forecast!G2</f>
        <v>408.16440578472771</v>
      </c>
      <c r="I4" s="80">
        <f>forecast!H2</f>
        <v>409.91880820170923</v>
      </c>
      <c r="J4" s="80">
        <f>forecast!I2</f>
        <v>412.70035086550473</v>
      </c>
    </row>
    <row r="5" spans="2:10" x14ac:dyDescent="0.35">
      <c r="B5" t="str">
        <f>forecast!A3</f>
        <v>Investment Grants</v>
      </c>
      <c r="C5" t="str">
        <f>forecast!B3</f>
        <v>investment_grants</v>
      </c>
      <c r="D5" s="80">
        <f>forecast!C3</f>
        <v>75.203000000000003</v>
      </c>
      <c r="E5" s="80">
        <f>forecast!D3</f>
        <v>75.203000000000003</v>
      </c>
      <c r="F5" s="80">
        <f>forecast!E3</f>
        <v>75.203000000000003</v>
      </c>
      <c r="G5" s="80">
        <f>forecast!F3</f>
        <v>75.203000000000003</v>
      </c>
      <c r="H5" s="80">
        <f>forecast!G3</f>
        <v>75.203000000000003</v>
      </c>
      <c r="I5" s="80">
        <f>forecast!H3</f>
        <v>75.203000000000003</v>
      </c>
      <c r="J5" s="80">
        <f>forecast!I3</f>
        <v>75.203000000000003</v>
      </c>
    </row>
    <row r="6" spans="2:10" x14ac:dyDescent="0.35">
      <c r="B6" t="str">
        <f>forecast!A4</f>
        <v>Federal Purchases (NIPA Consistent)</v>
      </c>
      <c r="C6" t="str">
        <f>forecast!B4</f>
        <v>federal_purchases</v>
      </c>
      <c r="D6" s="80">
        <f>forecast!C4</f>
        <v>1944.3749359678011</v>
      </c>
      <c r="E6" s="80">
        <f>forecast!D4</f>
        <v>1973.1549683759342</v>
      </c>
      <c r="F6" s="80">
        <f>forecast!E4</f>
        <v>2008.62331817469</v>
      </c>
      <c r="G6" s="80">
        <f>forecast!F4</f>
        <v>2024.229392086143</v>
      </c>
      <c r="H6" s="80">
        <f>forecast!G4</f>
        <v>2041.6595525586747</v>
      </c>
      <c r="I6" s="80">
        <f>forecast!H4</f>
        <v>2051.996043071455</v>
      </c>
      <c r="J6" s="80">
        <f>forecast!I4</f>
        <v>2061.7245047305423</v>
      </c>
    </row>
    <row r="7" spans="2:10" x14ac:dyDescent="0.35">
      <c r="B7" t="str">
        <f>forecast!A5</f>
        <v>State Purchases (NIPA Consistent)</v>
      </c>
      <c r="C7" t="str">
        <f>forecast!B5</f>
        <v>state_purchases</v>
      </c>
      <c r="D7" s="80">
        <f>forecast!C5</f>
        <v>3280.7107402320066</v>
      </c>
      <c r="E7" s="80">
        <f>forecast!D5</f>
        <v>3311.5306881871875</v>
      </c>
      <c r="F7" s="80">
        <f>forecast!E5</f>
        <v>3343.2276497584216</v>
      </c>
      <c r="G7" s="80">
        <f>forecast!F5</f>
        <v>3372.7804447870926</v>
      </c>
      <c r="H7" s="80">
        <f>forecast!G5</f>
        <v>3402.8900768752223</v>
      </c>
      <c r="I7" s="80">
        <f>forecast!H5</f>
        <v>3432.2740655832567</v>
      </c>
      <c r="J7" s="80">
        <f>forecast!I5</f>
        <v>3461.0166842644189</v>
      </c>
    </row>
    <row r="8" spans="2:10" x14ac:dyDescent="0.35">
      <c r="B8" t="str">
        <f>forecast!A6</f>
        <v>Non-ARP Subsidies + ARP Provider Relief and PPP</v>
      </c>
      <c r="C8" t="str">
        <f>forecast!B6</f>
        <v>federal_subsidies</v>
      </c>
      <c r="D8" s="80">
        <f>forecast!C6</f>
        <v>117.401</v>
      </c>
      <c r="E8" s="80">
        <f>forecast!D6</f>
        <v>121.74</v>
      </c>
      <c r="F8" s="80">
        <f>forecast!E6</f>
        <v>119.58999999999999</v>
      </c>
      <c r="G8" s="80">
        <f>forecast!F6</f>
        <v>119.58999999999999</v>
      </c>
      <c r="H8" s="80">
        <f>forecast!G6</f>
        <v>119.58999999999999</v>
      </c>
      <c r="I8" s="80">
        <f>forecast!H6</f>
        <v>119.58999999999999</v>
      </c>
      <c r="J8" s="80">
        <f>forecast!I6</f>
        <v>119.58999999999999</v>
      </c>
    </row>
    <row r="9" spans="2:10" x14ac:dyDescent="0.35">
      <c r="B9" t="str">
        <f>forecast!A7</f>
        <v>ARP Subsidies less Provider Relief and PPP</v>
      </c>
      <c r="C9" t="str">
        <f>forecast!B7</f>
        <v>federal_aid_to_small_businesses_arp</v>
      </c>
      <c r="D9" s="80">
        <f>forecast!C7</f>
        <v>-0.90100000000000025</v>
      </c>
      <c r="E9" s="80">
        <f>forecast!D7</f>
        <v>-2.1500000000000004</v>
      </c>
      <c r="F9" s="80">
        <f>forecast!E7</f>
        <v>0</v>
      </c>
      <c r="G9" s="80">
        <f>forecast!F7</f>
        <v>0</v>
      </c>
      <c r="H9" s="80">
        <f>forecast!G7</f>
        <v>0</v>
      </c>
      <c r="I9" s="80">
        <f>forecast!H7</f>
        <v>0</v>
      </c>
      <c r="J9" s="80">
        <f>forecast!I7</f>
        <v>0</v>
      </c>
    </row>
    <row r="10" spans="2:10" x14ac:dyDescent="0.35">
      <c r="B10" t="str">
        <f>forecast!A8</f>
        <v>Federal UI</v>
      </c>
      <c r="C10" t="str">
        <f>forecast!B8</f>
        <v>federal_ui</v>
      </c>
      <c r="D10" s="80">
        <f>forecast!C8</f>
        <v>0</v>
      </c>
      <c r="E10" s="80">
        <f>forecast!D8</f>
        <v>0</v>
      </c>
      <c r="F10" s="80">
        <f>forecast!E8</f>
        <v>0</v>
      </c>
      <c r="G10" s="80">
        <f>forecast!F8</f>
        <v>0</v>
      </c>
      <c r="H10" s="80">
        <f>forecast!G8</f>
        <v>0</v>
      </c>
      <c r="I10" s="80">
        <f>forecast!H8</f>
        <v>0</v>
      </c>
      <c r="J10" s="80">
        <f>forecast!I8</f>
        <v>0</v>
      </c>
    </row>
    <row r="11" spans="2:10"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36.700000000000003</v>
      </c>
    </row>
    <row r="12" spans="2:10" x14ac:dyDescent="0.35">
      <c r="B12" t="str">
        <f>forecast!A10</f>
        <v>Federal Medicaid</v>
      </c>
      <c r="C12" t="str">
        <f>forecast!B10</f>
        <v>medicaid_grants</v>
      </c>
      <c r="D12" s="80">
        <f>forecast!C10</f>
        <v>687.27647550115967</v>
      </c>
      <c r="E12" s="80">
        <f>forecast!D10</f>
        <v>696.93582719454662</v>
      </c>
      <c r="F12" s="80">
        <f>forecast!E10</f>
        <v>705.26255480190014</v>
      </c>
      <c r="G12" s="80">
        <f>forecast!F10</f>
        <v>717.91329963031671</v>
      </c>
      <c r="H12" s="80">
        <f>forecast!G10</f>
        <v>727.02732439110707</v>
      </c>
      <c r="I12" s="80">
        <f>forecast!H10</f>
        <v>725.13821376854708</v>
      </c>
      <c r="J12" s="80">
        <f>forecast!I10</f>
        <v>735.90864725010715</v>
      </c>
    </row>
    <row r="13" spans="2:10" x14ac:dyDescent="0.35">
      <c r="B13" t="str">
        <f>forecast!A11</f>
        <v>Total Medicaid</v>
      </c>
      <c r="C13" t="str">
        <f>forecast!B11</f>
        <v>medicaid</v>
      </c>
      <c r="D13" s="80">
        <f>forecast!C11</f>
        <v>999.95898678189383</v>
      </c>
      <c r="E13" s="80">
        <f>forecast!D11</f>
        <v>1014.1688795114242</v>
      </c>
      <c r="F13" s="80">
        <f>forecast!E11</f>
        <v>1028.6263410455106</v>
      </c>
      <c r="G13" s="80">
        <f>forecast!F11</f>
        <v>1043.2899005956497</v>
      </c>
      <c r="H13" s="80">
        <f>forecast!G11</f>
        <v>1058.1624961874497</v>
      </c>
      <c r="I13" s="80">
        <f>forecast!H11</f>
        <v>1055.5046787071888</v>
      </c>
      <c r="J13" s="80">
        <f>forecast!I11</f>
        <v>1071.2571955433457</v>
      </c>
    </row>
    <row r="14" spans="2:10" x14ac:dyDescent="0.35">
      <c r="B14" t="str">
        <f>forecast!A12</f>
        <v>Medicare</v>
      </c>
      <c r="C14" t="str">
        <f>forecast!B12</f>
        <v>medicare</v>
      </c>
      <c r="D14" s="80">
        <f>forecast!C12</f>
        <v>1197.1541359637888</v>
      </c>
      <c r="E14" s="80">
        <f>forecast!D12</f>
        <v>1215.0695436191259</v>
      </c>
      <c r="F14" s="80">
        <f>forecast!E12</f>
        <v>1233.2530552903243</v>
      </c>
      <c r="G14" s="80">
        <f>forecast!F12</f>
        <v>1251.7086831530878</v>
      </c>
      <c r="H14" s="80">
        <f>forecast!G12</f>
        <v>1270.4404994253166</v>
      </c>
      <c r="I14" s="80">
        <f>forecast!H12</f>
        <v>1289.616636754057</v>
      </c>
      <c r="J14" s="80">
        <f>forecast!I12</f>
        <v>1309.0822203362954</v>
      </c>
    </row>
    <row r="15" spans="2:10"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row>
    <row r="16" spans="2:10"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row>
    <row r="17" spans="2:10" x14ac:dyDescent="0.35">
      <c r="B17" t="str">
        <f>forecast!A15</f>
        <v>ARP Other Vulnerable</v>
      </c>
      <c r="C17" t="str">
        <f>forecast!B15</f>
        <v>federal_other_vulnerable_arp</v>
      </c>
      <c r="D17" s="80">
        <f>forecast!C15</f>
        <v>2.3719999999999999</v>
      </c>
      <c r="E17" s="80">
        <f>forecast!D15</f>
        <v>0.49</v>
      </c>
      <c r="F17" s="80">
        <f>forecast!E15</f>
        <v>0</v>
      </c>
      <c r="G17" s="80">
        <f>forecast!F15</f>
        <v>0</v>
      </c>
      <c r="H17" s="80">
        <f>forecast!G15</f>
        <v>0</v>
      </c>
      <c r="I17" s="80">
        <f>forecast!H15</f>
        <v>0</v>
      </c>
      <c r="J17" s="80">
        <f>forecast!I15</f>
        <v>0</v>
      </c>
    </row>
    <row r="18" spans="2:10" x14ac:dyDescent="0.35">
      <c r="B18" t="str">
        <f>forecast!A16</f>
        <v xml:space="preserve">ARP Other Direct Aid plus Provider Relief </v>
      </c>
      <c r="C18" t="str">
        <f>forecast!B16</f>
        <v>federal_other_direct_aid_arp</v>
      </c>
      <c r="D18" s="80">
        <f>forecast!C16</f>
        <v>1.63</v>
      </c>
      <c r="E18" s="80">
        <f>forecast!D16</f>
        <v>1.671</v>
      </c>
      <c r="F18" s="80">
        <f>forecast!E16</f>
        <v>0</v>
      </c>
      <c r="G18" s="80">
        <f>forecast!F16</f>
        <v>0</v>
      </c>
      <c r="H18" s="80">
        <f>forecast!G16</f>
        <v>0</v>
      </c>
      <c r="I18" s="80">
        <f>forecast!H16</f>
        <v>0</v>
      </c>
      <c r="J18" s="80">
        <f>forecast!I16</f>
        <v>0</v>
      </c>
    </row>
    <row r="19" spans="2:10" x14ac:dyDescent="0.35">
      <c r="B19" t="str">
        <f>forecast!A17</f>
        <v>Other Federal Social Benefits (including all SNAP)</v>
      </c>
      <c r="C19" t="str">
        <f>forecast!B17</f>
        <v>federal_social_benefits</v>
      </c>
      <c r="D19" s="80">
        <f>forecast!C17</f>
        <v>2347.0980000000004</v>
      </c>
      <c r="E19" s="80">
        <f>forecast!D17</f>
        <v>2329.8980000000006</v>
      </c>
      <c r="F19" s="80">
        <f>forecast!E17</f>
        <v>2373.8636460000007</v>
      </c>
      <c r="G19" s="80">
        <f>forecast!F17</f>
        <v>2380.1356460000006</v>
      </c>
      <c r="H19" s="80">
        <f>forecast!G17</f>
        <v>2388.1356460000006</v>
      </c>
      <c r="I19" s="80">
        <f>forecast!H17</f>
        <v>2387.980646</v>
      </c>
      <c r="J19" s="80">
        <f>forecast!I17</f>
        <v>2434.4405018580005</v>
      </c>
    </row>
    <row r="20" spans="2:10" x14ac:dyDescent="0.35">
      <c r="B20" t="str">
        <f>forecast!A18</f>
        <v>State Social Benefits ex Medicaid</v>
      </c>
      <c r="C20" t="str">
        <f>forecast!B18</f>
        <v>state_social_benefits</v>
      </c>
      <c r="D20" s="80">
        <f>forecast!C18</f>
        <v>234.7446086945757</v>
      </c>
      <c r="E20" s="80">
        <f>forecast!D18</f>
        <v>238.17619541011769</v>
      </c>
      <c r="F20" s="80">
        <f>forecast!E18</f>
        <v>241.65794637629688</v>
      </c>
      <c r="G20" s="80">
        <f>forecast!F18</f>
        <v>245.19059491336728</v>
      </c>
      <c r="H20" s="80">
        <f>forecast!G18</f>
        <v>248.77488506153966</v>
      </c>
      <c r="I20" s="80">
        <f>forecast!H18</f>
        <v>252.41157173768991</v>
      </c>
      <c r="J20" s="80">
        <f>forecast!I18</f>
        <v>256.10142089435828</v>
      </c>
    </row>
    <row r="21" spans="2:10" x14ac:dyDescent="0.35">
      <c r="B21" t="str">
        <f>forecast!A19</f>
        <v>Federal Non-Corporate Taxes</v>
      </c>
      <c r="C21" t="str">
        <f>forecast!B19</f>
        <v>federal_non_corporate_taxes</v>
      </c>
      <c r="D21" s="80">
        <f>forecast!C19</f>
        <v>4885.7050004786652</v>
      </c>
      <c r="E21" s="80">
        <f>forecast!D19</f>
        <v>4906.4374505766755</v>
      </c>
      <c r="F21" s="80">
        <f>forecast!E19</f>
        <v>4893.3960861458509</v>
      </c>
      <c r="G21" s="80">
        <f>forecast!F19</f>
        <v>4922.9457626360299</v>
      </c>
      <c r="H21" s="80">
        <f>forecast!G19</f>
        <v>4952.9196539032664</v>
      </c>
      <c r="I21" s="80">
        <f>forecast!H19</f>
        <v>4983.3193062517839</v>
      </c>
      <c r="J21" s="80">
        <f>forecast!I19</f>
        <v>5111.3232015312415</v>
      </c>
    </row>
    <row r="22" spans="2:10" x14ac:dyDescent="0.35">
      <c r="B22" t="str">
        <f>forecast!A20</f>
        <v>State Non-Corporate Taxes</v>
      </c>
      <c r="C22" t="str">
        <f>forecast!B20</f>
        <v>state_non_corporate_taxes</v>
      </c>
      <c r="D22" s="80">
        <f>forecast!C20</f>
        <v>2610.4179349654814</v>
      </c>
      <c r="E22" s="80">
        <f>forecast!D20</f>
        <v>2637.2590525097935</v>
      </c>
      <c r="F22" s="80">
        <f>forecast!E20</f>
        <v>2661.9450087697264</v>
      </c>
      <c r="G22" s="80">
        <f>forecast!F20</f>
        <v>2687.6209509421678</v>
      </c>
      <c r="H22" s="80">
        <f>forecast!G20</f>
        <v>2711.0655175084648</v>
      </c>
      <c r="I22" s="80">
        <f>forecast!H20</f>
        <v>2736.4520878263743</v>
      </c>
      <c r="J22" s="80">
        <f>forecast!I20</f>
        <v>2763.2785072824095</v>
      </c>
    </row>
    <row r="23" spans="2:10" x14ac:dyDescent="0.35">
      <c r="B23" t="str">
        <f>forecast!A21</f>
        <v>Federal Corporate Taxes</v>
      </c>
      <c r="C23" t="str">
        <f>forecast!B21</f>
        <v>federal_corporate_taxes</v>
      </c>
      <c r="D23" s="80">
        <f>forecast!C21</f>
        <v>154.58674209073274</v>
      </c>
      <c r="E23" s="80">
        <f>forecast!D21</f>
        <v>153.63157001132998</v>
      </c>
      <c r="F23" s="80">
        <f>forecast!E21</f>
        <v>410.98229982033581</v>
      </c>
      <c r="G23" s="80">
        <f>forecast!F21</f>
        <v>408.44289176626921</v>
      </c>
      <c r="H23" s="80">
        <f>forecast!G21</f>
        <v>405.91917439588383</v>
      </c>
      <c r="I23" s="80">
        <f>forecast!H21</f>
        <v>403.41105075841432</v>
      </c>
      <c r="J23" s="80">
        <f>forecast!I21</f>
        <v>412.61842450214192</v>
      </c>
    </row>
    <row r="24" spans="2:10" x14ac:dyDescent="0.35">
      <c r="B24" t="str">
        <f>forecast!A22</f>
        <v>State Corporate Taxes</v>
      </c>
      <c r="C24" s="56" t="str">
        <f>forecast!B22</f>
        <v>state_corporate_taxes</v>
      </c>
      <c r="D24" s="80">
        <f>forecast!C22</f>
        <v>172.4420004657662</v>
      </c>
      <c r="E24" s="80">
        <f>forecast!D22</f>
        <v>172.35554552864465</v>
      </c>
      <c r="F24" s="80">
        <f>forecast!E22</f>
        <v>172.5640544946437</v>
      </c>
      <c r="G24" s="80">
        <f>forecast!F22</f>
        <v>172.90478865859339</v>
      </c>
      <c r="H24" s="80">
        <f>forecast!G22</f>
        <v>172.73187878435027</v>
      </c>
      <c r="I24" s="80">
        <f>forecast!H22</f>
        <v>172.94038775034934</v>
      </c>
      <c r="J24" s="80">
        <f>forecast!I22</f>
        <v>172.60982475547277</v>
      </c>
    </row>
    <row r="25" spans="2:10" x14ac:dyDescent="0.35">
      <c r="B25" s="56" t="str">
        <f>forecast!A23</f>
        <v>Federal Student Loans</v>
      </c>
      <c r="C25" s="56" t="str">
        <f>forecast!B23</f>
        <v>federal_student_loans</v>
      </c>
      <c r="D25" s="80">
        <f>forecast!C23</f>
        <v>2.693006</v>
      </c>
      <c r="E25" s="80">
        <f>forecast!D23</f>
        <v>2.7175400000000001</v>
      </c>
      <c r="F25" s="80">
        <f>forecast!E23</f>
        <v>2.7175400000000001</v>
      </c>
      <c r="G25" s="80">
        <f>forecast!F23</f>
        <v>2.7175400000000001</v>
      </c>
      <c r="H25" s="80">
        <f>forecast!G23</f>
        <v>0</v>
      </c>
      <c r="I25" s="80">
        <f>forecast!H23</f>
        <v>0</v>
      </c>
      <c r="J25" s="80">
        <f>forecast!I23</f>
        <v>0</v>
      </c>
    </row>
    <row r="26" spans="2:10" x14ac:dyDescent="0.35">
      <c r="B26" s="56"/>
      <c r="C26" s="56"/>
    </row>
    <row r="27" spans="2:10" x14ac:dyDescent="0.35">
      <c r="B27" s="69" t="s">
        <v>1888</v>
      </c>
      <c r="C27" s="56"/>
    </row>
    <row r="28" spans="2:10" x14ac:dyDescent="0.35">
      <c r="B28" s="56" t="s">
        <v>1702</v>
      </c>
      <c r="C28" s="56"/>
      <c r="D28" s="83">
        <f>Deflators!AE45</f>
        <v>2.3874932014508632E-2</v>
      </c>
      <c r="E28" s="83">
        <f>Deflators!AF45</f>
        <v>2.2011392938697361E-2</v>
      </c>
      <c r="F28" s="83">
        <f>Deflators!AG45</f>
        <v>2.1469131944638509E-2</v>
      </c>
      <c r="G28" s="83">
        <f>Deflators!AH45</f>
        <v>2.037795778240481E-2</v>
      </c>
      <c r="H28" s="83">
        <f>Deflators!AI45</f>
        <v>2.031319568771961E-2</v>
      </c>
      <c r="I28" s="83">
        <f>Deflators!AJ45</f>
        <v>2.0411174157790368E-2</v>
      </c>
      <c r="J28" s="83">
        <f>Deflators!AK45</f>
        <v>2.0278651758323107E-2</v>
      </c>
    </row>
    <row r="29" spans="2:10" x14ac:dyDescent="0.35">
      <c r="B29" s="56" t="s">
        <v>1703</v>
      </c>
      <c r="C29" s="56"/>
      <c r="D29" s="83">
        <f>Deflators!AE48</f>
        <v>2.4729668703095779E-2</v>
      </c>
      <c r="E29" s="83">
        <f>Deflators!AF48</f>
        <v>2.4119603614899725E-2</v>
      </c>
      <c r="F29" s="83">
        <f>Deflators!AG48</f>
        <v>2.1515602617293128E-2</v>
      </c>
      <c r="G29" s="83">
        <f>Deflators!AH48</f>
        <v>2.2790850007197161E-2</v>
      </c>
      <c r="H29" s="83">
        <f>Deflators!AI48</f>
        <v>2.3263295207157642E-2</v>
      </c>
      <c r="I29" s="83">
        <f>Deflators!AJ48</f>
        <v>2.3889685874715294E-2</v>
      </c>
      <c r="J29" s="83">
        <f>Deflators!AK48</f>
        <v>2.2412555601408091E-2</v>
      </c>
    </row>
    <row r="30" spans="2:10" x14ac:dyDescent="0.35">
      <c r="B30" s="56" t="s">
        <v>1704</v>
      </c>
      <c r="C30" s="56"/>
      <c r="D30" s="83">
        <f>Deflators!AE49</f>
        <v>3.1343868352262882E-2</v>
      </c>
      <c r="E30" s="83">
        <f>Deflators!AF49</f>
        <v>3.2394354805230341E-2</v>
      </c>
      <c r="F30" s="83">
        <f>Deflators!AG49</f>
        <v>3.3164637629816696E-2</v>
      </c>
      <c r="G30" s="83">
        <f>Deflators!AH49</f>
        <v>3.1425713898589613E-2</v>
      </c>
      <c r="H30" s="83">
        <f>Deflators!AI49</f>
        <v>3.1013053419121528E-2</v>
      </c>
      <c r="I30" s="83">
        <f>Deflators!AJ49</f>
        <v>3.1015398756455648E-2</v>
      </c>
      <c r="J30" s="83">
        <f>Deflators!AK49</f>
        <v>3.0542269425562596E-2</v>
      </c>
    </row>
    <row r="31" spans="2:10" x14ac:dyDescent="0.35">
      <c r="B31" s="56" t="s">
        <v>1705</v>
      </c>
      <c r="C31" s="56"/>
      <c r="D31" s="83">
        <f>Deflators!AE51</f>
        <v>3.1343868352262882E-2</v>
      </c>
      <c r="E31" s="83">
        <f>Deflators!AF51</f>
        <v>3.2394354805230341E-2</v>
      </c>
      <c r="F31" s="83">
        <f>Deflators!AG51</f>
        <v>3.3164637629816696E-2</v>
      </c>
      <c r="G31" s="83">
        <f>Deflators!AH51</f>
        <v>3.1425713898589613E-2</v>
      </c>
      <c r="H31" s="83">
        <f>Deflators!AI51</f>
        <v>3.1013053419121528E-2</v>
      </c>
      <c r="I31" s="83">
        <f>Deflators!AJ51</f>
        <v>3.1015398756455648E-2</v>
      </c>
      <c r="J31" s="83">
        <f>Deflators!AK51</f>
        <v>3.0542269425562596E-2</v>
      </c>
    </row>
    <row r="32" spans="2:10" x14ac:dyDescent="0.35">
      <c r="B32" s="56" t="s">
        <v>1706</v>
      </c>
      <c r="C32" s="56"/>
      <c r="D32" s="83">
        <f>Deflators!AE52</f>
        <v>3.1343868352262882E-2</v>
      </c>
      <c r="E32" s="83">
        <f>Deflators!AF52</f>
        <v>3.2394354805230341E-2</v>
      </c>
      <c r="F32" s="83">
        <f>Deflators!AG52</f>
        <v>3.3164637629816696E-2</v>
      </c>
      <c r="G32" s="83">
        <f>Deflators!AH52</f>
        <v>3.1425713898589613E-2</v>
      </c>
      <c r="H32" s="83">
        <f>Deflators!AI52</f>
        <v>3.1013053419121528E-2</v>
      </c>
      <c r="I32" s="83">
        <f>Deflators!AJ52</f>
        <v>3.1015398756455648E-2</v>
      </c>
      <c r="J32" s="83">
        <f>Deflators!AK52</f>
        <v>3.0542269425562596E-2</v>
      </c>
    </row>
    <row r="34" spans="2:10" x14ac:dyDescent="0.35">
      <c r="B34" s="1290" t="s">
        <v>2006</v>
      </c>
      <c r="C34" s="1290"/>
      <c r="D34" s="1290"/>
      <c r="E34" s="1290"/>
      <c r="F34" s="1290"/>
      <c r="G34" s="1290"/>
      <c r="H34" s="1290"/>
      <c r="I34" s="1290"/>
      <c r="J34" s="1290"/>
    </row>
    <row r="35" spans="2:10" x14ac:dyDescent="0.35">
      <c r="B35" t="s">
        <v>178</v>
      </c>
      <c r="C35" t="s">
        <v>179</v>
      </c>
      <c r="D35" t="s">
        <v>764</v>
      </c>
      <c r="E35" t="s">
        <v>765</v>
      </c>
      <c r="F35" t="s">
        <v>1151</v>
      </c>
      <c r="G35" t="s">
        <v>1152</v>
      </c>
      <c r="H35" t="s">
        <v>1153</v>
      </c>
      <c r="I35" t="s">
        <v>1154</v>
      </c>
      <c r="J35" t="s">
        <v>1155</v>
      </c>
    </row>
    <row r="36" spans="2:10" x14ac:dyDescent="0.35">
      <c r="B36" t="s">
        <v>192</v>
      </c>
      <c r="C36" t="s">
        <v>193</v>
      </c>
      <c r="D36">
        <v>422.7303328673143</v>
      </c>
      <c r="E36">
        <v>421.56036623063881</v>
      </c>
      <c r="F36">
        <v>424.42899879999999</v>
      </c>
      <c r="G36">
        <v>424.52289717230673</v>
      </c>
      <c r="H36">
        <v>428.44833986200683</v>
      </c>
      <c r="I36">
        <v>430.40260812786426</v>
      </c>
      <c r="J36">
        <v>433.38598599999989</v>
      </c>
    </row>
    <row r="37" spans="2:10" x14ac:dyDescent="0.35">
      <c r="B37" t="s">
        <v>134</v>
      </c>
      <c r="C37" t="s">
        <v>194</v>
      </c>
      <c r="D37">
        <v>75.203000000000003</v>
      </c>
      <c r="E37">
        <v>75.203000000000003</v>
      </c>
      <c r="F37">
        <v>75.203000000000003</v>
      </c>
      <c r="G37">
        <v>75.203000000000003</v>
      </c>
      <c r="H37">
        <v>75.203000000000003</v>
      </c>
      <c r="I37">
        <v>75.203000000000003</v>
      </c>
      <c r="J37">
        <v>75.203000000000003</v>
      </c>
    </row>
    <row r="38" spans="2:10" x14ac:dyDescent="0.35">
      <c r="B38" t="s">
        <v>195</v>
      </c>
      <c r="C38" t="s">
        <v>196</v>
      </c>
      <c r="D38">
        <v>1936.1487693585325</v>
      </c>
      <c r="E38">
        <v>1964.807040609787</v>
      </c>
      <c r="F38">
        <v>2000.1253326447838</v>
      </c>
      <c r="G38">
        <v>2015.6653811401827</v>
      </c>
      <c r="H38">
        <v>2033.0217989402386</v>
      </c>
      <c r="I38">
        <v>2043.3145583332951</v>
      </c>
      <c r="J38">
        <v>2053.0018612914655</v>
      </c>
    </row>
    <row r="39" spans="2:10" x14ac:dyDescent="0.35">
      <c r="B39" t="s">
        <v>197</v>
      </c>
      <c r="C39" t="s">
        <v>198</v>
      </c>
      <c r="D39">
        <v>3277.5785161257559</v>
      </c>
      <c r="E39">
        <v>3308.3690390594757</v>
      </c>
      <c r="F39">
        <v>3340.0357382897141</v>
      </c>
      <c r="G39">
        <v>3369.560318097866</v>
      </c>
      <c r="H39">
        <v>3399.6412033311449</v>
      </c>
      <c r="I39">
        <v>3428.9971379847207</v>
      </c>
      <c r="J39">
        <v>3457.7123149527179</v>
      </c>
    </row>
    <row r="40" spans="2:10" x14ac:dyDescent="0.35">
      <c r="B40" t="s">
        <v>199</v>
      </c>
      <c r="C40" t="s">
        <v>200</v>
      </c>
      <c r="D40">
        <v>96.978999999999999</v>
      </c>
      <c r="E40">
        <v>101.318</v>
      </c>
      <c r="F40">
        <v>99.167999999999992</v>
      </c>
      <c r="G40">
        <v>99.167999999999992</v>
      </c>
      <c r="H40">
        <v>99.167999999999992</v>
      </c>
      <c r="I40">
        <v>99.167999999999992</v>
      </c>
      <c r="J40">
        <v>99.167999999999992</v>
      </c>
    </row>
    <row r="41" spans="2:10" x14ac:dyDescent="0.35">
      <c r="B41" t="s">
        <v>201</v>
      </c>
      <c r="C41" t="s">
        <v>202</v>
      </c>
      <c r="D41">
        <v>-0.90100000000000025</v>
      </c>
      <c r="E41">
        <v>-2.1500000000000004</v>
      </c>
      <c r="F41">
        <v>0</v>
      </c>
      <c r="G41">
        <v>0</v>
      </c>
      <c r="H41">
        <v>0</v>
      </c>
      <c r="I41">
        <v>0</v>
      </c>
      <c r="J41">
        <v>0</v>
      </c>
    </row>
    <row r="42" spans="2:10" x14ac:dyDescent="0.35">
      <c r="B42" t="s">
        <v>203</v>
      </c>
      <c r="C42" t="s">
        <v>204</v>
      </c>
      <c r="D42">
        <v>0</v>
      </c>
      <c r="E42">
        <v>0</v>
      </c>
      <c r="F42">
        <v>0</v>
      </c>
      <c r="G42">
        <v>0</v>
      </c>
      <c r="H42">
        <v>0</v>
      </c>
      <c r="I42">
        <v>0</v>
      </c>
      <c r="J42">
        <v>0</v>
      </c>
    </row>
    <row r="43" spans="2:10" x14ac:dyDescent="0.35">
      <c r="B43" t="s">
        <v>205</v>
      </c>
      <c r="C43" t="s">
        <v>206</v>
      </c>
      <c r="D43">
        <v>35.700000000000003</v>
      </c>
      <c r="E43">
        <v>35.700000000000003</v>
      </c>
      <c r="F43">
        <v>35.700000000000003</v>
      </c>
      <c r="G43">
        <v>35.700000000000003</v>
      </c>
      <c r="H43">
        <v>35.700000000000003</v>
      </c>
      <c r="I43">
        <v>35.700000000000003</v>
      </c>
      <c r="J43">
        <v>36.700000000000003</v>
      </c>
    </row>
    <row r="44" spans="2:10" x14ac:dyDescent="0.35">
      <c r="B44" t="s">
        <v>207</v>
      </c>
      <c r="C44" t="s">
        <v>208</v>
      </c>
      <c r="D44">
        <v>675.38514519906857</v>
      </c>
      <c r="E44">
        <v>685.00561720826681</v>
      </c>
      <c r="F44">
        <v>693.18074004264645</v>
      </c>
      <c r="G44">
        <v>706.01130629002489</v>
      </c>
      <c r="H44">
        <v>716.75448248277462</v>
      </c>
      <c r="I44">
        <v>714.81795800385646</v>
      </c>
      <c r="J44">
        <v>725.48341006932242</v>
      </c>
    </row>
    <row r="45" spans="2:10" x14ac:dyDescent="0.35">
      <c r="B45" t="s">
        <v>209</v>
      </c>
      <c r="C45" t="s">
        <v>210</v>
      </c>
      <c r="D45">
        <v>985.63925302097391</v>
      </c>
      <c r="E45">
        <v>1000.5924493152195</v>
      </c>
      <c r="F45">
        <v>1015.8181842069388</v>
      </c>
      <c r="G45">
        <v>1031.2756048395925</v>
      </c>
      <c r="H45">
        <v>1046.9682367101718</v>
      </c>
      <c r="I45">
        <v>1044.1395419917014</v>
      </c>
      <c r="J45">
        <v>1059.7186416912505</v>
      </c>
    </row>
    <row r="46" spans="2:10" x14ac:dyDescent="0.35">
      <c r="B46" t="s">
        <v>55</v>
      </c>
      <c r="C46" t="s">
        <v>211</v>
      </c>
      <c r="D46">
        <v>1194.9759053306122</v>
      </c>
      <c r="E46">
        <v>1212.8587157717825</v>
      </c>
      <c r="F46">
        <v>1231.0091424116126</v>
      </c>
      <c r="G46">
        <v>1249.431190125624</v>
      </c>
      <c r="H46">
        <v>1268.1289237222863</v>
      </c>
      <c r="I46">
        <v>1287.2701699300753</v>
      </c>
      <c r="J46">
        <v>1306.7003357418046</v>
      </c>
    </row>
    <row r="47" spans="2:10" x14ac:dyDescent="0.35">
      <c r="B47" t="s">
        <v>212</v>
      </c>
      <c r="C47" t="s">
        <v>213</v>
      </c>
      <c r="D47">
        <v>0</v>
      </c>
      <c r="E47">
        <v>0</v>
      </c>
      <c r="F47">
        <v>0</v>
      </c>
      <c r="G47">
        <v>0</v>
      </c>
      <c r="H47">
        <v>0</v>
      </c>
      <c r="I47">
        <v>0</v>
      </c>
      <c r="J47">
        <v>0</v>
      </c>
    </row>
    <row r="48" spans="2:10" x14ac:dyDescent="0.35">
      <c r="B48" t="s">
        <v>214</v>
      </c>
      <c r="C48" t="s">
        <v>215</v>
      </c>
      <c r="D48">
        <v>0</v>
      </c>
      <c r="E48">
        <v>0</v>
      </c>
      <c r="F48">
        <v>0</v>
      </c>
      <c r="G48">
        <v>0</v>
      </c>
      <c r="H48">
        <v>0</v>
      </c>
      <c r="I48">
        <v>0</v>
      </c>
      <c r="J48">
        <v>0</v>
      </c>
    </row>
    <row r="49" spans="2:10" x14ac:dyDescent="0.35">
      <c r="B49" t="s">
        <v>216</v>
      </c>
      <c r="C49" t="s">
        <v>217</v>
      </c>
      <c r="D49">
        <v>2.3719999999999999</v>
      </c>
      <c r="E49">
        <v>0.49</v>
      </c>
      <c r="F49">
        <v>0</v>
      </c>
      <c r="G49">
        <v>0</v>
      </c>
      <c r="H49">
        <v>0</v>
      </c>
      <c r="I49">
        <v>0</v>
      </c>
      <c r="J49">
        <v>0</v>
      </c>
    </row>
    <row r="50" spans="2:10" x14ac:dyDescent="0.35">
      <c r="B50" t="s">
        <v>795</v>
      </c>
      <c r="C50" t="s">
        <v>219</v>
      </c>
      <c r="D50">
        <v>1.63</v>
      </c>
      <c r="E50">
        <v>1.671</v>
      </c>
      <c r="F50">
        <v>0</v>
      </c>
      <c r="G50">
        <v>0</v>
      </c>
      <c r="H50">
        <v>0</v>
      </c>
      <c r="I50">
        <v>0</v>
      </c>
      <c r="J50">
        <v>0</v>
      </c>
    </row>
    <row r="51" spans="2:10" x14ac:dyDescent="0.35">
      <c r="B51" t="s">
        <v>220</v>
      </c>
      <c r="C51" t="s">
        <v>221</v>
      </c>
      <c r="D51">
        <v>2275.6980000000003</v>
      </c>
      <c r="E51">
        <v>2258.1980000000003</v>
      </c>
      <c r="F51">
        <v>2303.4551905010003</v>
      </c>
      <c r="G51">
        <v>2309.427190501</v>
      </c>
      <c r="H51">
        <v>2317.1271905010003</v>
      </c>
      <c r="I51">
        <v>2316.6721905010004</v>
      </c>
      <c r="J51">
        <v>2365.2440593835236</v>
      </c>
    </row>
    <row r="52" spans="2:10" x14ac:dyDescent="0.35">
      <c r="B52" t="s">
        <v>222</v>
      </c>
      <c r="C52" t="s">
        <v>223</v>
      </c>
      <c r="D52">
        <v>234.7446086945757</v>
      </c>
      <c r="E52">
        <v>238.17619541011769</v>
      </c>
      <c r="F52">
        <v>241.65794637629688</v>
      </c>
      <c r="G52">
        <v>245.19059491336728</v>
      </c>
      <c r="H52">
        <v>248.77488506153966</v>
      </c>
      <c r="I52">
        <v>252.41157173768991</v>
      </c>
      <c r="J52">
        <v>256.10142089435828</v>
      </c>
    </row>
    <row r="53" spans="2:10" x14ac:dyDescent="0.35">
      <c r="B53" t="s">
        <v>224</v>
      </c>
      <c r="C53" t="s">
        <v>225</v>
      </c>
      <c r="D53">
        <v>4733.3914661386643</v>
      </c>
      <c r="E53">
        <v>4757.1843093197967</v>
      </c>
      <c r="F53">
        <v>4730.7466044573812</v>
      </c>
      <c r="G53">
        <v>4763.1925237450323</v>
      </c>
      <c r="H53">
        <v>4796.0143109262117</v>
      </c>
      <c r="I53">
        <v>4829.2143547518372</v>
      </c>
      <c r="J53">
        <v>4959.971965252872</v>
      </c>
    </row>
    <row r="54" spans="2:10" x14ac:dyDescent="0.35">
      <c r="B54" t="s">
        <v>226</v>
      </c>
      <c r="C54" t="s">
        <v>227</v>
      </c>
      <c r="D54">
        <v>2598.178261360134</v>
      </c>
      <c r="E54">
        <v>2624.8819972445235</v>
      </c>
      <c r="F54">
        <v>2649.4405312925719</v>
      </c>
      <c r="G54">
        <v>2674.9894129442418</v>
      </c>
      <c r="H54">
        <v>2698.3122414077561</v>
      </c>
      <c r="I54">
        <v>2723.5733367491875</v>
      </c>
      <c r="J54">
        <v>2750.2680865633192</v>
      </c>
    </row>
    <row r="55" spans="2:10" x14ac:dyDescent="0.35">
      <c r="B55" t="s">
        <v>228</v>
      </c>
      <c r="C55" t="s">
        <v>229</v>
      </c>
      <c r="D55">
        <v>154.58674209073274</v>
      </c>
      <c r="E55">
        <v>153.63157001132998</v>
      </c>
      <c r="F55">
        <v>410.98229982033581</v>
      </c>
      <c r="G55">
        <v>408.44289176626921</v>
      </c>
      <c r="H55">
        <v>405.91917439588383</v>
      </c>
      <c r="I55">
        <v>403.41105075841432</v>
      </c>
      <c r="J55">
        <v>412.61842450214192</v>
      </c>
    </row>
    <row r="56" spans="2:10" x14ac:dyDescent="0.35">
      <c r="B56" t="s">
        <v>230</v>
      </c>
      <c r="C56" s="56" t="s">
        <v>231</v>
      </c>
      <c r="D56">
        <v>172.4420004657662</v>
      </c>
      <c r="E56">
        <v>172.35554552864465</v>
      </c>
      <c r="F56">
        <v>172.5640544946437</v>
      </c>
      <c r="G56">
        <v>172.90478865859339</v>
      </c>
      <c r="H56">
        <v>172.73187878435027</v>
      </c>
      <c r="I56">
        <v>172.94038775034934</v>
      </c>
      <c r="J56">
        <v>172.60982475547277</v>
      </c>
    </row>
    <row r="57" spans="2:10" x14ac:dyDescent="0.35">
      <c r="B57" s="56" t="s">
        <v>1379</v>
      </c>
      <c r="C57" s="56" t="s">
        <v>1378</v>
      </c>
      <c r="D57">
        <v>2.693006</v>
      </c>
      <c r="E57">
        <v>2.7175400000000001</v>
      </c>
      <c r="F57">
        <v>2.7175400000000001</v>
      </c>
      <c r="G57">
        <v>2.7175400000000001</v>
      </c>
      <c r="H57">
        <v>0</v>
      </c>
      <c r="I57">
        <v>0</v>
      </c>
      <c r="J57">
        <v>0</v>
      </c>
    </row>
    <row r="58" spans="2:10" x14ac:dyDescent="0.35">
      <c r="B58" s="56"/>
      <c r="C58" s="56"/>
    </row>
    <row r="59" spans="2:10" x14ac:dyDescent="0.35">
      <c r="B59" s="69" t="s">
        <v>1888</v>
      </c>
      <c r="C59" s="56"/>
    </row>
    <row r="60" spans="2:10" x14ac:dyDescent="0.35">
      <c r="B60" s="56" t="s">
        <v>1702</v>
      </c>
      <c r="C60" s="56"/>
      <c r="D60" s="81">
        <v>2.3874932014508632E-2</v>
      </c>
      <c r="E60" s="81">
        <v>2.2011392938697361E-2</v>
      </c>
      <c r="F60">
        <v>2.1469131944638509E-2</v>
      </c>
      <c r="G60">
        <v>2.037795778240481E-2</v>
      </c>
      <c r="H60">
        <v>2.031319568771961E-2</v>
      </c>
      <c r="I60">
        <v>2.0411174157790368E-2</v>
      </c>
      <c r="J60">
        <v>2.0278651758323107E-2</v>
      </c>
    </row>
    <row r="61" spans="2:10" x14ac:dyDescent="0.35">
      <c r="B61" s="56" t="s">
        <v>1703</v>
      </c>
      <c r="C61" s="56"/>
      <c r="D61" s="81">
        <v>1.4729668703095777E-2</v>
      </c>
      <c r="E61" s="81">
        <v>1.5119603614899724E-2</v>
      </c>
      <c r="F61">
        <v>2.1515602617293128E-2</v>
      </c>
      <c r="G61">
        <v>2.2790850007197161E-2</v>
      </c>
      <c r="H61">
        <v>2.3263295207157642E-2</v>
      </c>
      <c r="I61">
        <v>2.3889685874715294E-2</v>
      </c>
      <c r="J61">
        <v>2.2412555601408091E-2</v>
      </c>
    </row>
    <row r="62" spans="2:10" x14ac:dyDescent="0.35">
      <c r="B62" s="56" t="s">
        <v>1704</v>
      </c>
      <c r="C62" s="56"/>
      <c r="D62" s="81">
        <v>3.1343868352262882E-2</v>
      </c>
      <c r="E62" s="81">
        <v>3.2394354805230341E-2</v>
      </c>
      <c r="F62">
        <v>3.3164637629816696E-2</v>
      </c>
      <c r="G62">
        <v>3.1425713898589613E-2</v>
      </c>
      <c r="H62">
        <v>3.1013053419121528E-2</v>
      </c>
      <c r="I62">
        <v>3.1015398756455648E-2</v>
      </c>
      <c r="J62">
        <v>3.0542269425562596E-2</v>
      </c>
    </row>
    <row r="63" spans="2:10" x14ac:dyDescent="0.35">
      <c r="B63" s="56" t="s">
        <v>1705</v>
      </c>
      <c r="C63" s="56"/>
      <c r="D63" s="81">
        <v>3.1343868352262882E-2</v>
      </c>
      <c r="E63" s="81">
        <v>3.2394354805230341E-2</v>
      </c>
      <c r="F63">
        <v>3.3164637629816696E-2</v>
      </c>
      <c r="G63">
        <v>3.1425713898589613E-2</v>
      </c>
      <c r="H63">
        <v>3.1013053419121528E-2</v>
      </c>
      <c r="I63">
        <v>3.1015398756455648E-2</v>
      </c>
      <c r="J63">
        <v>3.0542269425562596E-2</v>
      </c>
    </row>
    <row r="64" spans="2:10" x14ac:dyDescent="0.35">
      <c r="B64" s="56" t="s">
        <v>1706</v>
      </c>
      <c r="C64" s="56"/>
      <c r="D64" s="81">
        <v>3.1343868352262882E-2</v>
      </c>
      <c r="E64" s="81">
        <v>3.2394354805230341E-2</v>
      </c>
      <c r="F64">
        <v>3.3164637629816696E-2</v>
      </c>
      <c r="G64">
        <v>3.1425713898589613E-2</v>
      </c>
      <c r="H64">
        <v>3.1013053419121528E-2</v>
      </c>
      <c r="I64">
        <v>3.1015398756455648E-2</v>
      </c>
      <c r="J64">
        <v>3.0542269425562596E-2</v>
      </c>
    </row>
    <row r="66" spans="2:10" x14ac:dyDescent="0.35">
      <c r="B66" s="1291" t="s">
        <v>232</v>
      </c>
      <c r="C66" s="1291"/>
      <c r="D66" s="1291"/>
      <c r="E66" s="1291"/>
      <c r="F66" s="1291"/>
      <c r="G66" s="1291"/>
      <c r="H66" s="1291"/>
      <c r="I66" s="1291"/>
      <c r="J66" s="1291"/>
    </row>
    <row r="67" spans="2:10" x14ac:dyDescent="0.35">
      <c r="B67" t="s">
        <v>178</v>
      </c>
      <c r="C67" t="s">
        <v>179</v>
      </c>
      <c r="D67" t="s">
        <v>764</v>
      </c>
      <c r="E67" t="s">
        <v>765</v>
      </c>
      <c r="F67" t="s">
        <v>1151</v>
      </c>
      <c r="G67" t="s">
        <v>1152</v>
      </c>
      <c r="H67" t="s">
        <v>1153</v>
      </c>
      <c r="I67" t="s">
        <v>1154</v>
      </c>
      <c r="J67" t="s">
        <v>1155</v>
      </c>
    </row>
    <row r="68" spans="2:10" x14ac:dyDescent="0.35">
      <c r="B68" s="56" t="s">
        <v>192</v>
      </c>
      <c r="C68" s="56" t="s">
        <v>193</v>
      </c>
      <c r="D68" s="80">
        <f t="shared" ref="D68:G68" si="0">D4-D36</f>
        <v>-19.503782766614563</v>
      </c>
      <c r="E68" s="80">
        <f t="shared" si="0"/>
        <v>-19.695961467456812</v>
      </c>
      <c r="F68" s="80">
        <f t="shared" si="0"/>
        <v>-19.890033783168462</v>
      </c>
      <c r="G68" s="80">
        <f t="shared" si="0"/>
        <v>-20.086018372306739</v>
      </c>
      <c r="H68" s="80">
        <f>H4-H36</f>
        <v>-20.283934077279127</v>
      </c>
      <c r="I68" s="80">
        <f>I4-I36</f>
        <v>-20.483799926155029</v>
      </c>
      <c r="J68" s="80">
        <f>J4-J36</f>
        <v>-20.685635134495158</v>
      </c>
    </row>
    <row r="69" spans="2:10" x14ac:dyDescent="0.35">
      <c r="B69" s="56" t="s">
        <v>134</v>
      </c>
      <c r="C69" s="56" t="s">
        <v>194</v>
      </c>
      <c r="D69" s="80">
        <f t="shared" ref="D69:G69" si="1">D5-D37</f>
        <v>0</v>
      </c>
      <c r="E69" s="80">
        <f t="shared" si="1"/>
        <v>0</v>
      </c>
      <c r="F69" s="80">
        <f t="shared" si="1"/>
        <v>0</v>
      </c>
      <c r="G69" s="80">
        <f t="shared" si="1"/>
        <v>0</v>
      </c>
      <c r="H69" s="80">
        <f t="shared" ref="H69:I69" si="2">H5-H37</f>
        <v>0</v>
      </c>
      <c r="I69" s="80">
        <f t="shared" si="2"/>
        <v>0</v>
      </c>
      <c r="J69" s="80">
        <f t="shared" ref="J69" si="3">J5-J37</f>
        <v>0</v>
      </c>
    </row>
    <row r="70" spans="2:10" x14ac:dyDescent="0.35">
      <c r="B70" s="56" t="s">
        <v>195</v>
      </c>
      <c r="C70" s="56" t="s">
        <v>196</v>
      </c>
      <c r="D70" s="80">
        <f t="shared" ref="D70:G70" si="4">D6-D38</f>
        <v>8.2261666092686028</v>
      </c>
      <c r="E70" s="80">
        <f t="shared" si="4"/>
        <v>8.3479277661472224</v>
      </c>
      <c r="F70" s="80">
        <f t="shared" si="4"/>
        <v>8.4979855299061455</v>
      </c>
      <c r="G70" s="80">
        <f t="shared" si="4"/>
        <v>8.5640109459602627</v>
      </c>
      <c r="H70" s="80">
        <f t="shared" ref="H70:I70" si="5">H6-H38</f>
        <v>8.6377536184361361</v>
      </c>
      <c r="I70" s="80">
        <f t="shared" si="5"/>
        <v>8.681484738159952</v>
      </c>
      <c r="J70" s="80">
        <f t="shared" ref="J70" si="6">J6-J38</f>
        <v>8.722643439076819</v>
      </c>
    </row>
    <row r="71" spans="2:10" x14ac:dyDescent="0.35">
      <c r="B71" s="56" t="s">
        <v>197</v>
      </c>
      <c r="C71" s="56" t="s">
        <v>198</v>
      </c>
      <c r="D71" s="80">
        <f t="shared" ref="D71:G71" si="7">D7-D39</f>
        <v>3.1322241062507601</v>
      </c>
      <c r="E71" s="80">
        <f t="shared" si="7"/>
        <v>3.1616491277118257</v>
      </c>
      <c r="F71" s="80">
        <f t="shared" si="7"/>
        <v>3.1919114687075307</v>
      </c>
      <c r="G71" s="80">
        <f t="shared" si="7"/>
        <v>3.2201266892266176</v>
      </c>
      <c r="H71" s="80">
        <f t="shared" ref="H71:I71" si="8">H7-H39</f>
        <v>3.248873544077469</v>
      </c>
      <c r="I71" s="80">
        <f t="shared" si="8"/>
        <v>3.2769275985360764</v>
      </c>
      <c r="J71" s="80">
        <f t="shared" ref="J71" si="9">J7-J39</f>
        <v>3.3043693117010662</v>
      </c>
    </row>
    <row r="72" spans="2:10" x14ac:dyDescent="0.35">
      <c r="B72" s="56" t="s">
        <v>199</v>
      </c>
      <c r="C72" s="56" t="s">
        <v>200</v>
      </c>
      <c r="D72" s="80">
        <f t="shared" ref="D72:G72" si="10">D8-D40</f>
        <v>20.421999999999997</v>
      </c>
      <c r="E72" s="80">
        <f t="shared" si="10"/>
        <v>20.421999999999997</v>
      </c>
      <c r="F72" s="80">
        <f t="shared" si="10"/>
        <v>20.421999999999997</v>
      </c>
      <c r="G72" s="80">
        <f t="shared" si="10"/>
        <v>20.421999999999997</v>
      </c>
      <c r="H72" s="80">
        <f t="shared" ref="H72:I72" si="11">H8-H40</f>
        <v>20.421999999999997</v>
      </c>
      <c r="I72" s="80">
        <f t="shared" si="11"/>
        <v>20.421999999999997</v>
      </c>
      <c r="J72" s="80">
        <f t="shared" ref="J72" si="12">J8-J40</f>
        <v>20.421999999999997</v>
      </c>
    </row>
    <row r="73" spans="2:10" x14ac:dyDescent="0.35">
      <c r="B73" s="56" t="s">
        <v>201</v>
      </c>
      <c r="C73" s="56" t="s">
        <v>202</v>
      </c>
      <c r="D73" s="80">
        <f t="shared" ref="D73:G73" si="13">D9-D41</f>
        <v>0</v>
      </c>
      <c r="E73" s="80">
        <f t="shared" si="13"/>
        <v>0</v>
      </c>
      <c r="F73" s="80">
        <f t="shared" si="13"/>
        <v>0</v>
      </c>
      <c r="G73" s="80">
        <f t="shared" si="13"/>
        <v>0</v>
      </c>
      <c r="H73" s="80">
        <f t="shared" ref="H73:I73" si="14">H9-H41</f>
        <v>0</v>
      </c>
      <c r="I73" s="80">
        <f t="shared" si="14"/>
        <v>0</v>
      </c>
      <c r="J73" s="80">
        <f t="shared" ref="J73" si="15">J9-J41</f>
        <v>0</v>
      </c>
    </row>
    <row r="74" spans="2:10" x14ac:dyDescent="0.35">
      <c r="B74" s="56" t="s">
        <v>203</v>
      </c>
      <c r="C74" s="56" t="s">
        <v>204</v>
      </c>
      <c r="D74" s="80">
        <f t="shared" ref="D74:G74" si="16">D10-D42</f>
        <v>0</v>
      </c>
      <c r="E74" s="80">
        <f t="shared" si="16"/>
        <v>0</v>
      </c>
      <c r="F74" s="80">
        <f t="shared" si="16"/>
        <v>0</v>
      </c>
      <c r="G74" s="80">
        <f t="shared" si="16"/>
        <v>0</v>
      </c>
      <c r="H74" s="80">
        <f t="shared" ref="H74:I74" si="17">H10-H42</f>
        <v>0</v>
      </c>
      <c r="I74" s="80">
        <f t="shared" si="17"/>
        <v>0</v>
      </c>
      <c r="J74" s="80">
        <f t="shared" ref="J74" si="18">J10-J42</f>
        <v>0</v>
      </c>
    </row>
    <row r="75" spans="2:10" x14ac:dyDescent="0.35">
      <c r="B75" s="56" t="s">
        <v>205</v>
      </c>
      <c r="C75" s="56" t="s">
        <v>206</v>
      </c>
      <c r="D75" s="80">
        <f t="shared" ref="D75:G75" si="19">D11-D43</f>
        <v>0</v>
      </c>
      <c r="E75" s="80">
        <f t="shared" si="19"/>
        <v>0</v>
      </c>
      <c r="F75" s="80">
        <f t="shared" si="19"/>
        <v>0</v>
      </c>
      <c r="G75" s="80">
        <f t="shared" si="19"/>
        <v>0</v>
      </c>
      <c r="H75" s="80">
        <f t="shared" ref="H75:I75" si="20">H11-H43</f>
        <v>0</v>
      </c>
      <c r="I75" s="80">
        <f t="shared" si="20"/>
        <v>0</v>
      </c>
      <c r="J75" s="80">
        <f t="shared" ref="J75" si="21">J11-J43</f>
        <v>0</v>
      </c>
    </row>
    <row r="76" spans="2:10" x14ac:dyDescent="0.35">
      <c r="B76" s="56" t="s">
        <v>207</v>
      </c>
      <c r="C76" s="56" t="s">
        <v>208</v>
      </c>
      <c r="D76" s="80">
        <f t="shared" ref="D76:G76" si="22">D12-D44</f>
        <v>11.891330302091092</v>
      </c>
      <c r="E76" s="80">
        <f>E12-E44</f>
        <v>11.930209986279806</v>
      </c>
      <c r="F76" s="80">
        <f t="shared" si="22"/>
        <v>12.081814759253689</v>
      </c>
      <c r="G76" s="80">
        <f t="shared" si="22"/>
        <v>11.901993340291824</v>
      </c>
      <c r="H76" s="80">
        <f t="shared" ref="H76:I76" si="23">H12-H44</f>
        <v>10.272841908332452</v>
      </c>
      <c r="I76" s="80">
        <f t="shared" si="23"/>
        <v>10.320255764690614</v>
      </c>
      <c r="J76" s="80">
        <f t="shared" ref="J76" si="24">J12-J44</f>
        <v>10.425237180784734</v>
      </c>
    </row>
    <row r="77" spans="2:10" x14ac:dyDescent="0.35">
      <c r="B77" s="56" t="s">
        <v>209</v>
      </c>
      <c r="C77" s="56" t="s">
        <v>210</v>
      </c>
      <c r="D77" s="80">
        <f t="shared" ref="D77:G77" si="25">D13-D45</f>
        <v>14.319733760919917</v>
      </c>
      <c r="E77" s="80">
        <f t="shared" si="25"/>
        <v>13.576430196204683</v>
      </c>
      <c r="F77" s="80">
        <f t="shared" si="25"/>
        <v>12.80815683857179</v>
      </c>
      <c r="G77" s="80">
        <f t="shared" si="25"/>
        <v>12.014295756057209</v>
      </c>
      <c r="H77" s="80">
        <f t="shared" ref="H77:I77" si="26">H13-H45</f>
        <v>11.19425947727791</v>
      </c>
      <c r="I77" s="80">
        <f t="shared" si="26"/>
        <v>11.365136715487324</v>
      </c>
      <c r="J77" s="80">
        <f t="shared" ref="J77" si="27">J13-J45</f>
        <v>11.53855385209522</v>
      </c>
    </row>
    <row r="78" spans="2:10" x14ac:dyDescent="0.35">
      <c r="B78" s="56" t="s">
        <v>55</v>
      </c>
      <c r="C78" s="56" t="s">
        <v>211</v>
      </c>
      <c r="D78" s="80">
        <f t="shared" ref="D78:G78" si="28">D14-D46</f>
        <v>2.178230633176554</v>
      </c>
      <c r="E78" s="80">
        <f t="shared" si="28"/>
        <v>2.2108278473433529</v>
      </c>
      <c r="F78" s="80">
        <f t="shared" si="28"/>
        <v>2.243912878711626</v>
      </c>
      <c r="G78" s="80">
        <f t="shared" si="28"/>
        <v>2.2774930274638336</v>
      </c>
      <c r="H78" s="80">
        <f t="shared" ref="H78:I78" si="29">H14-H46</f>
        <v>2.3115757030302575</v>
      </c>
      <c r="I78" s="80">
        <f t="shared" si="29"/>
        <v>2.3464668239817001</v>
      </c>
      <c r="J78" s="80">
        <f t="shared" ref="J78" si="30">J14-J46</f>
        <v>2.3818845944908844</v>
      </c>
    </row>
    <row r="79" spans="2:10" x14ac:dyDescent="0.35">
      <c r="B79" s="56" t="s">
        <v>212</v>
      </c>
      <c r="C79" s="56" t="s">
        <v>213</v>
      </c>
      <c r="D79" s="80">
        <f t="shared" ref="D79:G79" si="31">D15-D47</f>
        <v>0</v>
      </c>
      <c r="E79" s="80">
        <f t="shared" si="31"/>
        <v>0</v>
      </c>
      <c r="F79" s="80">
        <f t="shared" si="31"/>
        <v>0</v>
      </c>
      <c r="G79" s="80">
        <f t="shared" si="31"/>
        <v>0</v>
      </c>
      <c r="H79" s="80">
        <f t="shared" ref="H79:I79" si="32">H15-H47</f>
        <v>0</v>
      </c>
      <c r="I79" s="80">
        <f t="shared" si="32"/>
        <v>0</v>
      </c>
      <c r="J79" s="80">
        <f t="shared" ref="J79" si="33">J15-J47</f>
        <v>0</v>
      </c>
    </row>
    <row r="80" spans="2:10" x14ac:dyDescent="0.35">
      <c r="B80" s="56" t="s">
        <v>214</v>
      </c>
      <c r="C80" s="56" t="s">
        <v>215</v>
      </c>
      <c r="D80" s="80">
        <f t="shared" ref="D80:G80" si="34">D16-D48</f>
        <v>0</v>
      </c>
      <c r="E80" s="80">
        <f t="shared" si="34"/>
        <v>0</v>
      </c>
      <c r="F80" s="80">
        <f t="shared" si="34"/>
        <v>0</v>
      </c>
      <c r="G80" s="80">
        <f t="shared" si="34"/>
        <v>0</v>
      </c>
      <c r="H80" s="80">
        <f t="shared" ref="H80:I80" si="35">H16-H48</f>
        <v>0</v>
      </c>
      <c r="I80" s="80">
        <f t="shared" si="35"/>
        <v>0</v>
      </c>
      <c r="J80" s="80">
        <f t="shared" ref="J80" si="36">J16-J48</f>
        <v>0</v>
      </c>
    </row>
    <row r="81" spans="2:10" x14ac:dyDescent="0.35">
      <c r="B81" s="56" t="s">
        <v>216</v>
      </c>
      <c r="C81" s="56" t="s">
        <v>217</v>
      </c>
      <c r="D81" s="80">
        <f t="shared" ref="D81:G81" si="37">D17-D49</f>
        <v>0</v>
      </c>
      <c r="E81" s="80">
        <f t="shared" si="37"/>
        <v>0</v>
      </c>
      <c r="F81" s="80">
        <f t="shared" si="37"/>
        <v>0</v>
      </c>
      <c r="G81" s="80">
        <f t="shared" si="37"/>
        <v>0</v>
      </c>
      <c r="H81" s="80">
        <f t="shared" ref="H81:I81" si="38">H17-H49</f>
        <v>0</v>
      </c>
      <c r="I81" s="80">
        <f t="shared" si="38"/>
        <v>0</v>
      </c>
      <c r="J81" s="80">
        <f t="shared" ref="J81" si="39">J17-J49</f>
        <v>0</v>
      </c>
    </row>
    <row r="82" spans="2:10" x14ac:dyDescent="0.35">
      <c r="B82" s="56" t="s">
        <v>820</v>
      </c>
      <c r="C82" s="56" t="s">
        <v>219</v>
      </c>
      <c r="D82" s="80">
        <f t="shared" ref="D82:G82" si="40">D18-D50</f>
        <v>0</v>
      </c>
      <c r="E82" s="80">
        <f t="shared" si="40"/>
        <v>0</v>
      </c>
      <c r="F82" s="80">
        <f t="shared" si="40"/>
        <v>0</v>
      </c>
      <c r="G82" s="80">
        <f t="shared" si="40"/>
        <v>0</v>
      </c>
      <c r="H82" s="80">
        <f t="shared" ref="H82:I82" si="41">H18-H50</f>
        <v>0</v>
      </c>
      <c r="I82" s="80">
        <f t="shared" si="41"/>
        <v>0</v>
      </c>
      <c r="J82" s="80">
        <f t="shared" ref="J82" si="42">J18-J50</f>
        <v>0</v>
      </c>
    </row>
    <row r="83" spans="2:10" x14ac:dyDescent="0.35">
      <c r="B83" s="56" t="s">
        <v>220</v>
      </c>
      <c r="C83" s="56" t="s">
        <v>221</v>
      </c>
      <c r="D83" s="80">
        <f t="shared" ref="D83:G83" si="43">D19-D51</f>
        <v>71.400000000000091</v>
      </c>
      <c r="E83" s="80">
        <f>E19-E51</f>
        <v>71.700000000000273</v>
      </c>
      <c r="F83" s="80">
        <f t="shared" si="43"/>
        <v>70.408455499000411</v>
      </c>
      <c r="G83" s="80">
        <f t="shared" si="43"/>
        <v>70.708455499000593</v>
      </c>
      <c r="H83" s="80">
        <f t="shared" ref="H83:I83" si="44">H19-H51</f>
        <v>71.00845549900032</v>
      </c>
      <c r="I83" s="80">
        <f t="shared" si="44"/>
        <v>71.308455498999592</v>
      </c>
      <c r="J83" s="80">
        <f t="shared" ref="J83" si="45">J19-J51</f>
        <v>69.196442474476953</v>
      </c>
    </row>
    <row r="84" spans="2:10" x14ac:dyDescent="0.35">
      <c r="B84" s="56" t="s">
        <v>222</v>
      </c>
      <c r="C84" s="56" t="s">
        <v>223</v>
      </c>
      <c r="D84" s="80">
        <f t="shared" ref="D84:G84" si="46">D20-D52</f>
        <v>0</v>
      </c>
      <c r="E84" s="80">
        <f t="shared" si="46"/>
        <v>0</v>
      </c>
      <c r="F84" s="80">
        <f t="shared" si="46"/>
        <v>0</v>
      </c>
      <c r="G84" s="80">
        <f t="shared" si="46"/>
        <v>0</v>
      </c>
      <c r="H84" s="80">
        <f t="shared" ref="H84:I84" si="47">H20-H52</f>
        <v>0</v>
      </c>
      <c r="I84" s="80">
        <f t="shared" si="47"/>
        <v>0</v>
      </c>
      <c r="J84" s="80">
        <f t="shared" ref="J84" si="48">J20-J52</f>
        <v>0</v>
      </c>
    </row>
    <row r="85" spans="2:10" x14ac:dyDescent="0.35">
      <c r="B85" s="56" t="s">
        <v>224</v>
      </c>
      <c r="C85" s="56" t="s">
        <v>225</v>
      </c>
      <c r="D85" s="80">
        <f t="shared" ref="D85:G85" si="49">D21-D53</f>
        <v>152.31353434000084</v>
      </c>
      <c r="E85" s="80">
        <f t="shared" si="49"/>
        <v>149.25314125687873</v>
      </c>
      <c r="F85" s="80">
        <f t="shared" si="49"/>
        <v>162.64948168846968</v>
      </c>
      <c r="G85" s="80">
        <f t="shared" si="49"/>
        <v>159.75323889099764</v>
      </c>
      <c r="H85" s="80">
        <f t="shared" ref="H85:I85" si="50">H21-H53</f>
        <v>156.90534297705472</v>
      </c>
      <c r="I85" s="80">
        <f t="shared" si="50"/>
        <v>154.10495149994676</v>
      </c>
      <c r="J85" s="80">
        <f t="shared" ref="J85" si="51">J21-J53</f>
        <v>151.35123627836947</v>
      </c>
    </row>
    <row r="86" spans="2:10" x14ac:dyDescent="0.35">
      <c r="B86" s="56" t="s">
        <v>226</v>
      </c>
      <c r="C86" s="56" t="s">
        <v>227</v>
      </c>
      <c r="D86" s="80">
        <f t="shared" ref="D86:G86" si="52">D22-D54</f>
        <v>12.239673605347434</v>
      </c>
      <c r="E86" s="80">
        <f t="shared" si="52"/>
        <v>12.377055265269973</v>
      </c>
      <c r="F86" s="80">
        <f t="shared" si="52"/>
        <v>12.504477477154524</v>
      </c>
      <c r="G86" s="80">
        <f t="shared" si="52"/>
        <v>12.631537997925989</v>
      </c>
      <c r="H86" s="80">
        <f t="shared" ref="H86:I86" si="53">H22-H54</f>
        <v>12.753276100708717</v>
      </c>
      <c r="I86" s="80">
        <f t="shared" si="53"/>
        <v>12.878751077186735</v>
      </c>
      <c r="J86" s="80">
        <f t="shared" ref="J86" si="54">J22-J54</f>
        <v>13.010420719090234</v>
      </c>
    </row>
    <row r="87" spans="2:10" x14ac:dyDescent="0.35">
      <c r="B87" s="56" t="s">
        <v>228</v>
      </c>
      <c r="C87" s="56" t="s">
        <v>229</v>
      </c>
      <c r="D87" s="80">
        <f t="shared" ref="D87:G87" si="55">D23-D55</f>
        <v>0</v>
      </c>
      <c r="E87" s="80">
        <f t="shared" si="55"/>
        <v>0</v>
      </c>
      <c r="F87" s="80">
        <f t="shared" si="55"/>
        <v>0</v>
      </c>
      <c r="G87" s="80">
        <f t="shared" si="55"/>
        <v>0</v>
      </c>
      <c r="H87" s="80">
        <f t="shared" ref="H87:I87" si="56">H23-H55</f>
        <v>0</v>
      </c>
      <c r="I87" s="80">
        <f t="shared" si="56"/>
        <v>0</v>
      </c>
      <c r="J87" s="80">
        <f t="shared" ref="J87" si="57">J23-J55</f>
        <v>0</v>
      </c>
    </row>
    <row r="88" spans="2:10" x14ac:dyDescent="0.35">
      <c r="B88" s="56" t="s">
        <v>230</v>
      </c>
      <c r="C88" s="56" t="s">
        <v>231</v>
      </c>
      <c r="D88" s="80">
        <f t="shared" ref="D88:G88" si="58">D24-D56</f>
        <v>0</v>
      </c>
      <c r="E88" s="80">
        <f t="shared" si="58"/>
        <v>0</v>
      </c>
      <c r="F88" s="80">
        <f t="shared" si="58"/>
        <v>0</v>
      </c>
      <c r="G88" s="80">
        <f t="shared" si="58"/>
        <v>0</v>
      </c>
      <c r="H88" s="80">
        <f t="shared" ref="H88:I88" si="59">H24-H56</f>
        <v>0</v>
      </c>
      <c r="I88" s="80">
        <f t="shared" si="59"/>
        <v>0</v>
      </c>
      <c r="J88" s="80">
        <f t="shared" ref="J88" si="60">J24-J56</f>
        <v>0</v>
      </c>
    </row>
    <row r="89" spans="2:10" x14ac:dyDescent="0.35">
      <c r="B89" s="56" t="s">
        <v>1379</v>
      </c>
      <c r="C89" s="56" t="s">
        <v>1378</v>
      </c>
      <c r="D89" s="80">
        <f t="shared" ref="D89:G89" si="61">D25-D57</f>
        <v>0</v>
      </c>
      <c r="E89" s="80">
        <f t="shared" si="61"/>
        <v>0</v>
      </c>
      <c r="F89" s="80">
        <f t="shared" si="61"/>
        <v>0</v>
      </c>
      <c r="G89" s="80">
        <f t="shared" si="61"/>
        <v>0</v>
      </c>
      <c r="H89" s="80">
        <f t="shared" ref="H89:I89" si="62">H25-H57</f>
        <v>0</v>
      </c>
      <c r="I89" s="80">
        <f t="shared" si="62"/>
        <v>0</v>
      </c>
      <c r="J89" s="80">
        <f t="shared" ref="J89" si="63">J25-J57</f>
        <v>0</v>
      </c>
    </row>
    <row r="90" spans="2:10" x14ac:dyDescent="0.35">
      <c r="B90" s="56"/>
      <c r="C90" s="56"/>
      <c r="D90" s="80"/>
      <c r="E90" s="80"/>
      <c r="F90" s="80"/>
      <c r="G90" s="80"/>
      <c r="H90" s="80"/>
      <c r="I90" s="80"/>
      <c r="J90" s="80"/>
    </row>
    <row r="91" spans="2:10" x14ac:dyDescent="0.35">
      <c r="B91" s="56"/>
      <c r="C91" s="56"/>
      <c r="D91" s="80"/>
      <c r="E91" s="80"/>
      <c r="F91" s="80"/>
      <c r="G91" s="80"/>
      <c r="H91" s="80"/>
      <c r="I91" s="80"/>
      <c r="J91" s="80"/>
    </row>
    <row r="92" spans="2:10" x14ac:dyDescent="0.35">
      <c r="B92" s="69" t="s">
        <v>1888</v>
      </c>
      <c r="C92" s="56"/>
      <c r="D92" s="80"/>
      <c r="E92" s="80"/>
      <c r="F92" s="80"/>
      <c r="G92" s="80"/>
      <c r="H92" s="80"/>
      <c r="I92" s="80"/>
    </row>
    <row r="93" spans="2:10" x14ac:dyDescent="0.35">
      <c r="B93" s="56" t="s">
        <v>1702</v>
      </c>
      <c r="C93" s="56" t="s">
        <v>1889</v>
      </c>
      <c r="D93" s="79">
        <f t="shared" ref="D93:E93" si="64">D28-D60</f>
        <v>0</v>
      </c>
      <c r="E93" s="79">
        <f t="shared" si="64"/>
        <v>0</v>
      </c>
      <c r="F93" s="79">
        <f t="shared" ref="F93:G93" si="65">F28-F60</f>
        <v>0</v>
      </c>
      <c r="G93" s="79">
        <f t="shared" si="65"/>
        <v>0</v>
      </c>
      <c r="H93" s="79">
        <f t="shared" ref="H93:I93" si="66">H28-H60</f>
        <v>0</v>
      </c>
      <c r="I93" s="79">
        <f t="shared" si="66"/>
        <v>0</v>
      </c>
      <c r="J93" s="79">
        <f t="shared" ref="J93" si="67">J28-J60</f>
        <v>0</v>
      </c>
    </row>
    <row r="94" spans="2:10" x14ac:dyDescent="0.35">
      <c r="B94" s="56" t="s">
        <v>1703</v>
      </c>
      <c r="C94" s="56"/>
      <c r="D94" s="79">
        <f t="shared" ref="D94:E94" si="68">D29-D61</f>
        <v>1.0000000000000002E-2</v>
      </c>
      <c r="E94" s="79">
        <f t="shared" si="68"/>
        <v>9.0000000000000011E-3</v>
      </c>
      <c r="F94" s="79">
        <f t="shared" ref="F94:G94" si="69">F29-F61</f>
        <v>0</v>
      </c>
      <c r="G94" s="79">
        <f t="shared" si="69"/>
        <v>0</v>
      </c>
      <c r="H94" s="79">
        <f t="shared" ref="H94:I94" si="70">H29-H61</f>
        <v>0</v>
      </c>
      <c r="I94" s="79">
        <f t="shared" si="70"/>
        <v>0</v>
      </c>
      <c r="J94" s="79">
        <f t="shared" ref="J94" si="71">J29-J61</f>
        <v>0</v>
      </c>
    </row>
    <row r="95" spans="2:10" x14ac:dyDescent="0.35">
      <c r="B95" s="56" t="s">
        <v>1704</v>
      </c>
      <c r="C95" s="56"/>
      <c r="D95" s="79">
        <f t="shared" ref="D95:E95" si="72">D30-D62</f>
        <v>0</v>
      </c>
      <c r="E95" s="79">
        <f t="shared" si="72"/>
        <v>0</v>
      </c>
      <c r="F95" s="79">
        <f t="shared" ref="F95:G95" si="73">F30-F62</f>
        <v>0</v>
      </c>
      <c r="G95" s="79">
        <f t="shared" si="73"/>
        <v>0</v>
      </c>
      <c r="H95" s="79">
        <f t="shared" ref="H95:I95" si="74">H30-H62</f>
        <v>0</v>
      </c>
      <c r="I95" s="79">
        <f t="shared" si="74"/>
        <v>0</v>
      </c>
      <c r="J95" s="79">
        <f t="shared" ref="J95" si="75">J30-J62</f>
        <v>0</v>
      </c>
    </row>
    <row r="96" spans="2:10" x14ac:dyDescent="0.35">
      <c r="B96" s="56" t="s">
        <v>1705</v>
      </c>
      <c r="C96" s="56"/>
      <c r="D96" s="79">
        <f t="shared" ref="D96:E96" si="76">D31-D63</f>
        <v>0</v>
      </c>
      <c r="E96" s="79">
        <f t="shared" si="76"/>
        <v>0</v>
      </c>
      <c r="F96" s="79">
        <f t="shared" ref="F96:G96" si="77">F31-F63</f>
        <v>0</v>
      </c>
      <c r="G96" s="79">
        <f t="shared" si="77"/>
        <v>0</v>
      </c>
      <c r="H96" s="79">
        <f t="shared" ref="H96:I96" si="78">H31-H63</f>
        <v>0</v>
      </c>
      <c r="I96" s="79">
        <f t="shared" si="78"/>
        <v>0</v>
      </c>
      <c r="J96" s="79">
        <f t="shared" ref="J96" si="79">J31-J63</f>
        <v>0</v>
      </c>
    </row>
    <row r="97" spans="2:10" x14ac:dyDescent="0.35">
      <c r="B97" s="56" t="s">
        <v>1706</v>
      </c>
      <c r="C97" s="56"/>
      <c r="D97" s="79">
        <f t="shared" ref="D97:E97" si="80">D32-D64</f>
        <v>0</v>
      </c>
      <c r="E97" s="79">
        <f t="shared" si="80"/>
        <v>0</v>
      </c>
      <c r="F97" s="79">
        <f t="shared" ref="F97:G97" si="81">F32-F64</f>
        <v>0</v>
      </c>
      <c r="G97" s="79">
        <f t="shared" si="81"/>
        <v>0</v>
      </c>
      <c r="H97" s="79">
        <f t="shared" ref="H97:I97" si="82">H32-H64</f>
        <v>0</v>
      </c>
      <c r="I97" s="79">
        <f t="shared" si="82"/>
        <v>0</v>
      </c>
      <c r="J97" s="79">
        <f t="shared" ref="J97" si="83">J32-J64</f>
        <v>0</v>
      </c>
    </row>
    <row r="99" spans="2:10" x14ac:dyDescent="0.35">
      <c r="B99" s="1290" t="s">
        <v>233</v>
      </c>
      <c r="C99" s="1290"/>
      <c r="D99" s="1290"/>
      <c r="E99" s="1290"/>
      <c r="F99" s="1290"/>
      <c r="G99" s="1290"/>
      <c r="H99" s="1290"/>
      <c r="I99" s="1290"/>
      <c r="J99" s="1290"/>
    </row>
    <row r="100" spans="2:10" x14ac:dyDescent="0.35">
      <c r="B100" t="s">
        <v>178</v>
      </c>
      <c r="C100" t="s">
        <v>179</v>
      </c>
      <c r="D100" t="s">
        <v>764</v>
      </c>
      <c r="E100" t="s">
        <v>765</v>
      </c>
      <c r="F100" t="s">
        <v>1151</v>
      </c>
      <c r="G100" t="s">
        <v>1152</v>
      </c>
      <c r="H100" t="s">
        <v>1153</v>
      </c>
      <c r="I100" t="s">
        <v>1154</v>
      </c>
      <c r="J100" t="s">
        <v>1155</v>
      </c>
    </row>
    <row r="101" spans="2:10" x14ac:dyDescent="0.35">
      <c r="B101" t="s">
        <v>192</v>
      </c>
      <c r="C101" t="s">
        <v>193</v>
      </c>
      <c r="D101" s="82">
        <f t="shared" ref="D101:F101" si="84">(D4/D36-1)</f>
        <v>-4.6137646745913474E-2</v>
      </c>
      <c r="E101" s="82">
        <f t="shared" si="84"/>
        <v>-4.6721568357023902E-2</v>
      </c>
      <c r="F101" s="82">
        <f t="shared" si="84"/>
        <v>-4.686304149670284E-2</v>
      </c>
      <c r="G101" s="82">
        <f t="shared" ref="G101:H122" si="85">(G4/G36-1)</f>
        <v>-4.7314334529650059E-2</v>
      </c>
      <c r="H101" s="82">
        <f t="shared" si="85"/>
        <v>-4.7342776689978772E-2</v>
      </c>
      <c r="I101" s="82">
        <f t="shared" ref="I101:J101" si="86">(I4/I36-1)</f>
        <v>-4.7592183549384326E-2</v>
      </c>
      <c r="J101" s="82">
        <f t="shared" si="86"/>
        <v>-4.7730281556670251E-2</v>
      </c>
    </row>
    <row r="102" spans="2:10" x14ac:dyDescent="0.35">
      <c r="B102" t="s">
        <v>134</v>
      </c>
      <c r="C102" t="s">
        <v>194</v>
      </c>
      <c r="D102" s="82">
        <f t="shared" ref="D102:F102" si="87">(D5/D37-1)</f>
        <v>0</v>
      </c>
      <c r="E102" s="82">
        <f t="shared" si="87"/>
        <v>0</v>
      </c>
      <c r="F102" s="82">
        <f t="shared" si="87"/>
        <v>0</v>
      </c>
      <c r="G102" s="82">
        <f t="shared" si="85"/>
        <v>0</v>
      </c>
      <c r="H102" s="82">
        <f t="shared" si="85"/>
        <v>0</v>
      </c>
      <c r="I102" s="82">
        <f t="shared" ref="I102:J102" si="88">(I5/I37-1)</f>
        <v>0</v>
      </c>
      <c r="J102" s="82">
        <f t="shared" si="88"/>
        <v>0</v>
      </c>
    </row>
    <row r="103" spans="2:10" x14ac:dyDescent="0.35">
      <c r="B103" t="s">
        <v>195</v>
      </c>
      <c r="C103" t="s">
        <v>196</v>
      </c>
      <c r="D103" s="82">
        <f t="shared" ref="D103:F103" si="89">(D6/D38-1)</f>
        <v>4.2487265128876572E-3</v>
      </c>
      <c r="E103" s="82">
        <f t="shared" si="89"/>
        <v>4.2487265128876572E-3</v>
      </c>
      <c r="F103" s="82">
        <f t="shared" si="89"/>
        <v>4.2487265128876572E-3</v>
      </c>
      <c r="G103" s="82">
        <f t="shared" si="85"/>
        <v>4.2487265128876572E-3</v>
      </c>
      <c r="H103" s="82">
        <f t="shared" si="85"/>
        <v>4.2487265128876572E-3</v>
      </c>
      <c r="I103" s="82">
        <f t="shared" ref="I103:J103" si="90">(I6/I38-1)</f>
        <v>4.2487265128876572E-3</v>
      </c>
      <c r="J103" s="82">
        <f t="shared" si="90"/>
        <v>4.2487265128876572E-3</v>
      </c>
    </row>
    <row r="104" spans="2:10" x14ac:dyDescent="0.35">
      <c r="B104" t="s">
        <v>197</v>
      </c>
      <c r="C104" t="s">
        <v>198</v>
      </c>
      <c r="D104" s="82">
        <f t="shared" ref="D104:F104" si="91">(D7/D39-1)</f>
        <v>9.5565189082136293E-4</v>
      </c>
      <c r="E104" s="82">
        <f t="shared" si="91"/>
        <v>9.5565189082136293E-4</v>
      </c>
      <c r="F104" s="82">
        <f t="shared" si="91"/>
        <v>9.5565189082136293E-4</v>
      </c>
      <c r="G104" s="82">
        <f t="shared" si="85"/>
        <v>9.5565189082136293E-4</v>
      </c>
      <c r="H104" s="82">
        <f t="shared" si="85"/>
        <v>9.5565189082136293E-4</v>
      </c>
      <c r="I104" s="82">
        <f t="shared" ref="I104:J104" si="92">(I7/I39-1)</f>
        <v>9.5565189082136293E-4</v>
      </c>
      <c r="J104" s="82">
        <f t="shared" si="92"/>
        <v>9.5565189082136293E-4</v>
      </c>
    </row>
    <row r="105" spans="2:10" x14ac:dyDescent="0.35">
      <c r="B105" t="s">
        <v>199</v>
      </c>
      <c r="C105" t="s">
        <v>200</v>
      </c>
      <c r="D105" s="82">
        <f t="shared" ref="D105:F105" si="93">(D8/D40-1)</f>
        <v>0.2105816723208116</v>
      </c>
      <c r="E105" s="82">
        <f t="shared" si="93"/>
        <v>0.20156339446100402</v>
      </c>
      <c r="F105" s="82">
        <f t="shared" si="93"/>
        <v>0.20593336560180697</v>
      </c>
      <c r="G105" s="82">
        <f t="shared" si="85"/>
        <v>0.20593336560180697</v>
      </c>
      <c r="H105" s="82">
        <f t="shared" si="85"/>
        <v>0.20593336560180697</v>
      </c>
      <c r="I105" s="82">
        <f t="shared" ref="I105:J105" si="94">(I8/I40-1)</f>
        <v>0.20593336560180697</v>
      </c>
      <c r="J105" s="82">
        <f t="shared" si="94"/>
        <v>0.20593336560180697</v>
      </c>
    </row>
    <row r="106" spans="2:10" x14ac:dyDescent="0.35">
      <c r="B106" t="s">
        <v>201</v>
      </c>
      <c r="C106" t="s">
        <v>202</v>
      </c>
      <c r="D106" s="82">
        <f t="shared" ref="D106:F106" si="95">(D9/D41-1)</f>
        <v>0</v>
      </c>
      <c r="E106" s="82">
        <f t="shared" si="95"/>
        <v>0</v>
      </c>
      <c r="F106" s="82" t="e">
        <f t="shared" si="95"/>
        <v>#DIV/0!</v>
      </c>
      <c r="G106" s="82" t="e">
        <f t="shared" si="85"/>
        <v>#DIV/0!</v>
      </c>
      <c r="H106" s="82" t="e">
        <f t="shared" si="85"/>
        <v>#DIV/0!</v>
      </c>
      <c r="I106" s="82" t="e">
        <f t="shared" ref="I106:J106" si="96">(I9/I41-1)</f>
        <v>#DIV/0!</v>
      </c>
      <c r="J106" s="82" t="e">
        <f t="shared" si="96"/>
        <v>#DIV/0!</v>
      </c>
    </row>
    <row r="107" spans="2:10" x14ac:dyDescent="0.35">
      <c r="B107" t="s">
        <v>203</v>
      </c>
      <c r="C107" t="s">
        <v>204</v>
      </c>
      <c r="D107" s="82" t="e">
        <f t="shared" ref="D107:F107" si="97">(D10/D42-1)</f>
        <v>#DIV/0!</v>
      </c>
      <c r="E107" s="82" t="e">
        <f t="shared" si="97"/>
        <v>#DIV/0!</v>
      </c>
      <c r="F107" s="82" t="e">
        <f t="shared" si="97"/>
        <v>#DIV/0!</v>
      </c>
      <c r="G107" s="82" t="e">
        <f t="shared" si="85"/>
        <v>#DIV/0!</v>
      </c>
      <c r="H107" s="82" t="e">
        <f t="shared" si="85"/>
        <v>#DIV/0!</v>
      </c>
      <c r="I107" s="82" t="e">
        <f t="shared" ref="I107:J107" si="98">(I10/I42-1)</f>
        <v>#DIV/0!</v>
      </c>
      <c r="J107" s="82" t="e">
        <f t="shared" si="98"/>
        <v>#DIV/0!</v>
      </c>
    </row>
    <row r="108" spans="2:10" x14ac:dyDescent="0.35">
      <c r="B108" t="s">
        <v>205</v>
      </c>
      <c r="C108" t="s">
        <v>206</v>
      </c>
      <c r="D108" s="82">
        <f t="shared" ref="D108:F108" si="99">(D11/D43-1)</f>
        <v>0</v>
      </c>
      <c r="E108" s="82">
        <f t="shared" si="99"/>
        <v>0</v>
      </c>
      <c r="F108" s="82">
        <f t="shared" si="99"/>
        <v>0</v>
      </c>
      <c r="G108" s="82">
        <f t="shared" si="85"/>
        <v>0</v>
      </c>
      <c r="H108" s="82">
        <f t="shared" si="85"/>
        <v>0</v>
      </c>
      <c r="I108" s="82">
        <f t="shared" ref="I108:J108" si="100">(I11/I43-1)</f>
        <v>0</v>
      </c>
      <c r="J108" s="82">
        <f t="shared" si="100"/>
        <v>0</v>
      </c>
    </row>
    <row r="109" spans="2:10" x14ac:dyDescent="0.35">
      <c r="B109" t="s">
        <v>207</v>
      </c>
      <c r="C109" t="s">
        <v>208</v>
      </c>
      <c r="D109" s="82">
        <f t="shared" ref="D109:F109" si="101">(D12/D44-1)</f>
        <v>1.7606739482826761E-2</v>
      </c>
      <c r="E109" s="82">
        <f t="shared" si="101"/>
        <v>1.7416222125157477E-2</v>
      </c>
      <c r="F109" s="82">
        <f t="shared" si="101"/>
        <v>1.7429530368241908E-2</v>
      </c>
      <c r="G109" s="82">
        <f t="shared" si="85"/>
        <v>1.6858077532546645E-2</v>
      </c>
      <c r="H109" s="82">
        <f t="shared" si="85"/>
        <v>1.4332441804546736E-2</v>
      </c>
      <c r="I109" s="82">
        <f t="shared" ref="I109:J109" si="102">(I12/I44-1)</f>
        <v>1.4437600019884922E-2</v>
      </c>
      <c r="J109" s="82">
        <f t="shared" si="102"/>
        <v>1.4370055932483083E-2</v>
      </c>
    </row>
    <row r="110" spans="2:10" x14ac:dyDescent="0.35">
      <c r="B110" t="s">
        <v>209</v>
      </c>
      <c r="C110" t="s">
        <v>210</v>
      </c>
      <c r="D110" s="82">
        <f t="shared" ref="D110:F110" si="103">(D13/D45-1)</f>
        <v>1.452837203574231E-2</v>
      </c>
      <c r="E110" s="82">
        <f t="shared" si="103"/>
        <v>1.3568391611885611E-2</v>
      </c>
      <c r="F110" s="82">
        <f t="shared" si="103"/>
        <v>1.2608709942095953E-2</v>
      </c>
      <c r="G110" s="82">
        <f t="shared" si="85"/>
        <v>1.1649936932160765E-2</v>
      </c>
      <c r="H110" s="82">
        <f t="shared" si="85"/>
        <v>1.069207172172959E-2</v>
      </c>
      <c r="I110" s="82">
        <f t="shared" ref="I110:J110" si="104">(I13/I45-1)</f>
        <v>1.0884691421424675E-2</v>
      </c>
      <c r="J110" s="82">
        <f t="shared" si="104"/>
        <v>1.0888318274443476E-2</v>
      </c>
    </row>
    <row r="111" spans="2:10" x14ac:dyDescent="0.35">
      <c r="B111" t="s">
        <v>55</v>
      </c>
      <c r="C111" t="s">
        <v>211</v>
      </c>
      <c r="D111" s="82">
        <f t="shared" ref="D111:F111" si="105">(D14/D46-1)</f>
        <v>1.8228238941553343E-3</v>
      </c>
      <c r="E111" s="82">
        <f t="shared" si="105"/>
        <v>1.8228238941553343E-3</v>
      </c>
      <c r="F111" s="82">
        <f t="shared" si="105"/>
        <v>1.8228238941553343E-3</v>
      </c>
      <c r="G111" s="82">
        <f t="shared" si="85"/>
        <v>1.8228238941553343E-3</v>
      </c>
      <c r="H111" s="82">
        <f t="shared" si="85"/>
        <v>1.8228238941551123E-3</v>
      </c>
      <c r="I111" s="82">
        <f t="shared" ref="I111:J111" si="106">(I14/I46-1)</f>
        <v>1.8228238941551123E-3</v>
      </c>
      <c r="J111" s="82">
        <f t="shared" si="106"/>
        <v>1.8228238941553343E-3</v>
      </c>
    </row>
    <row r="112" spans="2:10" x14ac:dyDescent="0.35">
      <c r="B112" t="s">
        <v>212</v>
      </c>
      <c r="C112" t="s">
        <v>213</v>
      </c>
      <c r="D112" s="82" t="e">
        <f t="shared" ref="D112:F112" si="107">(D15/D47-1)</f>
        <v>#DIV/0!</v>
      </c>
      <c r="E112" s="82" t="e">
        <f t="shared" si="107"/>
        <v>#DIV/0!</v>
      </c>
      <c r="F112" s="82" t="e">
        <f t="shared" si="107"/>
        <v>#DIV/0!</v>
      </c>
      <c r="G112" s="82" t="e">
        <f t="shared" si="85"/>
        <v>#DIV/0!</v>
      </c>
      <c r="H112" s="82" t="e">
        <f t="shared" si="85"/>
        <v>#DIV/0!</v>
      </c>
      <c r="I112" s="82" t="e">
        <f t="shared" ref="I112:J112" si="108">(I15/I47-1)</f>
        <v>#DIV/0!</v>
      </c>
      <c r="J112" s="82" t="e">
        <f t="shared" si="108"/>
        <v>#DIV/0!</v>
      </c>
    </row>
    <row r="113" spans="2:10" x14ac:dyDescent="0.35">
      <c r="B113" t="s">
        <v>214</v>
      </c>
      <c r="C113" t="s">
        <v>215</v>
      </c>
      <c r="D113" s="82" t="e">
        <f t="shared" ref="D113:F113" si="109">(D16/D48-1)</f>
        <v>#DIV/0!</v>
      </c>
      <c r="E113" s="82" t="e">
        <f t="shared" si="109"/>
        <v>#DIV/0!</v>
      </c>
      <c r="F113" s="82" t="e">
        <f t="shared" si="109"/>
        <v>#DIV/0!</v>
      </c>
      <c r="G113" s="82" t="e">
        <f t="shared" si="85"/>
        <v>#DIV/0!</v>
      </c>
      <c r="H113" s="82" t="e">
        <f t="shared" si="85"/>
        <v>#DIV/0!</v>
      </c>
      <c r="I113" s="82" t="e">
        <f t="shared" ref="I113:J113" si="110">(I16/I48-1)</f>
        <v>#DIV/0!</v>
      </c>
      <c r="J113" s="82" t="e">
        <f t="shared" si="110"/>
        <v>#DIV/0!</v>
      </c>
    </row>
    <row r="114" spans="2:10" x14ac:dyDescent="0.35">
      <c r="B114" t="s">
        <v>216</v>
      </c>
      <c r="C114" t="s">
        <v>217</v>
      </c>
      <c r="D114" s="82">
        <f t="shared" ref="D114:F114" si="111">(D17/D49-1)</f>
        <v>0</v>
      </c>
      <c r="E114" s="82">
        <f t="shared" si="111"/>
        <v>0</v>
      </c>
      <c r="F114" s="82" t="e">
        <f t="shared" si="111"/>
        <v>#DIV/0!</v>
      </c>
      <c r="G114" s="82" t="e">
        <f t="shared" si="85"/>
        <v>#DIV/0!</v>
      </c>
      <c r="H114" s="82" t="e">
        <f t="shared" si="85"/>
        <v>#DIV/0!</v>
      </c>
      <c r="I114" s="82" t="e">
        <f t="shared" ref="I114:J114" si="112">(I17/I49-1)</f>
        <v>#DIV/0!</v>
      </c>
      <c r="J114" s="82" t="e">
        <f t="shared" si="112"/>
        <v>#DIV/0!</v>
      </c>
    </row>
    <row r="115" spans="2:10" x14ac:dyDescent="0.35">
      <c r="B115" t="s">
        <v>218</v>
      </c>
      <c r="C115" t="s">
        <v>219</v>
      </c>
      <c r="D115" s="82">
        <f t="shared" ref="D115:F115" si="113">(D18/D50-1)</f>
        <v>0</v>
      </c>
      <c r="E115" s="82">
        <f t="shared" si="113"/>
        <v>0</v>
      </c>
      <c r="F115" s="82" t="e">
        <f t="shared" si="113"/>
        <v>#DIV/0!</v>
      </c>
      <c r="G115" s="82" t="e">
        <f t="shared" si="85"/>
        <v>#DIV/0!</v>
      </c>
      <c r="H115" s="82" t="e">
        <f t="shared" si="85"/>
        <v>#DIV/0!</v>
      </c>
      <c r="I115" s="82" t="e">
        <f t="shared" ref="I115:J115" si="114">(I18/I50-1)</f>
        <v>#DIV/0!</v>
      </c>
      <c r="J115" s="82" t="e">
        <f t="shared" si="114"/>
        <v>#DIV/0!</v>
      </c>
    </row>
    <row r="116" spans="2:10" x14ac:dyDescent="0.35">
      <c r="B116" t="s">
        <v>220</v>
      </c>
      <c r="C116" t="s">
        <v>221</v>
      </c>
      <c r="D116" s="82">
        <f t="shared" ref="D116:F116" si="115">(D19/D51-1)</f>
        <v>3.137498912421588E-2</v>
      </c>
      <c r="E116" s="82">
        <f t="shared" si="115"/>
        <v>3.1750980206341595E-2</v>
      </c>
      <c r="F116" s="82">
        <f t="shared" si="115"/>
        <v>3.0566453295619134E-2</v>
      </c>
      <c r="G116" s="82">
        <f t="shared" si="85"/>
        <v>3.0617313154462922E-2</v>
      </c>
      <c r="H116" s="82">
        <f t="shared" si="85"/>
        <v>3.0645040026329839E-2</v>
      </c>
      <c r="I116" s="82">
        <f t="shared" ref="I116:J116" si="116">(I19/I51-1)</f>
        <v>3.0780554880135425E-2</v>
      </c>
      <c r="J116" s="82">
        <f t="shared" si="116"/>
        <v>2.9255518981204931E-2</v>
      </c>
    </row>
    <row r="117" spans="2:10" x14ac:dyDescent="0.35">
      <c r="B117" t="s">
        <v>222</v>
      </c>
      <c r="C117" t="s">
        <v>223</v>
      </c>
      <c r="D117" s="82">
        <f t="shared" ref="D117:F117" si="117">(D20/D52-1)</f>
        <v>0</v>
      </c>
      <c r="E117" s="82">
        <f t="shared" si="117"/>
        <v>0</v>
      </c>
      <c r="F117" s="82">
        <f t="shared" si="117"/>
        <v>0</v>
      </c>
      <c r="G117" s="82">
        <f t="shared" si="85"/>
        <v>0</v>
      </c>
      <c r="H117" s="82">
        <f t="shared" si="85"/>
        <v>0</v>
      </c>
      <c r="I117" s="82">
        <f t="shared" ref="I117:J117" si="118">(I20/I52-1)</f>
        <v>0</v>
      </c>
      <c r="J117" s="82">
        <f t="shared" si="118"/>
        <v>0</v>
      </c>
    </row>
    <row r="118" spans="2:10" x14ac:dyDescent="0.35">
      <c r="B118" t="s">
        <v>224</v>
      </c>
      <c r="C118" t="s">
        <v>225</v>
      </c>
      <c r="D118" s="82">
        <f t="shared" ref="D118:F118" si="119">(D21/D53-1)</f>
        <v>3.2178520502605501E-2</v>
      </c>
      <c r="E118" s="82">
        <f t="shared" si="119"/>
        <v>3.1374260813161525E-2</v>
      </c>
      <c r="F118" s="82">
        <f t="shared" si="119"/>
        <v>3.4381355690287663E-2</v>
      </c>
      <c r="G118" s="82">
        <f t="shared" si="85"/>
        <v>3.3539110185996091E-2</v>
      </c>
      <c r="H118" s="82">
        <f t="shared" si="85"/>
        <v>3.2715778728932277E-2</v>
      </c>
      <c r="I118" s="82">
        <f t="shared" ref="I118:J118" si="120">(I21/I53-1)</f>
        <v>3.1910977682800823E-2</v>
      </c>
      <c r="J118" s="82">
        <f t="shared" si="120"/>
        <v>3.0514534626135292E-2</v>
      </c>
    </row>
    <row r="119" spans="2:10" x14ac:dyDescent="0.35">
      <c r="B119" t="s">
        <v>226</v>
      </c>
      <c r="C119" t="s">
        <v>227</v>
      </c>
      <c r="D119" s="82">
        <f t="shared" ref="D119:F119" si="121">(D22/D54-1)</f>
        <v>4.7108675287506063E-3</v>
      </c>
      <c r="E119" s="82">
        <f t="shared" si="121"/>
        <v>4.7152806405250658E-3</v>
      </c>
      <c r="F119" s="82">
        <f t="shared" si="121"/>
        <v>4.7196671634874843E-3</v>
      </c>
      <c r="G119" s="82">
        <f t="shared" si="85"/>
        <v>4.7220889685777312E-3</v>
      </c>
      <c r="H119" s="82">
        <f t="shared" si="85"/>
        <v>4.7263900392993108E-3</v>
      </c>
      <c r="I119" s="82">
        <f t="shared" ref="I119:J119" si="122">(I22/I54-1)</f>
        <v>4.7286228365557292E-3</v>
      </c>
      <c r="J119" s="82">
        <f t="shared" si="122"/>
        <v>4.7306009121996784E-3</v>
      </c>
    </row>
    <row r="120" spans="2:10" x14ac:dyDescent="0.35">
      <c r="B120" t="s">
        <v>228</v>
      </c>
      <c r="C120" t="s">
        <v>229</v>
      </c>
      <c r="D120" s="82">
        <f t="shared" ref="D120:F120" si="123">(D23/D55-1)</f>
        <v>0</v>
      </c>
      <c r="E120" s="82">
        <f t="shared" si="123"/>
        <v>0</v>
      </c>
      <c r="F120" s="82">
        <f t="shared" si="123"/>
        <v>0</v>
      </c>
      <c r="G120" s="82">
        <f t="shared" si="85"/>
        <v>0</v>
      </c>
      <c r="H120" s="82">
        <f t="shared" si="85"/>
        <v>0</v>
      </c>
      <c r="I120" s="82">
        <f t="shared" ref="I120:J120" si="124">(I23/I55-1)</f>
        <v>0</v>
      </c>
      <c r="J120" s="82">
        <f t="shared" si="124"/>
        <v>0</v>
      </c>
    </row>
    <row r="121" spans="2:10" x14ac:dyDescent="0.35">
      <c r="B121" t="s">
        <v>230</v>
      </c>
      <c r="C121" t="s">
        <v>231</v>
      </c>
      <c r="D121" s="82">
        <f t="shared" ref="D121:F121" si="125">(D24/D56-1)</f>
        <v>0</v>
      </c>
      <c r="E121" s="82">
        <f t="shared" si="125"/>
        <v>0</v>
      </c>
      <c r="F121" s="82">
        <f t="shared" si="125"/>
        <v>0</v>
      </c>
      <c r="G121" s="82">
        <f t="shared" si="85"/>
        <v>0</v>
      </c>
      <c r="H121" s="82">
        <f t="shared" si="85"/>
        <v>0</v>
      </c>
      <c r="I121" s="82">
        <f t="shared" ref="I121:J121" si="126">(I24/I56-1)</f>
        <v>0</v>
      </c>
      <c r="J121" s="82">
        <f t="shared" si="126"/>
        <v>0</v>
      </c>
    </row>
    <row r="122" spans="2:10" x14ac:dyDescent="0.35">
      <c r="B122" s="56" t="s">
        <v>1379</v>
      </c>
      <c r="C122" s="56" t="s">
        <v>1378</v>
      </c>
      <c r="D122" s="82">
        <f t="shared" ref="D122:F122" si="127">(D25/D57-1)</f>
        <v>0</v>
      </c>
      <c r="E122" s="82">
        <f t="shared" si="127"/>
        <v>0</v>
      </c>
      <c r="F122" s="82">
        <f t="shared" si="127"/>
        <v>0</v>
      </c>
      <c r="G122" s="82">
        <f t="shared" si="85"/>
        <v>0</v>
      </c>
      <c r="H122" s="82" t="e">
        <f t="shared" si="85"/>
        <v>#DIV/0!</v>
      </c>
      <c r="I122" s="82" t="e">
        <f t="shared" ref="I122:J122" si="128">(I25/I57-1)</f>
        <v>#DIV/0!</v>
      </c>
      <c r="J122" s="82" t="e">
        <f t="shared" si="128"/>
        <v>#DIV/0!</v>
      </c>
    </row>
    <row r="123" spans="2:10" x14ac:dyDescent="0.35">
      <c r="B123" s="56"/>
    </row>
    <row r="124" spans="2:10" x14ac:dyDescent="0.35">
      <c r="B124" s="69" t="s">
        <v>1888</v>
      </c>
    </row>
    <row r="125" spans="2:10" x14ac:dyDescent="0.35">
      <c r="B125" s="56" t="s">
        <v>1702</v>
      </c>
      <c r="D125" s="82">
        <f t="shared" ref="D125:F125" si="129">(D28/D60-1)</f>
        <v>0</v>
      </c>
      <c r="E125" s="82">
        <f t="shared" si="129"/>
        <v>0</v>
      </c>
      <c r="F125" s="82">
        <f t="shared" si="129"/>
        <v>0</v>
      </c>
      <c r="G125" s="82">
        <f t="shared" ref="G125:H129" si="130">(G28/G60-1)</f>
        <v>0</v>
      </c>
      <c r="H125" s="82">
        <f t="shared" si="130"/>
        <v>0</v>
      </c>
      <c r="I125" s="82">
        <f t="shared" ref="I125:J125" si="131">(I28/I60-1)</f>
        <v>0</v>
      </c>
      <c r="J125" s="82">
        <f t="shared" si="131"/>
        <v>0</v>
      </c>
    </row>
    <row r="126" spans="2:10" x14ac:dyDescent="0.35">
      <c r="B126" s="56" t="s">
        <v>1703</v>
      </c>
      <c r="D126" s="82">
        <f t="shared" ref="D126:F126" si="132">(D29/D61-1)</f>
        <v>0.67890189532221279</v>
      </c>
      <c r="E126" s="82">
        <f t="shared" si="132"/>
        <v>0.59525370037683301</v>
      </c>
      <c r="F126" s="82">
        <f t="shared" si="132"/>
        <v>0</v>
      </c>
      <c r="G126" s="82">
        <f t="shared" si="130"/>
        <v>0</v>
      </c>
      <c r="H126" s="82">
        <f t="shared" si="130"/>
        <v>0</v>
      </c>
      <c r="I126" s="82">
        <f t="shared" ref="I126:J126" si="133">(I29/I61-1)</f>
        <v>0</v>
      </c>
      <c r="J126" s="82">
        <f t="shared" si="133"/>
        <v>0</v>
      </c>
    </row>
    <row r="127" spans="2:10" x14ac:dyDescent="0.35">
      <c r="B127" s="56" t="s">
        <v>1704</v>
      </c>
      <c r="D127" s="82">
        <f t="shared" ref="D127:F127" si="134">(D30/D62-1)</f>
        <v>0</v>
      </c>
      <c r="E127" s="82">
        <f t="shared" si="134"/>
        <v>0</v>
      </c>
      <c r="F127" s="82">
        <f t="shared" si="134"/>
        <v>0</v>
      </c>
      <c r="G127" s="82">
        <f t="shared" si="130"/>
        <v>0</v>
      </c>
      <c r="H127" s="82">
        <f t="shared" si="130"/>
        <v>0</v>
      </c>
      <c r="I127" s="82">
        <f t="shared" ref="I127:J127" si="135">(I30/I62-1)</f>
        <v>0</v>
      </c>
      <c r="J127" s="82">
        <f t="shared" si="135"/>
        <v>0</v>
      </c>
    </row>
    <row r="128" spans="2:10" x14ac:dyDescent="0.35">
      <c r="B128" s="56" t="s">
        <v>1705</v>
      </c>
      <c r="D128" s="82">
        <f t="shared" ref="D128:F128" si="136">(D31/D63-1)</f>
        <v>0</v>
      </c>
      <c r="E128" s="82">
        <f t="shared" si="136"/>
        <v>0</v>
      </c>
      <c r="F128" s="82">
        <f t="shared" si="136"/>
        <v>0</v>
      </c>
      <c r="G128" s="82">
        <f t="shared" si="130"/>
        <v>0</v>
      </c>
      <c r="H128" s="82">
        <f t="shared" si="130"/>
        <v>0</v>
      </c>
      <c r="I128" s="82">
        <f t="shared" ref="I128:J128" si="137">(I31/I63-1)</f>
        <v>0</v>
      </c>
      <c r="J128" s="82">
        <f t="shared" si="137"/>
        <v>0</v>
      </c>
    </row>
    <row r="129" spans="2:10" x14ac:dyDescent="0.35">
      <c r="B129" s="56" t="s">
        <v>1706</v>
      </c>
      <c r="D129" s="82">
        <f t="shared" ref="D129:F129" si="138">(D32/D64-1)</f>
        <v>0</v>
      </c>
      <c r="E129" s="82">
        <f t="shared" si="138"/>
        <v>0</v>
      </c>
      <c r="F129" s="82">
        <f t="shared" si="138"/>
        <v>0</v>
      </c>
      <c r="G129" s="82">
        <f t="shared" si="130"/>
        <v>0</v>
      </c>
      <c r="H129" s="82">
        <f t="shared" si="130"/>
        <v>0</v>
      </c>
      <c r="I129" s="82">
        <f t="shared" ref="I129:J129" si="139">(I32/I64-1)</f>
        <v>0</v>
      </c>
      <c r="J129" s="82">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293" t="s">
        <v>1804</v>
      </c>
      <c r="B2" s="1293"/>
      <c r="C2" s="1293"/>
      <c r="D2" s="1293"/>
      <c r="E2" s="1293"/>
      <c r="F2" s="1293"/>
      <c r="G2" s="1293"/>
      <c r="H2" s="1293"/>
      <c r="I2" s="1293"/>
      <c r="J2" s="1293"/>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2"/>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2"/>
    </row>
    <row r="4" spans="1:38" ht="15" customHeight="1" x14ac:dyDescent="0.35">
      <c r="A4" s="1294"/>
      <c r="B4" s="1294"/>
      <c r="C4" s="1294"/>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2"/>
    </row>
    <row r="5" spans="1:38" x14ac:dyDescent="0.35">
      <c r="A5" s="1295" t="s">
        <v>813</v>
      </c>
      <c r="B5" s="1298"/>
      <c r="C5" s="1301" t="s">
        <v>891</v>
      </c>
      <c r="D5" s="1301" t="s">
        <v>891</v>
      </c>
      <c r="E5" s="1301" t="s">
        <v>891</v>
      </c>
      <c r="F5" s="1301" t="s">
        <v>891</v>
      </c>
      <c r="G5" s="1301" t="s">
        <v>891</v>
      </c>
      <c r="H5" s="1301" t="s">
        <v>891</v>
      </c>
      <c r="I5" s="1301" t="s">
        <v>891</v>
      </c>
      <c r="J5" s="1302"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2"/>
    </row>
    <row r="6" spans="1:38" x14ac:dyDescent="0.35">
      <c r="A6" s="1296" t="s">
        <v>813</v>
      </c>
      <c r="B6" s="1299"/>
      <c r="C6" s="1303">
        <v>2022</v>
      </c>
      <c r="D6" s="1304"/>
      <c r="E6" s="1304"/>
      <c r="F6" s="1304"/>
      <c r="G6" s="1304"/>
      <c r="H6" s="1305"/>
      <c r="I6" s="1303">
        <v>2023</v>
      </c>
      <c r="J6" s="1304">
        <v>2023</v>
      </c>
      <c r="K6" s="1305">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2"/>
    </row>
    <row r="7" spans="1:38" ht="32.5" customHeight="1" x14ac:dyDescent="0.35">
      <c r="A7" s="1297" t="s">
        <v>813</v>
      </c>
      <c r="B7" s="1300"/>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2"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2">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2">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2">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2">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2">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2">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2">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2">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2">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2">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2">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2">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2">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2">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2">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2">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2">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2">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2">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2">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2">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2">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3">
        <v>1583.9</v>
      </c>
      <c r="AM30" s="94">
        <f>'Social Benefits'!AE68</f>
        <v>1600.202</v>
      </c>
      <c r="AN30" s="95"/>
    </row>
    <row r="31" spans="1:40" ht="17.5" customHeight="1" x14ac:dyDescent="0.35">
      <c r="A31" s="1239">
        <v>23</v>
      </c>
      <c r="B31" s="1240" t="s">
        <v>2329</v>
      </c>
      <c r="C31" s="1241">
        <v>1211.0999999999999</v>
      </c>
      <c r="D31" s="1241">
        <v>1215.9000000000001</v>
      </c>
      <c r="E31" s="1242">
        <v>1216.9000000000001</v>
      </c>
      <c r="F31" s="1243">
        <v>1229.0999999999999</v>
      </c>
      <c r="G31" s="1243">
        <v>1224.3</v>
      </c>
      <c r="H31" s="1243">
        <v>1223.5999999999999</v>
      </c>
      <c r="I31" s="1244">
        <v>1335.4</v>
      </c>
      <c r="J31" s="1243">
        <v>1340.1</v>
      </c>
      <c r="K31" s="1244">
        <v>1344.5</v>
      </c>
      <c r="L31" s="1245">
        <v>1349.9</v>
      </c>
      <c r="M31" s="1246">
        <v>1354.7</v>
      </c>
      <c r="N31" s="1247">
        <v>1356.7</v>
      </c>
      <c r="O31" s="1248">
        <v>1358.3</v>
      </c>
      <c r="P31" s="1246">
        <v>1362.1</v>
      </c>
      <c r="Q31" s="1247">
        <v>1363.4</v>
      </c>
      <c r="R31" s="1245">
        <v>1378.6</v>
      </c>
      <c r="S31" s="1246">
        <v>1370.3</v>
      </c>
      <c r="T31" s="1249">
        <v>1373.8</v>
      </c>
      <c r="U31" s="1248">
        <v>1421.9</v>
      </c>
      <c r="V31" s="1246">
        <v>1425</v>
      </c>
      <c r="W31" s="1249">
        <v>1432.7</v>
      </c>
      <c r="X31" s="1245">
        <v>1435.9</v>
      </c>
      <c r="Y31" s="1246">
        <v>1438.7</v>
      </c>
      <c r="Z31" s="1249">
        <v>1444.6</v>
      </c>
      <c r="AA31" s="1245">
        <v>1448.8</v>
      </c>
      <c r="AB31" s="1246">
        <v>1452.8</v>
      </c>
      <c r="AC31" s="1250">
        <v>1457.8</v>
      </c>
      <c r="AD31" s="1245">
        <v>1470.6</v>
      </c>
      <c r="AE31" s="1246">
        <v>1466.8</v>
      </c>
      <c r="AF31" s="1251">
        <v>1466.3</v>
      </c>
      <c r="AG31" s="1252">
        <v>1503.3</v>
      </c>
      <c r="AH31" s="1253">
        <v>1513.6</v>
      </c>
      <c r="AI31" s="1251">
        <v>1569.4</v>
      </c>
      <c r="AJ31" s="1254">
        <v>1677</v>
      </c>
      <c r="AK31" s="1255">
        <v>1554.6</v>
      </c>
      <c r="AL31" s="1256">
        <v>1597.07</v>
      </c>
      <c r="AM31" s="1238"/>
      <c r="AN31" s="95"/>
    </row>
    <row r="32" spans="1:40" ht="17.5" customHeight="1" x14ac:dyDescent="0.35">
      <c r="A32" s="1239"/>
      <c r="B32" s="1240"/>
      <c r="C32" s="1241"/>
      <c r="D32" s="1241"/>
      <c r="E32" s="1242"/>
      <c r="F32" s="1243"/>
      <c r="G32" s="1243"/>
      <c r="H32" s="1243"/>
      <c r="I32" s="1244"/>
      <c r="J32" s="1243"/>
      <c r="K32" s="1244"/>
      <c r="L32" s="1245"/>
      <c r="M32" s="1246"/>
      <c r="N32" s="1247"/>
      <c r="O32" s="1248"/>
      <c r="P32" s="1246"/>
      <c r="Q32" s="1247"/>
      <c r="R32" s="1245"/>
      <c r="S32" s="1246"/>
      <c r="T32" s="1249"/>
      <c r="U32" s="1248"/>
      <c r="V32" s="1246"/>
      <c r="W32" s="1249"/>
      <c r="X32" s="1245"/>
      <c r="Y32" s="1246"/>
      <c r="Z32" s="1249"/>
      <c r="AA32" s="1245"/>
      <c r="AB32" s="1246"/>
      <c r="AC32" s="1250"/>
      <c r="AD32" s="1245"/>
      <c r="AE32" s="1246"/>
      <c r="AF32" s="1251"/>
      <c r="AG32" s="1252"/>
      <c r="AH32" s="1253"/>
      <c r="AI32" s="1251"/>
      <c r="AJ32" s="1254"/>
      <c r="AK32" s="1255"/>
      <c r="AL32" s="1257">
        <f>AVERAGE(AJ30:AL30)</f>
        <v>1605.2</v>
      </c>
      <c r="AM32" s="1238"/>
      <c r="AN32" s="95"/>
    </row>
    <row r="33" spans="1:40" ht="17.5" customHeight="1" x14ac:dyDescent="0.35">
      <c r="A33" s="1239"/>
      <c r="B33" s="1240"/>
      <c r="C33" s="1241"/>
      <c r="D33" s="1241"/>
      <c r="E33" s="1242"/>
      <c r="F33" s="1243"/>
      <c r="G33" s="1243"/>
      <c r="H33" s="1243"/>
      <c r="I33" s="1244"/>
      <c r="J33" s="1243"/>
      <c r="K33" s="1244"/>
      <c r="L33" s="1245"/>
      <c r="M33" s="1246"/>
      <c r="N33" s="1247"/>
      <c r="O33" s="1248"/>
      <c r="P33" s="1246"/>
      <c r="Q33" s="1247"/>
      <c r="R33" s="1245"/>
      <c r="S33" s="1246"/>
      <c r="T33" s="1249"/>
      <c r="U33" s="1248"/>
      <c r="V33" s="1246"/>
      <c r="W33" s="1249"/>
      <c r="X33" s="1245"/>
      <c r="Y33" s="1246"/>
      <c r="Z33" s="1249"/>
      <c r="AA33" s="1245"/>
      <c r="AB33" s="1246"/>
      <c r="AC33" s="1250"/>
      <c r="AD33" s="1245"/>
      <c r="AE33" s="1246"/>
      <c r="AF33" s="1251"/>
      <c r="AG33" s="1252"/>
      <c r="AH33" s="1253"/>
      <c r="AI33" s="1251"/>
      <c r="AJ33" s="1254"/>
      <c r="AK33" s="1255"/>
      <c r="AL33" s="1257">
        <f>AVERAGE(AJ31:AL31)</f>
        <v>1609.5566666666666</v>
      </c>
      <c r="AM33" s="1238"/>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4">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4">
        <v>989.6</v>
      </c>
      <c r="AM35" s="158">
        <f>forecast!C11</f>
        <v>999.95898678189383</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4">
        <v>37.6</v>
      </c>
      <c r="AM36" s="158">
        <f>forecast!C9+forecast!C8</f>
        <v>35.700000000000003</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2">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2">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2">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3">
        <v>1978.8</v>
      </c>
      <c r="AM40" s="94">
        <f>Taxes!AE13+Taxes!AE25</f>
        <v>1990.2068789379905</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3">
        <v>3256.9</v>
      </c>
      <c r="AM41" s="94">
        <f>Taxes!AE10+Taxes!AE23</f>
        <v>3258.21630944248</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2">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2">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2">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2">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2">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2">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2">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2">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2">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2">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2">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2">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2">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2"/>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2">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2"/>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2">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2"/>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2">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2">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2">
        <v>342197</v>
      </c>
    </row>
    <row r="63" spans="1:38" x14ac:dyDescent="0.35">
      <c r="A63" s="1306" t="s">
        <v>1788</v>
      </c>
      <c r="B63" s="1306"/>
      <c r="C63" s="1306"/>
      <c r="D63" s="1306"/>
      <c r="E63" s="1306"/>
      <c r="F63" s="1306"/>
      <c r="G63" s="1306"/>
      <c r="H63" s="1306"/>
      <c r="I63" s="1306"/>
      <c r="J63" s="1306"/>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2"/>
    </row>
    <row r="64" spans="1:38" x14ac:dyDescent="0.35">
      <c r="A64" s="1292" t="s">
        <v>1789</v>
      </c>
      <c r="B64" s="1292"/>
      <c r="C64" s="1292"/>
      <c r="D64" s="1292"/>
      <c r="E64" s="1292"/>
      <c r="F64" s="1292"/>
      <c r="G64" s="1292"/>
      <c r="H64" s="1292"/>
      <c r="I64" s="1292"/>
      <c r="J64" s="1292"/>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2"/>
    </row>
    <row r="65" spans="1:38" x14ac:dyDescent="0.35">
      <c r="A65" s="1292" t="s">
        <v>1790</v>
      </c>
      <c r="B65" s="1292"/>
      <c r="C65" s="1292"/>
      <c r="D65" s="1292"/>
      <c r="E65" s="1292"/>
      <c r="F65" s="1292"/>
      <c r="G65" s="1292"/>
      <c r="H65" s="1292"/>
      <c r="I65" s="1292"/>
      <c r="J65" s="1292"/>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2"/>
    </row>
    <row r="66" spans="1:38" x14ac:dyDescent="0.35">
      <c r="A66" s="1292" t="s">
        <v>1791</v>
      </c>
      <c r="B66" s="1292"/>
      <c r="C66" s="1292"/>
      <c r="D66" s="1292"/>
      <c r="E66" s="1292"/>
      <c r="F66" s="1292"/>
      <c r="G66" s="1292"/>
      <c r="H66" s="1292"/>
      <c r="I66" s="1292"/>
      <c r="J66" s="1292"/>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2"/>
    </row>
    <row r="67" spans="1:38" x14ac:dyDescent="0.35">
      <c r="A67" s="1292" t="s">
        <v>1792</v>
      </c>
      <c r="B67" s="1292"/>
      <c r="C67" s="1292"/>
      <c r="D67" s="1292"/>
      <c r="E67" s="1292"/>
      <c r="F67" s="1292"/>
      <c r="G67" s="1292"/>
      <c r="H67" s="1292"/>
      <c r="I67" s="1292"/>
      <c r="J67" s="1292"/>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2"/>
    </row>
    <row r="68" spans="1:38" x14ac:dyDescent="0.35">
      <c r="A68" s="1292" t="s">
        <v>1793</v>
      </c>
      <c r="B68" s="1292"/>
      <c r="C68" s="1292"/>
      <c r="D68" s="1292"/>
      <c r="E68" s="1292"/>
      <c r="F68" s="1292"/>
      <c r="G68" s="1292"/>
      <c r="H68" s="1292"/>
      <c r="I68" s="1292"/>
      <c r="J68" s="1292"/>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2"/>
    </row>
    <row r="69" spans="1:38" ht="14.5" customHeight="1" x14ac:dyDescent="0.35">
      <c r="A69" s="1292" t="s">
        <v>1794</v>
      </c>
      <c r="B69" s="1292"/>
      <c r="C69" s="1292"/>
      <c r="D69" s="1292"/>
      <c r="E69" s="1292"/>
      <c r="F69" s="1292"/>
      <c r="G69" s="1292"/>
      <c r="H69" s="1292"/>
      <c r="I69" s="1292"/>
      <c r="J69" s="1292"/>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2"/>
    </row>
    <row r="70" spans="1:38" ht="14.5" customHeight="1" x14ac:dyDescent="0.35">
      <c r="A70" s="1310" t="s">
        <v>1795</v>
      </c>
      <c r="B70" s="1310"/>
      <c r="C70" s="1310"/>
      <c r="D70" s="1310"/>
      <c r="E70" s="1310"/>
      <c r="F70" s="1310"/>
      <c r="G70" s="1310"/>
      <c r="H70" s="1310"/>
      <c r="I70" s="1310"/>
      <c r="J70" s="1310"/>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2"/>
    </row>
    <row r="71" spans="1:38" ht="14.5" customHeight="1" x14ac:dyDescent="0.35">
      <c r="A71" s="1311" t="s">
        <v>246</v>
      </c>
      <c r="B71" s="1311"/>
      <c r="C71" s="1311"/>
      <c r="D71" s="1311"/>
      <c r="E71" s="1311"/>
      <c r="F71" s="1311"/>
      <c r="G71" s="1311"/>
      <c r="H71" s="1311"/>
      <c r="I71" s="1311"/>
      <c r="J71" s="1311"/>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2"/>
    </row>
    <row r="72" spans="1:38" x14ac:dyDescent="0.35">
      <c r="A72" s="1309" t="s">
        <v>880</v>
      </c>
      <c r="B72" s="1309"/>
      <c r="C72" s="1309"/>
      <c r="D72" s="1309"/>
      <c r="E72" s="1309"/>
      <c r="F72" s="1309"/>
      <c r="G72" s="1309"/>
    </row>
    <row r="73" spans="1:38" x14ac:dyDescent="0.35">
      <c r="A73" s="1312" t="s">
        <v>881</v>
      </c>
      <c r="B73" s="1312"/>
      <c r="C73" s="1312"/>
      <c r="D73" s="1312"/>
      <c r="E73" s="1312"/>
      <c r="F73" s="1312"/>
      <c r="G73" s="1312"/>
    </row>
    <row r="74" spans="1:38" x14ac:dyDescent="0.35">
      <c r="A74" s="1308" t="s">
        <v>882</v>
      </c>
      <c r="B74" s="1308"/>
      <c r="C74" s="1308"/>
      <c r="D74" s="1308"/>
      <c r="E74" s="1308"/>
      <c r="F74" s="1308"/>
      <c r="G74" s="1308"/>
    </row>
    <row r="75" spans="1:38" x14ac:dyDescent="0.35">
      <c r="A75" s="1307" t="s">
        <v>883</v>
      </c>
      <c r="B75" s="1307"/>
      <c r="C75" s="1307"/>
      <c r="D75" s="1307"/>
      <c r="E75" s="1307"/>
      <c r="F75" s="1307"/>
      <c r="G75" s="1307"/>
    </row>
    <row r="76" spans="1:38" x14ac:dyDescent="0.35">
      <c r="A76" s="1307" t="s">
        <v>884</v>
      </c>
      <c r="B76" s="1307"/>
      <c r="C76" s="1307"/>
      <c r="D76" s="1307"/>
      <c r="E76" s="1307"/>
      <c r="F76" s="1307"/>
      <c r="G76" s="1307"/>
    </row>
    <row r="77" spans="1:38" x14ac:dyDescent="0.35">
      <c r="A77" s="1308" t="s">
        <v>885</v>
      </c>
      <c r="B77" s="1308"/>
      <c r="C77" s="1308"/>
      <c r="D77" s="1308"/>
      <c r="E77" s="1308"/>
      <c r="F77" s="1308"/>
      <c r="G77" s="1308"/>
    </row>
    <row r="79" spans="1:38" x14ac:dyDescent="0.35">
      <c r="A79" s="1309" t="s">
        <v>886</v>
      </c>
      <c r="B79" s="1309"/>
      <c r="C79" s="1309"/>
      <c r="D79" s="1309"/>
      <c r="E79" s="1309"/>
      <c r="F79" s="1309"/>
      <c r="G79" s="1309"/>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2">
        <v>5515</v>
      </c>
      <c r="AJ86" s="1235">
        <v>5526</v>
      </c>
      <c r="AK86" s="1236">
        <v>5533</v>
      </c>
      <c r="AL86" s="1232">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2">
        <v>15087</v>
      </c>
      <c r="AJ87" s="1235">
        <v>15114</v>
      </c>
      <c r="AK87" s="1236">
        <v>15139</v>
      </c>
      <c r="AL87" s="1232">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7"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75:G75"/>
    <mergeCell ref="A76:G76"/>
    <mergeCell ref="A77:G77"/>
    <mergeCell ref="A79:G79"/>
    <mergeCell ref="A69:J69"/>
    <mergeCell ref="A70:J70"/>
    <mergeCell ref="A71:J71"/>
    <mergeCell ref="A72:G72"/>
    <mergeCell ref="A73:G73"/>
    <mergeCell ref="A74:G74"/>
    <mergeCell ref="A68:J68"/>
    <mergeCell ref="A2:J2"/>
    <mergeCell ref="A4:C4"/>
    <mergeCell ref="A5:A7"/>
    <mergeCell ref="B5:B7"/>
    <mergeCell ref="C5:J5"/>
    <mergeCell ref="C6:H6"/>
    <mergeCell ref="I6:K6"/>
    <mergeCell ref="A63:J63"/>
    <mergeCell ref="A64:J64"/>
    <mergeCell ref="A65:J65"/>
    <mergeCell ref="A66:J66"/>
    <mergeCell ref="A67:J67"/>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zoomScale="85" zoomScaleNormal="85" workbookViewId="0">
      <selection activeCell="D19" sqref="D19"/>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1944.3749359678011</v>
      </c>
      <c r="D4" s="80">
        <f>'Federal and State Purchases'!AF14</f>
        <v>1973.1549683759342</v>
      </c>
      <c r="E4" s="80">
        <f>'Federal and State Purchases'!AG14</f>
        <v>2008.62331817469</v>
      </c>
      <c r="F4" s="80">
        <f>'Federal and State Purchases'!AH14</f>
        <v>2024.229392086143</v>
      </c>
      <c r="G4" s="80">
        <f>'Federal and State Purchases'!AI14</f>
        <v>2041.6595525586747</v>
      </c>
      <c r="H4" s="80">
        <f>'Federal and State Purchases'!AJ14</f>
        <v>2051.996043071455</v>
      </c>
      <c r="I4" s="80">
        <f>'Federal and State Purchases'!AK14</f>
        <v>2061.7245047305423</v>
      </c>
      <c r="J4" s="80">
        <f>'Federal and State Purchases'!AL14</f>
        <v>2072.9730385238622</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2347.0980000000004</v>
      </c>
      <c r="D17" s="80">
        <f>'Social Benefits'!AF33</f>
        <v>2329.8980000000006</v>
      </c>
      <c r="E17" s="80">
        <f>'Social Benefits'!AG33</f>
        <v>2373.8636460000007</v>
      </c>
      <c r="F17" s="80">
        <f>'Social Benefits'!AH33</f>
        <v>2380.1356460000006</v>
      </c>
      <c r="G17" s="80">
        <f>'Social Benefits'!AI33</f>
        <v>2388.1356460000006</v>
      </c>
      <c r="H17" s="80">
        <f>'Social Benefits'!AJ33</f>
        <v>2387.980646</v>
      </c>
      <c r="I17" s="80">
        <f>'Social Benefits'!AK33</f>
        <v>2434.4405018580005</v>
      </c>
      <c r="J17" s="80">
        <f>'Social Benefits'!AL33</f>
        <v>2442.4405018580005</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4885.7050004786652</v>
      </c>
      <c r="D19" s="80">
        <f>Taxes!AF9</f>
        <v>4906.4374505766755</v>
      </c>
      <c r="E19" s="80">
        <f>Taxes!AG9</f>
        <v>4893.3960861458509</v>
      </c>
      <c r="F19" s="80">
        <f>Taxes!AH9</f>
        <v>4922.9457626360299</v>
      </c>
      <c r="G19" s="80">
        <f>Taxes!AI9</f>
        <v>4952.9196539032664</v>
      </c>
      <c r="H19" s="80">
        <f>Taxes!AJ9</f>
        <v>4983.3193062517839</v>
      </c>
      <c r="I19" s="80">
        <f>Taxes!AK9</f>
        <v>5111.3232015312415</v>
      </c>
      <c r="J19" s="80">
        <f>Taxes!AL9</f>
        <v>5134.2409349480922</v>
      </c>
    </row>
    <row r="20" spans="1:10" x14ac:dyDescent="0.35">
      <c r="A20" t="s">
        <v>226</v>
      </c>
      <c r="B20" t="s">
        <v>227</v>
      </c>
      <c r="C20" s="80">
        <f>Taxes!AE21</f>
        <v>2610.4179349654814</v>
      </c>
      <c r="D20" s="80">
        <f>Taxes!AF21</f>
        <v>2637.2590525097935</v>
      </c>
      <c r="E20" s="80">
        <f>Taxes!AG21</f>
        <v>2661.9450087697264</v>
      </c>
      <c r="F20" s="80">
        <f>Taxes!AH21</f>
        <v>2687.6209509421678</v>
      </c>
      <c r="G20" s="80">
        <f>Taxes!AI21</f>
        <v>2711.0655175084648</v>
      </c>
      <c r="H20" s="80">
        <f>Taxes!AJ21</f>
        <v>2736.4520878263743</v>
      </c>
      <c r="I20" s="80">
        <f>Taxes!AK21</f>
        <v>2763.2785072824095</v>
      </c>
      <c r="J20" s="80">
        <f>Taxes!AL21</f>
        <v>2788.0558611126189</v>
      </c>
    </row>
    <row r="21" spans="1:10" x14ac:dyDescent="0.35">
      <c r="A21" t="s">
        <v>228</v>
      </c>
      <c r="B21" t="s">
        <v>229</v>
      </c>
      <c r="C21" s="80">
        <f>Taxes!AE17</f>
        <v>154.58674209073274</v>
      </c>
      <c r="D21" s="80">
        <f>Taxes!AF17</f>
        <v>153.63157001132998</v>
      </c>
      <c r="E21" s="80">
        <f>Taxes!AG17</f>
        <v>410.98229982033581</v>
      </c>
      <c r="F21" s="80">
        <f>Taxes!AH17</f>
        <v>408.44289176626921</v>
      </c>
      <c r="G21" s="80">
        <f>Taxes!AI17</f>
        <v>405.91917439588383</v>
      </c>
      <c r="H21" s="80">
        <f>Taxes!AJ17</f>
        <v>403.41105075841432</v>
      </c>
      <c r="I21" s="80">
        <f>Taxes!AK17</f>
        <v>412.61842450214192</v>
      </c>
      <c r="J21" s="80">
        <f>Taxes!AL17</f>
        <v>410.06890703899313</v>
      </c>
    </row>
    <row r="22" spans="1:10" x14ac:dyDescent="0.35">
      <c r="A22" t="s">
        <v>230</v>
      </c>
      <c r="B22" t="s">
        <v>231</v>
      </c>
      <c r="C22" s="80">
        <f>Taxes!AE27</f>
        <v>172.4420004657662</v>
      </c>
      <c r="D22" s="80">
        <f>Taxes!AF27</f>
        <v>172.35554552864465</v>
      </c>
      <c r="E22" s="80">
        <f>Taxes!AG27</f>
        <v>172.5640544946437</v>
      </c>
      <c r="F22" s="80">
        <f>Taxes!AH27</f>
        <v>172.90478865859339</v>
      </c>
      <c r="G22" s="80">
        <f>Taxes!AI27</f>
        <v>172.73187878435027</v>
      </c>
      <c r="H22" s="80">
        <f>Taxes!AJ27</f>
        <v>172.94038775034934</v>
      </c>
      <c r="I22" s="80">
        <f>Taxes!AK27</f>
        <v>172.60982475547277</v>
      </c>
      <c r="J22" s="80">
        <f>Taxes!AL27</f>
        <v>171.97412668840244</v>
      </c>
    </row>
    <row r="23" spans="1:10" x14ac:dyDescent="0.35">
      <c r="A23" s="56" t="s">
        <v>1379</v>
      </c>
      <c r="B23" t="s">
        <v>1378</v>
      </c>
      <c r="C23" s="80">
        <f>'Student loans'!AE11</f>
        <v>2.693006</v>
      </c>
      <c r="D23" s="80">
        <f>'Student loans'!AF11</f>
        <v>2.7175400000000001</v>
      </c>
      <c r="E23" s="80">
        <f>'Student loans'!AG11</f>
        <v>2.7175400000000001</v>
      </c>
      <c r="F23" s="80">
        <f>'Student loans'!AH11</f>
        <v>2.7175400000000001</v>
      </c>
      <c r="G23" s="80">
        <f>'Student loans'!AI11</f>
        <v>0</v>
      </c>
      <c r="H23" s="80">
        <f>'Student loans'!AJ11</f>
        <v>0</v>
      </c>
      <c r="I23" s="80">
        <f>'Student loans'!AK11</f>
        <v>0</v>
      </c>
      <c r="J23" s="80">
        <f>'Student loans'!AL11</f>
        <v>0</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-0.5</v>
      </c>
      <c r="D25">
        <v>-0.5</v>
      </c>
      <c r="E25">
        <v>-0.5</v>
      </c>
      <c r="F25" s="214">
        <v>0</v>
      </c>
      <c r="G25" s="214">
        <v>0</v>
      </c>
      <c r="H25" s="214">
        <v>0</v>
      </c>
      <c r="I25" s="214">
        <v>0</v>
      </c>
      <c r="J25" s="214">
        <v>1</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A16" sqref="A16"/>
    </sheetView>
  </sheetViews>
  <sheetFormatPr defaultColWidth="10.90625" defaultRowHeight="14.5" x14ac:dyDescent="0.35"/>
  <cols>
    <col min="1" max="2" width="70.81640625" customWidth="1"/>
  </cols>
  <sheetData>
    <row r="1" spans="1:45" ht="15.65" customHeight="1" x14ac:dyDescent="0.35">
      <c r="A1" s="1313" t="s">
        <v>253</v>
      </c>
      <c r="B1" s="1313"/>
      <c r="C1" s="1313"/>
      <c r="D1" s="1313"/>
      <c r="E1" s="1313"/>
      <c r="F1" s="1313"/>
      <c r="G1" s="1313"/>
      <c r="H1" s="1313"/>
      <c r="I1" s="1313"/>
      <c r="J1" s="1313"/>
      <c r="K1" s="1313"/>
      <c r="L1" s="1313"/>
      <c r="M1" s="1313"/>
      <c r="N1" s="1313"/>
      <c r="O1" s="1313"/>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4" t="s">
        <v>53</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2:41" ht="14.25" customHeight="1" x14ac:dyDescent="0.35">
      <c r="B2" s="1315" t="s">
        <v>277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224"/>
      <c r="AE2" s="224"/>
      <c r="AF2" s="224"/>
      <c r="AG2" s="224"/>
      <c r="AH2" s="224"/>
    </row>
    <row r="3" spans="2:4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224"/>
      <c r="AE3" s="224"/>
      <c r="AF3" s="224"/>
      <c r="AG3" s="224"/>
      <c r="AH3" s="224"/>
    </row>
    <row r="4" spans="2:4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224"/>
      <c r="AE4" s="224"/>
      <c r="AF4" s="224"/>
      <c r="AG4" s="224"/>
      <c r="AH4" s="224"/>
    </row>
    <row r="5" spans="2:41"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c r="AD5" s="224"/>
      <c r="AE5" s="224"/>
      <c r="AF5" s="224"/>
      <c r="AG5" s="224"/>
      <c r="AH5" s="224"/>
    </row>
    <row r="6" spans="2:41" ht="38.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19" t="s">
        <v>278</v>
      </c>
      <c r="C8" s="1320"/>
      <c r="D8" s="1329" t="s">
        <v>279</v>
      </c>
      <c r="E8" s="1329"/>
      <c r="F8" s="1329"/>
      <c r="G8" s="1329"/>
      <c r="H8" s="1329"/>
      <c r="I8" s="1329"/>
      <c r="J8" s="1329"/>
      <c r="K8" s="1329"/>
      <c r="L8" s="1329"/>
      <c r="M8" s="1329"/>
      <c r="N8" s="1329"/>
      <c r="O8" s="1329"/>
      <c r="P8" s="1329"/>
      <c r="Q8" s="1329"/>
      <c r="R8" s="1329"/>
      <c r="S8" s="1329"/>
      <c r="T8" s="1329"/>
      <c r="U8" s="1329"/>
      <c r="V8" s="1329"/>
      <c r="W8" s="1329"/>
      <c r="X8" s="1329"/>
      <c r="Y8" s="1329"/>
      <c r="Z8" s="1329"/>
      <c r="AA8" s="1329"/>
      <c r="AB8" s="1329"/>
      <c r="AC8" s="1327" t="s">
        <v>280</v>
      </c>
      <c r="AD8" s="1327"/>
      <c r="AE8" s="1327"/>
      <c r="AF8" s="1327"/>
      <c r="AG8" s="1327"/>
      <c r="AH8" s="1327"/>
      <c r="AI8" s="1327"/>
      <c r="AJ8" s="1327"/>
      <c r="AK8" s="1327"/>
      <c r="AL8" s="1327"/>
      <c r="AM8" s="1327"/>
      <c r="AN8" s="1328"/>
    </row>
    <row r="9" spans="2:41" ht="12.75" customHeight="1" x14ac:dyDescent="0.35">
      <c r="B9" s="1321"/>
      <c r="C9" s="1322"/>
      <c r="D9" s="225">
        <v>2018</v>
      </c>
      <c r="E9" s="1316">
        <v>2019</v>
      </c>
      <c r="F9" s="1317"/>
      <c r="G9" s="1317"/>
      <c r="H9" s="1318"/>
      <c r="I9" s="1316">
        <v>2020</v>
      </c>
      <c r="J9" s="1317"/>
      <c r="K9" s="1317"/>
      <c r="L9" s="1318"/>
      <c r="M9" s="1316">
        <v>2021</v>
      </c>
      <c r="N9" s="1317"/>
      <c r="O9" s="1317"/>
      <c r="P9" s="1318"/>
      <c r="Q9" s="1316">
        <v>2022</v>
      </c>
      <c r="R9" s="1317"/>
      <c r="S9" s="1317"/>
      <c r="T9" s="1318"/>
      <c r="U9" s="1316">
        <v>2023</v>
      </c>
      <c r="V9" s="1317"/>
      <c r="W9" s="1317"/>
      <c r="X9" s="1318"/>
      <c r="Y9" s="293"/>
      <c r="Z9" s="231">
        <v>2024</v>
      </c>
      <c r="AA9" s="231"/>
      <c r="AB9" s="230"/>
      <c r="AC9" s="1325">
        <v>2025</v>
      </c>
      <c r="AD9" s="1326"/>
      <c r="AE9" s="1326"/>
      <c r="AF9" s="1326"/>
      <c r="AG9" s="1325">
        <v>2026</v>
      </c>
      <c r="AH9" s="1326"/>
      <c r="AI9" s="1326"/>
      <c r="AJ9" s="1330"/>
      <c r="AK9" s="1325">
        <v>2027</v>
      </c>
      <c r="AL9" s="1326"/>
      <c r="AM9" s="1326"/>
      <c r="AN9" s="1330"/>
    </row>
    <row r="10" spans="2:41" ht="14.9" customHeight="1" x14ac:dyDescent="0.35">
      <c r="B10" s="1323"/>
      <c r="C10" s="1324"/>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4" t="s">
        <v>53</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30" ht="14.25" customHeight="1" x14ac:dyDescent="0.35">
      <c r="B2" s="1315" t="s">
        <v>277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30"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30"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30"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row>
    <row r="6" spans="2:30" ht="38.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19" t="s">
        <v>278</v>
      </c>
      <c r="C8" s="1320"/>
      <c r="D8" s="1332" t="s">
        <v>279</v>
      </c>
      <c r="E8" s="1333"/>
      <c r="F8" s="1333"/>
      <c r="G8" s="1333"/>
      <c r="H8" s="1333"/>
      <c r="I8" s="1333"/>
      <c r="J8" s="1333"/>
      <c r="K8" s="1333"/>
      <c r="L8" s="1333"/>
      <c r="M8" s="1333"/>
      <c r="N8" s="1333"/>
      <c r="O8" s="1333"/>
      <c r="P8" s="1333"/>
      <c r="Q8" s="1333"/>
      <c r="R8" s="1333"/>
      <c r="S8" s="1333"/>
      <c r="T8" s="1334"/>
      <c r="U8" s="1335" t="s">
        <v>280</v>
      </c>
      <c r="V8" s="1336"/>
      <c r="W8" s="1336"/>
      <c r="X8" s="1336"/>
      <c r="Y8" s="1336"/>
      <c r="Z8" s="1336"/>
      <c r="AA8" s="1336"/>
      <c r="AB8" s="1336"/>
      <c r="AC8" s="1337"/>
    </row>
    <row r="9" spans="2:30" ht="12.75" customHeight="1" x14ac:dyDescent="0.35">
      <c r="B9" s="1321"/>
      <c r="C9" s="1322"/>
      <c r="D9" s="296">
        <v>2018</v>
      </c>
      <c r="E9" s="1338">
        <v>2019</v>
      </c>
      <c r="F9" s="1339"/>
      <c r="G9" s="1339"/>
      <c r="H9" s="1340"/>
      <c r="I9" s="1339">
        <v>2020</v>
      </c>
      <c r="J9" s="1339"/>
      <c r="K9" s="1339"/>
      <c r="L9" s="1339"/>
      <c r="M9" s="1338">
        <v>2021</v>
      </c>
      <c r="N9" s="1339"/>
      <c r="O9" s="1339"/>
      <c r="P9" s="1339"/>
      <c r="Q9" s="1341">
        <v>2022</v>
      </c>
      <c r="R9" s="1342"/>
      <c r="S9" s="302"/>
      <c r="T9" s="309"/>
      <c r="U9" s="1326">
        <v>2023</v>
      </c>
      <c r="V9" s="1331"/>
      <c r="W9" s="1331"/>
      <c r="X9" s="1330"/>
      <c r="Y9" s="1325">
        <v>2024</v>
      </c>
      <c r="Z9" s="1331"/>
      <c r="AA9" s="1331"/>
      <c r="AB9" s="1331"/>
      <c r="AC9" s="304">
        <v>2025</v>
      </c>
    </row>
    <row r="10" spans="2:30" ht="14.9" customHeight="1" x14ac:dyDescent="0.35">
      <c r="B10" s="1321"/>
      <c r="C10" s="1322"/>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90" zoomScaleNormal="90" workbookViewId="0">
      <pane xSplit="2" ySplit="4" topLeftCell="V10" activePane="bottomRight" state="frozen"/>
      <selection pane="topRight" activeCell="C1" sqref="C1"/>
      <selection pane="bottomLeft" activeCell="A5" sqref="A5"/>
      <selection pane="bottomRight" activeCell="AE20" sqref="AE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4" t="s">
        <v>192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223"/>
      <c r="AA1" s="223"/>
      <c r="AB1" s="223"/>
      <c r="AC1" s="223"/>
      <c r="AD1" s="223"/>
      <c r="AE1" s="223"/>
      <c r="AF1" s="223"/>
      <c r="AG1" s="223"/>
      <c r="AH1" s="223"/>
      <c r="AI1" s="223"/>
      <c r="AJ1" s="223"/>
      <c r="AK1" s="223"/>
      <c r="AL1" s="223"/>
      <c r="AM1" s="223"/>
      <c r="AN1" s="223"/>
      <c r="AO1" s="331"/>
      <c r="AP1" s="331"/>
    </row>
    <row r="2" spans="2:45" ht="14.25" customHeight="1" x14ac:dyDescent="0.35">
      <c r="B2" s="1315" t="s">
        <v>331</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224"/>
      <c r="AE2" s="224"/>
      <c r="AF2" s="224"/>
      <c r="AG2" s="224"/>
      <c r="AH2" s="224"/>
      <c r="AI2" s="224"/>
      <c r="AJ2" s="224"/>
      <c r="AK2" s="224"/>
      <c r="AL2" s="224"/>
      <c r="AM2" s="224"/>
      <c r="AN2" s="224"/>
      <c r="AO2" s="224"/>
      <c r="AP2" s="224"/>
    </row>
    <row r="3" spans="2:45" ht="50.9" customHeight="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224"/>
      <c r="AE3" s="224"/>
      <c r="AF3" s="224"/>
      <c r="AG3" s="224"/>
      <c r="AH3" s="224"/>
      <c r="AI3" s="224"/>
      <c r="AJ3" s="224"/>
      <c r="AK3" s="224"/>
      <c r="AL3" s="224"/>
      <c r="AM3" s="224"/>
      <c r="AN3" s="224"/>
      <c r="AO3" s="224"/>
      <c r="AP3" s="224"/>
    </row>
    <row r="4" spans="2:45" ht="5.25" customHeight="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19" t="s">
        <v>333</v>
      </c>
      <c r="C6" s="1320"/>
      <c r="D6" s="1343" t="s">
        <v>279</v>
      </c>
      <c r="E6" s="1344"/>
      <c r="F6" s="1344"/>
      <c r="G6" s="1344"/>
      <c r="H6" s="1344"/>
      <c r="I6" s="1344"/>
      <c r="J6" s="1344"/>
      <c r="K6" s="1344"/>
      <c r="L6" s="1344"/>
      <c r="M6" s="1344"/>
      <c r="N6" s="1344"/>
      <c r="O6" s="1344"/>
      <c r="P6" s="1344"/>
      <c r="Q6" s="1344"/>
      <c r="R6" s="1344"/>
      <c r="S6" s="1344"/>
      <c r="T6" s="1344"/>
      <c r="U6" s="1344"/>
      <c r="V6" s="1344"/>
      <c r="W6" s="1344"/>
      <c r="X6" s="1344"/>
      <c r="Y6" s="1344"/>
      <c r="Z6" s="1344"/>
      <c r="AA6" s="1344"/>
      <c r="AB6" s="1345"/>
      <c r="AC6" s="1347" t="s">
        <v>280</v>
      </c>
      <c r="AD6" s="1327"/>
      <c r="AE6" s="1327"/>
      <c r="AF6" s="1327"/>
      <c r="AG6" s="1327"/>
      <c r="AH6" s="1327"/>
      <c r="AI6" s="1327"/>
      <c r="AJ6" s="1327"/>
      <c r="AK6" s="1327"/>
      <c r="AL6" s="1327"/>
      <c r="AM6" s="1327"/>
      <c r="AN6" s="1328"/>
      <c r="AO6" s="1350" t="s">
        <v>334</v>
      </c>
      <c r="AP6" s="1350" t="s">
        <v>335</v>
      </c>
    </row>
    <row r="7" spans="2:45" ht="24" customHeight="1" x14ac:dyDescent="0.35">
      <c r="B7" s="1321"/>
      <c r="C7" s="1322"/>
      <c r="D7" s="225">
        <v>2018</v>
      </c>
      <c r="E7" s="1316">
        <v>2019</v>
      </c>
      <c r="F7" s="1317"/>
      <c r="G7" s="1317"/>
      <c r="H7" s="1318"/>
      <c r="I7" s="1316">
        <v>2020</v>
      </c>
      <c r="J7" s="1317"/>
      <c r="K7" s="1317"/>
      <c r="L7" s="1317"/>
      <c r="M7" s="1316">
        <v>2021</v>
      </c>
      <c r="N7" s="1317"/>
      <c r="O7" s="1317"/>
      <c r="P7" s="1317"/>
      <c r="Q7" s="1316">
        <v>2022</v>
      </c>
      <c r="R7" s="1317"/>
      <c r="S7" s="1317"/>
      <c r="T7" s="1317"/>
      <c r="U7" s="332"/>
      <c r="V7" s="333">
        <v>2023</v>
      </c>
      <c r="W7" s="333"/>
      <c r="X7" s="334"/>
      <c r="Y7" s="293"/>
      <c r="Z7" s="231">
        <v>2024</v>
      </c>
      <c r="AA7" s="231"/>
      <c r="AB7" s="230"/>
      <c r="AC7" s="1358">
        <v>2025</v>
      </c>
      <c r="AD7" s="1359"/>
      <c r="AE7" s="1359"/>
      <c r="AF7" s="1359"/>
      <c r="AG7" s="1325">
        <v>2026</v>
      </c>
      <c r="AH7" s="1326"/>
      <c r="AI7" s="1326"/>
      <c r="AJ7" s="1330"/>
      <c r="AK7" s="1325">
        <v>2027</v>
      </c>
      <c r="AL7" s="1326"/>
      <c r="AM7" s="1326"/>
      <c r="AN7" s="1330"/>
      <c r="AO7" s="1351"/>
      <c r="AP7" s="1351"/>
    </row>
    <row r="8" spans="2:45" ht="14.25" customHeight="1"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52"/>
      <c r="AP8" s="1352"/>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3" t="s">
        <v>352</v>
      </c>
      <c r="C22" s="1354"/>
      <c r="D22" s="1354"/>
      <c r="E22" s="1354"/>
      <c r="F22" s="1354"/>
      <c r="G22" s="1354"/>
      <c r="H22" s="1354"/>
      <c r="I22" s="1354"/>
      <c r="J22" s="1354"/>
      <c r="K22" s="1354"/>
      <c r="L22" s="1354"/>
      <c r="M22" s="1354"/>
      <c r="N22" s="1354"/>
      <c r="O22" s="1354"/>
      <c r="P22" s="1354"/>
      <c r="Q22" s="1354"/>
      <c r="R22" s="1354"/>
      <c r="S22" s="1354"/>
      <c r="T22" s="1354"/>
      <c r="U22" s="1354"/>
      <c r="V22" s="1354"/>
      <c r="W22" s="1354"/>
      <c r="X22" s="1354"/>
      <c r="Y22" s="1354"/>
      <c r="Z22" s="1354"/>
      <c r="AA22" s="1354"/>
      <c r="AB22" s="1354"/>
      <c r="AC22" s="1354"/>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48" t="s">
        <v>354</v>
      </c>
      <c r="AQ23" s="1349"/>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48" t="s">
        <v>356</v>
      </c>
      <c r="AQ27" s="1349"/>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48"/>
      <c r="AQ28" s="1349"/>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48" t="s">
        <v>361</v>
      </c>
      <c r="AQ33" s="1349"/>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5"/>
      <c r="R46" s="1355"/>
      <c r="S46" s="1355"/>
      <c r="T46" s="1355"/>
      <c r="U46" s="1355"/>
      <c r="V46" s="1355"/>
      <c r="W46" s="1355"/>
      <c r="X46" s="1355"/>
      <c r="Y46" s="1355"/>
      <c r="Z46" s="1355"/>
      <c r="AA46" s="1355"/>
      <c r="AB46" s="1355"/>
      <c r="AC46" s="1355"/>
      <c r="AD46" s="1355"/>
      <c r="AE46" s="1355"/>
      <c r="AF46" s="1355"/>
      <c r="AG46" s="1355"/>
      <c r="AH46" s="1355"/>
      <c r="AI46" s="1355"/>
      <c r="AJ46" s="1355"/>
      <c r="AK46" s="1355"/>
      <c r="AL46" s="1355"/>
      <c r="AM46" s="1355"/>
      <c r="AN46" s="1355"/>
      <c r="AO46" s="1355"/>
      <c r="AP46" s="1355"/>
      <c r="AQ46" s="1355"/>
      <c r="AR46" s="1355"/>
      <c r="AS46" s="1355"/>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6"/>
      <c r="R47" s="1356"/>
      <c r="S47" s="1356"/>
      <c r="T47" s="1356"/>
      <c r="U47" s="1356"/>
      <c r="V47" s="1356"/>
      <c r="W47" s="1356"/>
      <c r="X47" s="1356"/>
      <c r="Y47" s="1356"/>
      <c r="Z47" s="233"/>
      <c r="AA47" s="233"/>
      <c r="AB47" s="233"/>
      <c r="AC47" s="233"/>
      <c r="AD47" s="233"/>
      <c r="AE47" s="233"/>
      <c r="AF47" s="233"/>
      <c r="AG47" s="233"/>
      <c r="AH47" s="233"/>
      <c r="AI47" s="233"/>
      <c r="AJ47" s="233"/>
      <c r="AK47" s="233"/>
      <c r="AL47" s="233"/>
      <c r="AM47" s="233"/>
      <c r="AN47" s="233"/>
      <c r="AO47" s="1356"/>
      <c r="AP47" s="1356"/>
      <c r="AQ47" s="1356"/>
      <c r="AR47" s="1356"/>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57"/>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57"/>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19" t="s">
        <v>375</v>
      </c>
      <c r="C70" s="1320"/>
      <c r="D70" s="1343" t="s">
        <v>279</v>
      </c>
      <c r="E70" s="1344"/>
      <c r="F70" s="1344"/>
      <c r="G70" s="1344"/>
      <c r="H70" s="1344"/>
      <c r="I70" s="1344"/>
      <c r="J70" s="1344"/>
      <c r="K70" s="1344"/>
      <c r="L70" s="1344"/>
      <c r="M70" s="1344"/>
      <c r="N70" s="1344"/>
      <c r="O70" s="1344"/>
      <c r="P70" s="1344"/>
      <c r="Q70" s="1344"/>
      <c r="R70" s="1344"/>
      <c r="S70" s="1344"/>
      <c r="T70" s="1344"/>
      <c r="U70" s="1344"/>
      <c r="V70" s="1344"/>
      <c r="W70" s="1344"/>
      <c r="X70" s="1344"/>
      <c r="Y70" s="1344"/>
      <c r="Z70" s="1344"/>
      <c r="AA70" s="1345"/>
      <c r="AB70" s="1347" t="s">
        <v>280</v>
      </c>
      <c r="AC70" s="1327"/>
      <c r="AD70" s="1327"/>
      <c r="AE70" s="1327"/>
      <c r="AF70" s="1327"/>
      <c r="AG70" s="1327"/>
      <c r="AH70" s="1327"/>
      <c r="AI70" s="1327"/>
      <c r="AJ70" s="1327"/>
      <c r="AK70" s="1327"/>
      <c r="AL70" s="1327"/>
      <c r="AM70" s="1327"/>
      <c r="AN70" s="1328"/>
      <c r="AO70" s="331"/>
      <c r="AP70" s="331"/>
    </row>
    <row r="71" spans="1:42" x14ac:dyDescent="0.35">
      <c r="B71" s="1321"/>
      <c r="C71" s="1322"/>
      <c r="D71" s="296">
        <v>2018</v>
      </c>
      <c r="E71" s="1338">
        <v>2019</v>
      </c>
      <c r="F71" s="1339"/>
      <c r="G71" s="1339"/>
      <c r="H71" s="1340"/>
      <c r="I71" s="1338">
        <v>2020</v>
      </c>
      <c r="J71" s="1339"/>
      <c r="K71" s="1339"/>
      <c r="L71" s="1339"/>
      <c r="M71" s="1338">
        <v>2021</v>
      </c>
      <c r="N71" s="1339"/>
      <c r="O71" s="1339"/>
      <c r="P71" s="1339"/>
      <c r="Q71" s="1341">
        <v>2022</v>
      </c>
      <c r="R71" s="1342"/>
      <c r="S71" s="302"/>
      <c r="T71" s="302"/>
      <c r="U71" s="1338">
        <v>2023</v>
      </c>
      <c r="V71" s="1346"/>
      <c r="W71" s="1346"/>
      <c r="X71" s="1340"/>
      <c r="Y71" s="302"/>
      <c r="Z71" s="442">
        <v>2024</v>
      </c>
      <c r="AA71" s="442"/>
      <c r="AB71" s="335"/>
      <c r="AC71" s="1325">
        <v>2025</v>
      </c>
      <c r="AD71" s="1326"/>
      <c r="AE71" s="1326"/>
      <c r="AF71" s="1330"/>
      <c r="AG71" s="1325">
        <v>2026</v>
      </c>
      <c r="AH71" s="1326"/>
      <c r="AI71" s="1326"/>
      <c r="AJ71" s="1330"/>
      <c r="AK71" s="1325">
        <v>2027</v>
      </c>
      <c r="AL71" s="1326"/>
      <c r="AM71" s="1326"/>
      <c r="AN71" s="1330"/>
      <c r="AO71" s="249"/>
      <c r="AP71" s="249"/>
    </row>
    <row r="72" spans="1:42" x14ac:dyDescent="0.35">
      <c r="B72" s="1323"/>
      <c r="C72" s="1324"/>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4" t="s">
        <v>134</v>
      </c>
      <c r="C88" s="1314"/>
      <c r="D88" s="1314"/>
      <c r="E88" s="1314"/>
      <c r="F88" s="1314"/>
      <c r="G88" s="1314"/>
      <c r="H88" s="1314"/>
      <c r="I88" s="1314"/>
      <c r="J88" s="1314"/>
      <c r="K88" s="1314"/>
      <c r="L88" s="1314"/>
      <c r="M88" s="1314"/>
      <c r="N88" s="1314"/>
      <c r="O88" s="1314"/>
      <c r="P88" s="1314"/>
      <c r="Q88" s="1314"/>
      <c r="R88" s="1314"/>
      <c r="S88" s="1314"/>
      <c r="T88" s="1314"/>
      <c r="U88" s="1314"/>
      <c r="V88" s="1314"/>
      <c r="W88" s="1314"/>
      <c r="X88" s="1314"/>
      <c r="Y88" s="1314"/>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5" t="s">
        <v>1826</v>
      </c>
      <c r="C89" s="1315"/>
      <c r="D89" s="1315"/>
      <c r="E89" s="1315"/>
      <c r="F89" s="1315"/>
      <c r="G89" s="1315"/>
      <c r="H89" s="1315"/>
      <c r="I89" s="1315"/>
      <c r="J89" s="1315"/>
      <c r="K89" s="1315"/>
      <c r="L89" s="1315"/>
      <c r="M89" s="1315"/>
      <c r="N89" s="1315"/>
      <c r="O89" s="1315"/>
      <c r="P89" s="1315"/>
      <c r="Q89" s="1315"/>
      <c r="R89" s="1315"/>
      <c r="S89" s="1315"/>
      <c r="T89" s="1315"/>
      <c r="U89" s="1315"/>
      <c r="V89" s="1315"/>
      <c r="W89" s="1315"/>
      <c r="X89" s="1315"/>
      <c r="Y89" s="1315"/>
      <c r="Z89" s="1315"/>
      <c r="AA89" s="1315"/>
      <c r="AB89" s="1315"/>
      <c r="AC89" s="1315"/>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19" t="s">
        <v>278</v>
      </c>
      <c r="C91" s="1320"/>
      <c r="D91" s="1343" t="s">
        <v>279</v>
      </c>
      <c r="E91" s="1344"/>
      <c r="F91" s="1344"/>
      <c r="G91" s="1344"/>
      <c r="H91" s="1344"/>
      <c r="I91" s="1344"/>
      <c r="J91" s="1344"/>
      <c r="K91" s="1344"/>
      <c r="L91" s="1344"/>
      <c r="M91" s="1344"/>
      <c r="N91" s="1344"/>
      <c r="O91" s="1344"/>
      <c r="P91" s="1344"/>
      <c r="Q91" s="1344"/>
      <c r="R91" s="1344"/>
      <c r="S91" s="1344"/>
      <c r="T91" s="1344"/>
      <c r="U91" s="1344"/>
      <c r="V91" s="1344"/>
      <c r="W91" s="1344"/>
      <c r="X91" s="1344"/>
      <c r="Y91" s="1344"/>
      <c r="Z91" s="1344"/>
      <c r="AA91" s="1345"/>
      <c r="AB91" s="1347" t="s">
        <v>280</v>
      </c>
      <c r="AC91" s="1327"/>
      <c r="AD91" s="1327"/>
      <c r="AE91" s="1327"/>
      <c r="AF91" s="1327"/>
      <c r="AG91" s="1327"/>
      <c r="AH91" s="1327"/>
      <c r="AI91" s="1327"/>
      <c r="AJ91" s="1327"/>
      <c r="AK91" s="1327"/>
      <c r="AL91" s="1327"/>
      <c r="AM91" s="1327"/>
      <c r="AN91" s="1328"/>
      <c r="AO91" s="331"/>
      <c r="AP91" s="331"/>
    </row>
    <row r="92" spans="2:42" x14ac:dyDescent="0.35">
      <c r="B92" s="1321"/>
      <c r="C92" s="1322"/>
      <c r="D92" s="297">
        <v>2018</v>
      </c>
      <c r="E92" s="1338">
        <v>2019</v>
      </c>
      <c r="F92" s="1339"/>
      <c r="G92" s="1339"/>
      <c r="H92" s="1340"/>
      <c r="I92" s="1338">
        <v>2020</v>
      </c>
      <c r="J92" s="1339"/>
      <c r="K92" s="1339"/>
      <c r="L92" s="1339"/>
      <c r="M92" s="1338">
        <v>2021</v>
      </c>
      <c r="N92" s="1339"/>
      <c r="O92" s="1339"/>
      <c r="P92" s="1339"/>
      <c r="Q92" s="1338">
        <v>2022</v>
      </c>
      <c r="R92" s="1346"/>
      <c r="S92" s="1346"/>
      <c r="T92" s="1346"/>
      <c r="U92" s="1338">
        <v>2023</v>
      </c>
      <c r="V92" s="1346"/>
      <c r="W92" s="1346"/>
      <c r="X92" s="1340"/>
      <c r="Y92" s="302"/>
      <c r="Z92" s="442">
        <v>2024</v>
      </c>
      <c r="AA92" s="442"/>
      <c r="AB92" s="338"/>
      <c r="AC92" s="1325">
        <v>2025</v>
      </c>
      <c r="AD92" s="1326"/>
      <c r="AE92" s="1326"/>
      <c r="AF92" s="1330"/>
      <c r="AG92" s="1325">
        <v>2026</v>
      </c>
      <c r="AH92" s="1326"/>
      <c r="AI92" s="1326"/>
      <c r="AJ92" s="1330"/>
      <c r="AK92" s="1325">
        <v>2027</v>
      </c>
      <c r="AL92" s="1326"/>
      <c r="AM92" s="1326"/>
      <c r="AN92" s="1330"/>
      <c r="AO92" s="233"/>
      <c r="AP92" s="233"/>
    </row>
    <row r="93" spans="2:42" x14ac:dyDescent="0.35">
      <c r="B93" s="1321"/>
      <c r="C93" s="1322"/>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85" zoomScaleNormal="85" workbookViewId="0">
      <pane xSplit="2" ySplit="4" topLeftCell="AE17" activePane="bottomRight" state="frozen"/>
      <selection pane="topRight" activeCell="C1" sqref="C1"/>
      <selection pane="bottomLeft" activeCell="A5" sqref="A5"/>
      <selection pane="bottomRight" activeCell="AG35" sqref="AG35"/>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4" t="s">
        <v>384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1:72" ht="14.25" customHeight="1" x14ac:dyDescent="0.35">
      <c r="B2" s="1349" t="s">
        <v>385</v>
      </c>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c r="AD2" s="255"/>
      <c r="AE2" s="255"/>
      <c r="AF2" s="255"/>
      <c r="AG2" s="255"/>
      <c r="AH2" s="255"/>
    </row>
    <row r="3" spans="1:72" ht="9" customHeight="1" x14ac:dyDescent="0.35">
      <c r="B3" s="1349"/>
      <c r="C3" s="1349"/>
      <c r="D3" s="1349"/>
      <c r="E3" s="1349"/>
      <c r="F3" s="1349"/>
      <c r="G3" s="1349"/>
      <c r="H3" s="1349"/>
      <c r="I3" s="1349"/>
      <c r="J3" s="1349"/>
      <c r="K3" s="1349"/>
      <c r="L3" s="1349"/>
      <c r="M3" s="1349"/>
      <c r="N3" s="1349"/>
      <c r="O3" s="1349"/>
      <c r="P3" s="1349"/>
      <c r="Q3" s="1349"/>
      <c r="R3" s="1349"/>
      <c r="S3" s="1349"/>
      <c r="T3" s="1349"/>
      <c r="U3" s="1349"/>
      <c r="V3" s="1349"/>
      <c r="W3" s="1349"/>
      <c r="X3" s="1349"/>
      <c r="Y3" s="1349"/>
      <c r="Z3" s="1349"/>
      <c r="AA3" s="1349"/>
      <c r="AB3" s="1349"/>
      <c r="AC3" s="1349"/>
      <c r="AD3" s="255"/>
      <c r="AE3" s="255"/>
      <c r="AF3" s="255"/>
      <c r="AG3" s="255"/>
      <c r="AH3" s="255"/>
    </row>
    <row r="4" spans="1:72" ht="27" customHeight="1" x14ac:dyDescent="0.35">
      <c r="B4" s="1349"/>
      <c r="C4" s="1349"/>
      <c r="D4" s="1349"/>
      <c r="E4" s="1349"/>
      <c r="F4" s="1349"/>
      <c r="G4" s="1349"/>
      <c r="H4" s="1349"/>
      <c r="I4" s="1349"/>
      <c r="J4" s="1349"/>
      <c r="K4" s="1349"/>
      <c r="L4" s="1349"/>
      <c r="M4" s="1349"/>
      <c r="N4" s="1349"/>
      <c r="O4" s="1349"/>
      <c r="P4" s="1349"/>
      <c r="Q4" s="1349"/>
      <c r="R4" s="1349"/>
      <c r="S4" s="1349"/>
      <c r="T4" s="1349"/>
      <c r="U4" s="1349"/>
      <c r="V4" s="1349"/>
      <c r="W4" s="1349"/>
      <c r="X4" s="1349"/>
      <c r="Y4" s="1349"/>
      <c r="Z4" s="1349"/>
      <c r="AA4" s="1349"/>
      <c r="AB4" s="1349"/>
      <c r="AC4" s="1349"/>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61"/>
      <c r="C6" s="1362"/>
      <c r="D6" s="1360" t="s">
        <v>279</v>
      </c>
      <c r="E6" s="1360"/>
      <c r="F6" s="1360"/>
      <c r="G6" s="1360"/>
      <c r="H6" s="1360"/>
      <c r="I6" s="1360"/>
      <c r="J6" s="1360"/>
      <c r="K6" s="1360"/>
      <c r="L6" s="1360"/>
      <c r="M6" s="1360"/>
      <c r="N6" s="1360"/>
      <c r="O6" s="1360"/>
      <c r="P6" s="1360"/>
      <c r="Q6" s="1360"/>
      <c r="R6" s="1360"/>
      <c r="S6" s="1360"/>
      <c r="T6" s="1360"/>
      <c r="U6" s="1360"/>
      <c r="V6" s="1360"/>
      <c r="W6" s="1360"/>
      <c r="X6" s="1360"/>
      <c r="Y6" s="1360"/>
      <c r="Z6" s="1360"/>
      <c r="AA6" s="1360"/>
      <c r="AB6" s="1360"/>
      <c r="AC6" s="1327" t="s">
        <v>280</v>
      </c>
      <c r="AD6" s="1327"/>
      <c r="AE6" s="1327"/>
      <c r="AF6" s="1327"/>
      <c r="AG6" s="1327"/>
      <c r="AH6" s="1327"/>
      <c r="AI6" s="1327"/>
      <c r="AJ6" s="1327"/>
      <c r="AK6" s="1327"/>
      <c r="AL6" s="1327"/>
      <c r="AM6" s="1327"/>
      <c r="AN6" s="1328"/>
    </row>
    <row r="7" spans="1:72" ht="14.9" customHeight="1" x14ac:dyDescent="0.35">
      <c r="B7" s="1363"/>
      <c r="C7" s="1364"/>
      <c r="D7" s="449">
        <v>2018</v>
      </c>
      <c r="E7" s="1365">
        <v>2019</v>
      </c>
      <c r="F7" s="1366"/>
      <c r="G7" s="1366"/>
      <c r="H7" s="1367"/>
      <c r="I7" s="1365">
        <v>2020</v>
      </c>
      <c r="J7" s="1366"/>
      <c r="K7" s="1366"/>
      <c r="L7" s="1366"/>
      <c r="M7" s="1365">
        <v>2021</v>
      </c>
      <c r="N7" s="1366"/>
      <c r="O7" s="1366"/>
      <c r="P7" s="1366"/>
      <c r="Q7" s="1365">
        <v>2022</v>
      </c>
      <c r="R7" s="1366"/>
      <c r="S7" s="1366"/>
      <c r="T7" s="1367"/>
      <c r="U7" s="293"/>
      <c r="V7" s="231">
        <v>2023</v>
      </c>
      <c r="W7" s="231"/>
      <c r="X7" s="230"/>
      <c r="Y7" s="71"/>
      <c r="Z7" s="231">
        <v>2024</v>
      </c>
      <c r="AA7" s="231"/>
      <c r="AB7" s="230"/>
      <c r="AC7" s="1325">
        <v>2025</v>
      </c>
      <c r="AD7" s="1326"/>
      <c r="AE7" s="1326"/>
      <c r="AF7" s="1330"/>
      <c r="AG7" s="1325">
        <v>2026</v>
      </c>
      <c r="AH7" s="1326"/>
      <c r="AI7" s="1326"/>
      <c r="AJ7" s="1330"/>
      <c r="AK7" s="1325">
        <v>2027</v>
      </c>
      <c r="AL7" s="1326"/>
      <c r="AM7" s="1326"/>
      <c r="AN7" s="1330"/>
    </row>
    <row r="8" spans="1:72" x14ac:dyDescent="0.35">
      <c r="B8" s="1363"/>
      <c r="C8" s="1364"/>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1913.1000000000001</v>
      </c>
      <c r="AE9" s="463">
        <f t="shared" si="0"/>
        <v>1918.7</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f>1.2*2</f>
        <v>2.4</v>
      </c>
      <c r="AE10" s="463">
        <f>1.2*2</f>
        <v>2.4</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1.6903117471210205</v>
      </c>
      <c r="AE12" s="447">
        <f t="shared" si="2"/>
        <v>1.1760255883533022</v>
      </c>
      <c r="AF12" s="447">
        <f t="shared" si="2"/>
        <v>6.053431410107124</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1944.3749359678011</v>
      </c>
      <c r="AF14" s="475">
        <f>(1+(AF12/100))^(1/4)*AE14+AF19</f>
        <v>1973.1549683759342</v>
      </c>
      <c r="AG14" s="475">
        <f t="shared" si="4"/>
        <v>2008.62331817469</v>
      </c>
      <c r="AH14" s="475">
        <f t="shared" si="4"/>
        <v>2024.229392086143</v>
      </c>
      <c r="AI14" s="475">
        <f t="shared" si="4"/>
        <v>2041.6595525586747</v>
      </c>
      <c r="AJ14" s="475">
        <f t="shared" si="4"/>
        <v>2051.996043071455</v>
      </c>
      <c r="AK14" s="475">
        <f t="shared" si="4"/>
        <v>2061.7245047305423</v>
      </c>
      <c r="AL14" s="475">
        <f t="shared" si="4"/>
        <v>2072.9730385238622</v>
      </c>
      <c r="AM14" s="475">
        <f t="shared" si="4"/>
        <v>2084.7282630285927</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1497.7984739983767</v>
      </c>
      <c r="AF15" s="452">
        <f t="shared" si="5"/>
        <v>1510.9388743665913</v>
      </c>
      <c r="AG15" s="452">
        <f t="shared" si="5"/>
        <v>1529.9348900075963</v>
      </c>
      <c r="AH15" s="452">
        <f t="shared" si="5"/>
        <v>1533.1599529827129</v>
      </c>
      <c r="AI15" s="452">
        <f t="shared" si="5"/>
        <v>1537.4967843512927</v>
      </c>
      <c r="AJ15" s="452">
        <f t="shared" si="5"/>
        <v>1536.1871148299431</v>
      </c>
      <c r="AK15" s="452">
        <f t="shared" si="5"/>
        <v>1534.9410055320609</v>
      </c>
      <c r="AL15" s="452">
        <f t="shared" si="5"/>
        <v>1534.8867447585908</v>
      </c>
      <c r="AM15" s="452">
        <f t="shared" si="5"/>
        <v>1534.9258371294504</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-1.2656423655594051E-2</v>
      </c>
      <c r="AF18" s="453">
        <f t="shared" si="7"/>
        <v>3.5557087626910899E-2</v>
      </c>
      <c r="AG18" s="453">
        <f t="shared" si="7"/>
        <v>5.1245656921034666E-2</v>
      </c>
      <c r="AH18" s="453">
        <f t="shared" si="7"/>
        <v>8.4585948275541778E-3</v>
      </c>
      <c r="AI18" s="453">
        <f t="shared" si="7"/>
        <v>1.1362851999510815E-2</v>
      </c>
      <c r="AJ18" s="453">
        <f t="shared" si="7"/>
        <v>-3.402926320180244E-3</v>
      </c>
      <c r="AK18" s="453">
        <f t="shared" si="7"/>
        <v>-3.2407351824184083E-3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4" t="s">
        <v>165</v>
      </c>
      <c r="C23" s="1314"/>
      <c r="D23" s="1314"/>
      <c r="E23" s="1314"/>
      <c r="F23" s="1314"/>
      <c r="G23" s="1314"/>
      <c r="H23" s="1314"/>
      <c r="I23" s="1314"/>
      <c r="J23" s="1314"/>
      <c r="K23" s="1314"/>
      <c r="L23" s="1314"/>
      <c r="M23" s="1314"/>
      <c r="N23" s="1314"/>
      <c r="O23" s="1314"/>
      <c r="P23" s="1314"/>
      <c r="Q23" s="1314"/>
      <c r="R23" s="1314"/>
      <c r="S23" s="1314"/>
      <c r="T23" s="1314"/>
      <c r="U23" s="1314"/>
      <c r="V23" s="1314"/>
      <c r="W23" s="1314"/>
      <c r="X23" s="1314"/>
      <c r="Y23" s="1314"/>
      <c r="Z23" s="1314"/>
      <c r="AA23" s="1314"/>
      <c r="AB23" s="1314"/>
      <c r="AC23" s="1314"/>
      <c r="AD23" s="223"/>
      <c r="AE23" s="223"/>
      <c r="AF23" s="223"/>
      <c r="AG23" s="223"/>
      <c r="AH23" s="223"/>
      <c r="AJ23" s="96"/>
    </row>
    <row r="24" spans="2:72" ht="14.25" customHeight="1" x14ac:dyDescent="0.35">
      <c r="B24" s="1315" t="s">
        <v>388</v>
      </c>
      <c r="C24" s="1315"/>
      <c r="D24" s="1315"/>
      <c r="E24" s="1315"/>
      <c r="F24" s="1315"/>
      <c r="G24" s="1315"/>
      <c r="H24" s="1315"/>
      <c r="I24" s="1315"/>
      <c r="J24" s="1315"/>
      <c r="K24" s="1315"/>
      <c r="L24" s="1315"/>
      <c r="M24" s="1315"/>
      <c r="N24" s="1315"/>
      <c r="O24" s="1315"/>
      <c r="P24" s="1315"/>
      <c r="Q24" s="1315"/>
      <c r="R24" s="1315"/>
      <c r="S24" s="1315"/>
      <c r="T24" s="1315"/>
      <c r="U24" s="1315"/>
      <c r="V24" s="1315"/>
      <c r="W24" s="1315"/>
      <c r="X24" s="1315"/>
      <c r="Y24" s="1315"/>
      <c r="Z24" s="1315"/>
      <c r="AA24" s="1315"/>
      <c r="AB24" s="1315"/>
      <c r="AC24" s="1315"/>
      <c r="AD24" s="224"/>
      <c r="AE24" s="224"/>
      <c r="AF24" s="224"/>
      <c r="AG24" s="224"/>
      <c r="AH24" s="224"/>
      <c r="AJ24" s="96"/>
    </row>
    <row r="25" spans="2:72" x14ac:dyDescent="0.35">
      <c r="B25" s="1315"/>
      <c r="C25" s="1315"/>
      <c r="D25" s="1315"/>
      <c r="E25" s="1315"/>
      <c r="F25" s="1315"/>
      <c r="G25" s="1315"/>
      <c r="H25" s="1315"/>
      <c r="I25" s="1315"/>
      <c r="J25" s="1315"/>
      <c r="K25" s="1315"/>
      <c r="L25" s="1315"/>
      <c r="M25" s="1315"/>
      <c r="N25" s="1315"/>
      <c r="O25" s="1315"/>
      <c r="P25" s="1315"/>
      <c r="Q25" s="1315"/>
      <c r="R25" s="1315"/>
      <c r="S25" s="1315"/>
      <c r="T25" s="1315"/>
      <c r="U25" s="1315"/>
      <c r="V25" s="1315"/>
      <c r="W25" s="1315"/>
      <c r="X25" s="1315"/>
      <c r="Y25" s="1315"/>
      <c r="Z25" s="1315"/>
      <c r="AA25" s="1315"/>
      <c r="AB25" s="1315"/>
      <c r="AC25" s="1315"/>
      <c r="AD25" s="224"/>
      <c r="AE25" s="224"/>
      <c r="AF25" s="224"/>
      <c r="AG25" s="224"/>
      <c r="AH25" s="224"/>
    </row>
    <row r="26" spans="2:72" x14ac:dyDescent="0.35">
      <c r="B26" s="1315"/>
      <c r="C26" s="1315"/>
      <c r="D26" s="1315"/>
      <c r="E26" s="1315"/>
      <c r="F26" s="1315"/>
      <c r="G26" s="1315"/>
      <c r="H26" s="1315"/>
      <c r="I26" s="1315"/>
      <c r="J26" s="1315"/>
      <c r="K26" s="1315"/>
      <c r="L26" s="1315"/>
      <c r="M26" s="1315"/>
      <c r="N26" s="1315"/>
      <c r="O26" s="1315"/>
      <c r="P26" s="1315"/>
      <c r="Q26" s="1315"/>
      <c r="R26" s="1315"/>
      <c r="S26" s="1315"/>
      <c r="T26" s="1315"/>
      <c r="U26" s="1315"/>
      <c r="V26" s="1315"/>
      <c r="W26" s="1315"/>
      <c r="X26" s="1315"/>
      <c r="Y26" s="1315"/>
      <c r="Z26" s="1315"/>
      <c r="AA26" s="1315"/>
      <c r="AB26" s="1315"/>
      <c r="AC26" s="1315"/>
      <c r="AD26" s="224"/>
      <c r="AE26" s="224"/>
      <c r="AF26" s="224"/>
      <c r="AG26" s="224"/>
      <c r="AH26" s="224"/>
    </row>
    <row r="28" spans="2:72" x14ac:dyDescent="0.35">
      <c r="B28" s="1319" t="s">
        <v>278</v>
      </c>
      <c r="C28" s="1368"/>
      <c r="D28" s="1329" t="s">
        <v>279</v>
      </c>
      <c r="E28" s="1329"/>
      <c r="F28" s="1329"/>
      <c r="G28" s="1329"/>
      <c r="H28" s="1329"/>
      <c r="I28" s="1329"/>
      <c r="J28" s="1329"/>
      <c r="K28" s="1329"/>
      <c r="L28" s="1329"/>
      <c r="M28" s="1329"/>
      <c r="N28" s="1329"/>
      <c r="O28" s="1329"/>
      <c r="P28" s="1329"/>
      <c r="Q28" s="1329"/>
      <c r="R28" s="1329"/>
      <c r="S28" s="1329"/>
      <c r="T28" s="1329"/>
      <c r="U28" s="1329"/>
      <c r="V28" s="1329"/>
      <c r="W28" s="1329"/>
      <c r="X28" s="1329"/>
      <c r="Y28" s="1329"/>
      <c r="Z28" s="1329"/>
      <c r="AA28" s="1329"/>
      <c r="AB28" s="1329"/>
      <c r="AC28" s="1327" t="s">
        <v>280</v>
      </c>
      <c r="AD28" s="1327"/>
      <c r="AE28" s="1327"/>
      <c r="AF28" s="1327"/>
      <c r="AG28" s="1327"/>
      <c r="AH28" s="1327"/>
      <c r="AI28" s="1327"/>
      <c r="AJ28" s="1327"/>
      <c r="AK28" s="1327"/>
      <c r="AL28" s="1327"/>
      <c r="AM28" s="1327"/>
      <c r="AN28" s="1328"/>
    </row>
    <row r="29" spans="2:72" x14ac:dyDescent="0.35">
      <c r="B29" s="1321"/>
      <c r="C29" s="1322"/>
      <c r="D29" s="225">
        <v>2018</v>
      </c>
      <c r="E29" s="1316">
        <v>2019</v>
      </c>
      <c r="F29" s="1317"/>
      <c r="G29" s="1317"/>
      <c r="H29" s="1318"/>
      <c r="I29" s="1316">
        <v>2020</v>
      </c>
      <c r="J29" s="1317"/>
      <c r="K29" s="1317"/>
      <c r="L29" s="1317"/>
      <c r="M29" s="1316">
        <v>2021</v>
      </c>
      <c r="N29" s="1317"/>
      <c r="O29" s="1317"/>
      <c r="P29" s="1317"/>
      <c r="Q29" s="1316">
        <v>2022</v>
      </c>
      <c r="R29" s="1317"/>
      <c r="S29" s="1317"/>
      <c r="T29" s="1318"/>
      <c r="U29" s="1316">
        <v>2023</v>
      </c>
      <c r="V29" s="1317"/>
      <c r="W29" s="1317"/>
      <c r="X29" s="1318"/>
      <c r="Y29" s="293"/>
      <c r="Z29" s="231">
        <v>2024</v>
      </c>
      <c r="AA29" s="231"/>
      <c r="AB29" s="230"/>
      <c r="AC29" s="1325">
        <v>2025</v>
      </c>
      <c r="AD29" s="1326"/>
      <c r="AE29" s="1326"/>
      <c r="AF29" s="1326"/>
      <c r="AG29" s="1325">
        <v>2026</v>
      </c>
      <c r="AH29" s="1326"/>
      <c r="AI29" s="1326"/>
      <c r="AJ29" s="1330"/>
      <c r="AK29" s="1325">
        <v>2027</v>
      </c>
      <c r="AL29" s="1326"/>
      <c r="AM29" s="1326"/>
      <c r="AN29" s="1330"/>
    </row>
    <row r="30" spans="2:72" x14ac:dyDescent="0.35">
      <c r="B30" s="1321"/>
      <c r="C30" s="1322"/>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70" t="s">
        <v>399</v>
      </c>
      <c r="C47" s="1370"/>
      <c r="D47" s="1370"/>
      <c r="E47" s="1370"/>
      <c r="F47" s="1370"/>
      <c r="G47" s="1370"/>
      <c r="H47" s="1370"/>
      <c r="I47" s="1370"/>
      <c r="J47" s="1370"/>
      <c r="K47" s="1370"/>
      <c r="L47" s="1370"/>
      <c r="M47" s="1370"/>
      <c r="N47" s="1370"/>
      <c r="O47" s="1370"/>
      <c r="P47" s="1370"/>
      <c r="Q47" s="1370"/>
      <c r="R47" s="1370"/>
      <c r="S47" s="1370"/>
      <c r="T47" s="1370"/>
      <c r="U47" s="1370"/>
      <c r="V47" s="1370"/>
      <c r="W47" s="1370"/>
      <c r="X47" s="1370"/>
      <c r="Y47" s="1370"/>
      <c r="Z47" s="1370"/>
      <c r="AA47" s="1370"/>
      <c r="AB47" s="1370"/>
      <c r="AC47" s="1370"/>
      <c r="AD47" s="223"/>
      <c r="AE47">
        <f>AVERAGE(AE44:AG44)</f>
        <v>389196.33333333331</v>
      </c>
      <c r="AF47" s="223"/>
      <c r="AG47" s="223"/>
      <c r="AH47" s="223"/>
      <c r="AL47" s="249"/>
    </row>
    <row r="48" spans="2:72" ht="20.25" customHeight="1" x14ac:dyDescent="0.35">
      <c r="B48" s="1370"/>
      <c r="C48" s="1370"/>
      <c r="D48" s="1370"/>
      <c r="E48" s="1370"/>
      <c r="F48" s="1370"/>
      <c r="G48" s="1370"/>
      <c r="H48" s="1370"/>
      <c r="I48" s="1370"/>
      <c r="J48" s="1370"/>
      <c r="K48" s="1370"/>
      <c r="L48" s="1370"/>
      <c r="M48" s="1370"/>
      <c r="N48" s="1370"/>
      <c r="O48" s="1370"/>
      <c r="P48" s="1370"/>
      <c r="Q48" s="1370"/>
      <c r="R48" s="1370"/>
      <c r="S48" s="1370"/>
      <c r="T48" s="1370"/>
      <c r="U48" s="1370"/>
      <c r="V48" s="1370"/>
      <c r="W48" s="1370"/>
      <c r="X48" s="1370"/>
      <c r="Y48" s="1370"/>
      <c r="Z48" s="1370"/>
      <c r="AA48" s="1370"/>
      <c r="AB48" s="1370"/>
      <c r="AC48" s="1370"/>
      <c r="AD48" s="223"/>
      <c r="AE48" s="223"/>
      <c r="AF48" s="223"/>
      <c r="AG48" s="223"/>
      <c r="AH48" s="223"/>
      <c r="AL48" s="249"/>
    </row>
    <row r="49" spans="2:40" ht="14.25" customHeight="1" x14ac:dyDescent="0.35">
      <c r="B49" s="1369" t="s">
        <v>400</v>
      </c>
      <c r="C49" s="1369"/>
      <c r="D49" s="1369"/>
      <c r="E49" s="1369"/>
      <c r="F49" s="1369"/>
      <c r="G49" s="1369"/>
      <c r="H49" s="1369"/>
      <c r="I49" s="1369"/>
      <c r="J49" s="1369"/>
      <c r="K49" s="1369"/>
      <c r="L49" s="1369"/>
      <c r="M49" s="1369"/>
      <c r="N49" s="1369"/>
      <c r="O49" s="1369"/>
      <c r="P49" s="1369"/>
      <c r="Q49" s="1369"/>
      <c r="R49" s="1369"/>
      <c r="S49" s="1369"/>
      <c r="T49" s="1369"/>
      <c r="U49" s="1369"/>
      <c r="V49" s="1369"/>
      <c r="W49" s="1369"/>
      <c r="X49" s="1369"/>
      <c r="Y49" s="1369"/>
      <c r="Z49" s="1369"/>
      <c r="AA49" s="1369"/>
      <c r="AB49" s="1369"/>
      <c r="AC49" s="1369"/>
      <c r="AD49" s="390"/>
      <c r="AE49" s="390"/>
      <c r="AF49" s="390"/>
      <c r="AG49" s="390"/>
      <c r="AH49" s="390"/>
      <c r="AL49" s="249"/>
    </row>
    <row r="50" spans="2:40" x14ac:dyDescent="0.35">
      <c r="B50" s="1369"/>
      <c r="C50" s="1369"/>
      <c r="D50" s="1369"/>
      <c r="E50" s="1369"/>
      <c r="F50" s="1369"/>
      <c r="G50" s="1369"/>
      <c r="H50" s="1369"/>
      <c r="I50" s="1369"/>
      <c r="J50" s="1369"/>
      <c r="K50" s="1369"/>
      <c r="L50" s="1369"/>
      <c r="M50" s="1369"/>
      <c r="N50" s="1369"/>
      <c r="O50" s="1369"/>
      <c r="P50" s="1369"/>
      <c r="Q50" s="1369"/>
      <c r="R50" s="1369"/>
      <c r="S50" s="1369"/>
      <c r="T50" s="1369"/>
      <c r="U50" s="1369"/>
      <c r="V50" s="1369"/>
      <c r="W50" s="1369"/>
      <c r="X50" s="1369"/>
      <c r="Y50" s="1369"/>
      <c r="Z50" s="1369"/>
      <c r="AA50" s="1369"/>
      <c r="AB50" s="1369"/>
      <c r="AC50" s="1369"/>
      <c r="AD50" s="390"/>
      <c r="AE50" s="390"/>
      <c r="AF50" s="390"/>
      <c r="AG50" s="390"/>
      <c r="AH50" s="390"/>
      <c r="AL50" s="249"/>
    </row>
    <row r="51" spans="2:40" ht="8.9" customHeight="1" x14ac:dyDescent="0.35">
      <c r="B51" s="1369"/>
      <c r="C51" s="1369"/>
      <c r="D51" s="1369"/>
      <c r="E51" s="1369"/>
      <c r="F51" s="1369"/>
      <c r="G51" s="1369"/>
      <c r="H51" s="1369"/>
      <c r="I51" s="1369"/>
      <c r="J51" s="1369"/>
      <c r="K51" s="1369"/>
      <c r="L51" s="1369"/>
      <c r="M51" s="1369"/>
      <c r="N51" s="1369"/>
      <c r="O51" s="1369"/>
      <c r="P51" s="1369"/>
      <c r="Q51" s="1369"/>
      <c r="R51" s="1369"/>
      <c r="S51" s="1369"/>
      <c r="T51" s="1369"/>
      <c r="U51" s="1369"/>
      <c r="V51" s="1369"/>
      <c r="W51" s="1369"/>
      <c r="X51" s="1369"/>
      <c r="Y51" s="1369"/>
      <c r="Z51" s="1369"/>
      <c r="AA51" s="1369"/>
      <c r="AB51" s="1369"/>
      <c r="AC51" s="1369"/>
      <c r="AD51" s="390"/>
      <c r="AE51" s="390"/>
      <c r="AF51" s="390"/>
      <c r="AG51" s="390"/>
      <c r="AH51" s="390"/>
      <c r="AL51" s="249"/>
    </row>
    <row r="52" spans="2:40" ht="12.75" customHeight="1" x14ac:dyDescent="0.35">
      <c r="AL52" s="249"/>
    </row>
    <row r="53" spans="2:40" ht="30.75" customHeight="1" x14ac:dyDescent="0.35">
      <c r="B53" s="1319" t="s">
        <v>278</v>
      </c>
      <c r="C53" s="1371"/>
      <c r="D53" s="1343" t="s">
        <v>279</v>
      </c>
      <c r="E53" s="1344"/>
      <c r="F53" s="1344"/>
      <c r="G53" s="1344"/>
      <c r="H53" s="1344"/>
      <c r="I53" s="1344"/>
      <c r="J53" s="1344"/>
      <c r="K53" s="1344"/>
      <c r="L53" s="1344"/>
      <c r="M53" s="1344"/>
      <c r="N53" s="1344"/>
      <c r="O53" s="1344"/>
      <c r="P53" s="1344"/>
      <c r="Q53" s="1344"/>
      <c r="R53" s="1344"/>
      <c r="S53" s="1344"/>
      <c r="T53" s="1344"/>
      <c r="U53" s="1344"/>
      <c r="V53" s="1344"/>
      <c r="W53" s="1344"/>
      <c r="X53" s="1344"/>
      <c r="Y53" s="1344"/>
      <c r="Z53" s="1344"/>
      <c r="AA53" s="1345"/>
      <c r="AB53" s="1347" t="s">
        <v>280</v>
      </c>
      <c r="AC53" s="1327"/>
      <c r="AD53" s="1327"/>
      <c r="AE53" s="1327"/>
      <c r="AF53" s="1327"/>
      <c r="AG53" s="1327"/>
      <c r="AH53" s="1327"/>
      <c r="AI53" s="1327"/>
      <c r="AJ53" s="1327"/>
      <c r="AK53" s="1327"/>
      <c r="AL53" s="1327"/>
      <c r="AM53" s="1327"/>
      <c r="AN53" s="1328"/>
    </row>
    <row r="54" spans="2:40" x14ac:dyDescent="0.35">
      <c r="B54" s="1321"/>
      <c r="C54" s="1372"/>
      <c r="D54" s="296">
        <v>2018</v>
      </c>
      <c r="E54" s="1338">
        <v>2019</v>
      </c>
      <c r="F54" s="1339"/>
      <c r="G54" s="1339"/>
      <c r="H54" s="1340"/>
      <c r="I54" s="1338">
        <v>2020</v>
      </c>
      <c r="J54" s="1339"/>
      <c r="K54" s="1339"/>
      <c r="L54" s="1339"/>
      <c r="M54" s="1338">
        <v>2021</v>
      </c>
      <c r="N54" s="1339"/>
      <c r="O54" s="1339"/>
      <c r="P54" s="1339"/>
      <c r="Q54" s="1338">
        <v>2022</v>
      </c>
      <c r="R54" s="1346"/>
      <c r="S54" s="1346"/>
      <c r="T54" s="1346"/>
      <c r="U54" s="1338">
        <v>2023</v>
      </c>
      <c r="V54" s="1346"/>
      <c r="W54" s="1346"/>
      <c r="X54" s="1340"/>
      <c r="Y54" s="460"/>
      <c r="Z54" s="302">
        <v>2024</v>
      </c>
      <c r="AA54" s="302"/>
      <c r="AB54" s="335"/>
      <c r="AC54" s="1325">
        <v>2025</v>
      </c>
      <c r="AD54" s="1326"/>
      <c r="AE54" s="1326"/>
      <c r="AF54" s="1330"/>
      <c r="AG54" s="1325">
        <v>2026</v>
      </c>
      <c r="AH54" s="1326"/>
      <c r="AI54" s="1326"/>
      <c r="AJ54" s="1330"/>
      <c r="AK54" s="1325">
        <v>2027</v>
      </c>
      <c r="AL54" s="1326"/>
      <c r="AM54" s="1326"/>
      <c r="AN54" s="1330"/>
    </row>
    <row r="55" spans="2:40" x14ac:dyDescent="0.35">
      <c r="B55" s="1323"/>
      <c r="C55" s="1373"/>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E54:H54"/>
    <mergeCell ref="B28:C30"/>
    <mergeCell ref="M29:P29"/>
    <mergeCell ref="I29:L29"/>
    <mergeCell ref="Q54:T54"/>
    <mergeCell ref="B49:AC51"/>
    <mergeCell ref="B47:AC48"/>
    <mergeCell ref="B53:C55"/>
    <mergeCell ref="I54:L54"/>
    <mergeCell ref="B1:AC1"/>
    <mergeCell ref="B6:C8"/>
    <mergeCell ref="E7:H7"/>
    <mergeCell ref="I7:L7"/>
    <mergeCell ref="B2:AC4"/>
    <mergeCell ref="Q7:T7"/>
    <mergeCell ref="AC7:AF7"/>
    <mergeCell ref="M7:P7"/>
    <mergeCell ref="AK7:AN7"/>
    <mergeCell ref="AG7:AJ7"/>
    <mergeCell ref="AC6:AN6"/>
    <mergeCell ref="D6:AB6"/>
    <mergeCell ref="B23:AC23"/>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11" activePane="bottomRight" state="frozen"/>
      <selection pane="topRight" activeCell="D1" sqref="D1"/>
      <selection pane="bottomLeft" activeCell="A11" sqref="A11"/>
      <selection pane="bottomRight" activeCell="AD14" sqref="AD1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4" t="s">
        <v>52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9" customHeight="1" x14ac:dyDescent="0.35">
      <c r="B2" s="1315" t="s">
        <v>855</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40" ht="14.9" customHeight="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40" ht="5.9" customHeight="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40" ht="1.5" customHeight="1"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row>
    <row r="6" spans="2:40" ht="14.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19" t="s">
        <v>402</v>
      </c>
      <c r="C8" s="1320"/>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7" t="s">
        <v>280</v>
      </c>
      <c r="AD8" s="1327"/>
      <c r="AE8" s="1327"/>
      <c r="AF8" s="1327"/>
      <c r="AG8" s="1327"/>
      <c r="AH8" s="1327"/>
      <c r="AI8" s="1327"/>
      <c r="AJ8" s="1327"/>
      <c r="AK8" s="1327"/>
      <c r="AL8" s="1327"/>
      <c r="AM8" s="1327"/>
      <c r="AN8" s="1328"/>
    </row>
    <row r="9" spans="2:40" x14ac:dyDescent="0.35">
      <c r="B9" s="1321"/>
      <c r="C9" s="1322"/>
      <c r="D9" s="225">
        <v>2018</v>
      </c>
      <c r="E9" s="1316">
        <v>2019</v>
      </c>
      <c r="F9" s="1317"/>
      <c r="G9" s="1317"/>
      <c r="H9" s="1378"/>
      <c r="I9" s="1316">
        <v>2020</v>
      </c>
      <c r="J9" s="1317"/>
      <c r="K9" s="1317"/>
      <c r="L9" s="1317"/>
      <c r="M9" s="1316">
        <v>2021</v>
      </c>
      <c r="N9" s="1317"/>
      <c r="O9" s="1317"/>
      <c r="P9" s="1317"/>
      <c r="Q9" s="1338">
        <v>2022</v>
      </c>
      <c r="R9" s="1346"/>
      <c r="S9" s="1346"/>
      <c r="T9" s="1346"/>
      <c r="U9" s="1338">
        <v>2023</v>
      </c>
      <c r="V9" s="1346"/>
      <c r="W9" s="1346"/>
      <c r="X9" s="1340"/>
      <c r="Y9" s="460"/>
      <c r="Z9" s="442">
        <v>2024</v>
      </c>
      <c r="AA9" s="442"/>
      <c r="AB9" s="309"/>
      <c r="AC9" s="1325">
        <v>2025</v>
      </c>
      <c r="AD9" s="1331"/>
      <c r="AE9" s="1331"/>
      <c r="AF9" s="1330"/>
      <c r="AG9" s="1325">
        <v>2026</v>
      </c>
      <c r="AH9" s="1326"/>
      <c r="AI9" s="1326"/>
      <c r="AJ9" s="1330"/>
      <c r="AK9" s="1325">
        <v>2027</v>
      </c>
      <c r="AL9" s="1326"/>
      <c r="AM9" s="1326"/>
      <c r="AN9" s="1330"/>
    </row>
    <row r="10" spans="2:40" x14ac:dyDescent="0.35">
      <c r="B10" s="1323"/>
      <c r="C10" s="1324"/>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76" t="s">
        <v>416</v>
      </c>
      <c r="C28" s="1377"/>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4" t="s">
        <v>421</v>
      </c>
      <c r="C35" s="1375"/>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4" t="s">
        <v>426</v>
      </c>
      <c r="C44" s="1375"/>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5" activePane="bottomRight" state="frozen"/>
      <selection pane="topRight" activeCell="C1" sqref="C1"/>
      <selection pane="bottomLeft" activeCell="A5" sqref="A5"/>
      <selection pane="bottomRight" activeCell="AG14" sqref="AG14"/>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4" t="s">
        <v>54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2:41" ht="14.25" customHeight="1" x14ac:dyDescent="0.35">
      <c r="B2" s="1395" t="s">
        <v>856</v>
      </c>
      <c r="C2" s="1395"/>
      <c r="D2" s="1395"/>
      <c r="E2" s="1395"/>
      <c r="F2" s="1395"/>
      <c r="G2" s="1395"/>
      <c r="H2" s="1395"/>
      <c r="I2" s="1395"/>
      <c r="J2" s="1395"/>
      <c r="K2" s="1395"/>
      <c r="L2" s="1395"/>
      <c r="M2" s="1395"/>
      <c r="N2" s="1395"/>
      <c r="O2" s="1395"/>
      <c r="P2" s="1395"/>
      <c r="Q2" s="1395"/>
      <c r="R2" s="1395"/>
      <c r="S2" s="1395"/>
      <c r="T2" s="1395"/>
      <c r="U2" s="1395"/>
      <c r="V2" s="1394" t="s">
        <v>904</v>
      </c>
      <c r="W2" s="1394"/>
      <c r="X2" s="1394"/>
      <c r="Y2" s="1394"/>
      <c r="Z2" s="1394"/>
      <c r="AA2" s="1394"/>
      <c r="AB2" s="1394"/>
      <c r="AC2" s="602"/>
      <c r="AD2" s="602"/>
      <c r="AE2" s="602"/>
      <c r="AF2" s="602"/>
      <c r="AG2" s="602"/>
      <c r="AH2" s="602"/>
    </row>
    <row r="3" spans="2:41" ht="59.9" customHeight="1" x14ac:dyDescent="0.35">
      <c r="B3" s="1395"/>
      <c r="C3" s="1395"/>
      <c r="D3" s="1395"/>
      <c r="E3" s="1395"/>
      <c r="F3" s="1395"/>
      <c r="G3" s="1395"/>
      <c r="H3" s="1395"/>
      <c r="I3" s="1395"/>
      <c r="J3" s="1395"/>
      <c r="K3" s="1395"/>
      <c r="L3" s="1395"/>
      <c r="M3" s="1395"/>
      <c r="N3" s="1395"/>
      <c r="O3" s="1395"/>
      <c r="P3" s="1395"/>
      <c r="Q3" s="1395"/>
      <c r="R3" s="1395"/>
      <c r="S3" s="1395"/>
      <c r="T3" s="1395"/>
      <c r="U3" s="1395"/>
      <c r="V3" s="1394"/>
      <c r="W3" s="1394"/>
      <c r="X3" s="1394"/>
      <c r="Y3" s="1394"/>
      <c r="Z3" s="1394"/>
      <c r="AA3" s="1394"/>
      <c r="AB3" s="1394"/>
      <c r="AC3" s="602"/>
      <c r="AD3" s="602"/>
      <c r="AE3" s="602"/>
      <c r="AF3" s="602"/>
      <c r="AG3" s="602"/>
      <c r="AH3" s="602"/>
    </row>
    <row r="4" spans="2:41" ht="88.5" customHeight="1" x14ac:dyDescent="0.35">
      <c r="B4" s="1395"/>
      <c r="C4" s="1395"/>
      <c r="D4" s="1395"/>
      <c r="E4" s="1395"/>
      <c r="F4" s="1395"/>
      <c r="G4" s="1395"/>
      <c r="H4" s="1395"/>
      <c r="I4" s="1395"/>
      <c r="J4" s="1395"/>
      <c r="K4" s="1395"/>
      <c r="L4" s="1395"/>
      <c r="M4" s="1395"/>
      <c r="N4" s="1395"/>
      <c r="O4" s="1395"/>
      <c r="P4" s="1395"/>
      <c r="Q4" s="1395"/>
      <c r="R4" s="1395"/>
      <c r="S4" s="1395"/>
      <c r="T4" s="1395"/>
      <c r="U4" s="1395"/>
      <c r="V4" s="1394"/>
      <c r="W4" s="1394"/>
      <c r="X4" s="1394"/>
      <c r="Y4" s="1394"/>
      <c r="Z4" s="1394"/>
      <c r="AA4" s="1394"/>
      <c r="AB4" s="1394"/>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96"/>
      <c r="C6" s="1396"/>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19" t="s">
        <v>402</v>
      </c>
      <c r="C7" s="1320"/>
      <c r="D7" s="1343" t="s">
        <v>279</v>
      </c>
      <c r="E7" s="1344"/>
      <c r="F7" s="1344"/>
      <c r="G7" s="1344"/>
      <c r="H7" s="1344"/>
      <c r="I7" s="1344"/>
      <c r="J7" s="1344"/>
      <c r="K7" s="1344"/>
      <c r="L7" s="1344"/>
      <c r="M7" s="1344"/>
      <c r="N7" s="1344"/>
      <c r="O7" s="1344"/>
      <c r="P7" s="1344"/>
      <c r="Q7" s="1344"/>
      <c r="R7" s="1344"/>
      <c r="S7" s="1344"/>
      <c r="T7" s="1344"/>
      <c r="U7" s="1344"/>
      <c r="V7" s="1344"/>
      <c r="W7" s="1344"/>
      <c r="X7" s="1344"/>
      <c r="Y7" s="1344"/>
      <c r="Z7" s="1344"/>
      <c r="AA7" s="1344"/>
      <c r="AB7" s="1345"/>
      <c r="AC7" s="1347" t="s">
        <v>280</v>
      </c>
      <c r="AD7" s="1327"/>
      <c r="AE7" s="1327"/>
      <c r="AF7" s="1327"/>
      <c r="AG7" s="1327"/>
      <c r="AH7" s="1327"/>
      <c r="AI7" s="1327"/>
      <c r="AJ7" s="1327"/>
      <c r="AK7" s="1327"/>
      <c r="AL7" s="1327"/>
      <c r="AM7" s="1327"/>
      <c r="AN7" s="1328"/>
    </row>
    <row r="8" spans="2:41" x14ac:dyDescent="0.35">
      <c r="B8" s="1321"/>
      <c r="C8" s="1322"/>
      <c r="D8" s="296">
        <v>2018</v>
      </c>
      <c r="E8" s="1338">
        <v>2019</v>
      </c>
      <c r="F8" s="1346"/>
      <c r="G8" s="1346"/>
      <c r="H8" s="1340"/>
      <c r="I8" s="1338">
        <v>2020</v>
      </c>
      <c r="J8" s="1346"/>
      <c r="K8" s="1346"/>
      <c r="L8" s="1340"/>
      <c r="M8" s="1338">
        <v>2021</v>
      </c>
      <c r="N8" s="1346"/>
      <c r="O8" s="1346"/>
      <c r="P8" s="1340"/>
      <c r="Q8" s="1338">
        <v>2022</v>
      </c>
      <c r="R8" s="1346"/>
      <c r="S8" s="1346"/>
      <c r="T8" s="1340"/>
      <c r="U8" s="302"/>
      <c r="V8" s="302">
        <v>2023</v>
      </c>
      <c r="W8" s="302"/>
      <c r="X8" s="309"/>
      <c r="Y8" s="460"/>
      <c r="Z8" s="302">
        <v>2024</v>
      </c>
      <c r="AA8" s="302"/>
      <c r="AB8" s="309"/>
      <c r="AC8" s="1325">
        <v>2025</v>
      </c>
      <c r="AD8" s="1326"/>
      <c r="AE8" s="1326"/>
      <c r="AF8" s="1330"/>
      <c r="AG8" s="1325">
        <v>2026</v>
      </c>
      <c r="AH8" s="1326"/>
      <c r="AI8" s="1326"/>
      <c r="AJ8" s="1330"/>
      <c r="AK8" s="1325">
        <v>2027</v>
      </c>
      <c r="AL8" s="1326"/>
      <c r="AM8" s="1326"/>
      <c r="AN8" s="1330"/>
      <c r="AO8" s="249"/>
    </row>
    <row r="9" spans="2:41"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30">
        <f>'Haver Pivoted'!HD13</f>
        <v>819</v>
      </c>
      <c r="T10" s="583">
        <f>'Haver Pivoted'!HE13</f>
        <v>827.5</v>
      </c>
      <c r="U10" s="583">
        <f>'Haver Pivoted'!HF13</f>
        <v>877.6</v>
      </c>
      <c r="V10" s="1230">
        <f>'Haver Pivoted'!HG13</f>
        <v>911.6</v>
      </c>
      <c r="W10" s="1230">
        <f>'Haver Pivoted'!HH13</f>
        <v>867.2</v>
      </c>
      <c r="X10" s="583">
        <f>'Haver Pivoted'!HI13</f>
        <v>856.2</v>
      </c>
      <c r="Y10" s="583">
        <f>'Haver Pivoted'!HJ13</f>
        <v>904.8</v>
      </c>
      <c r="Z10" s="1230">
        <f>'Haver Pivoted'!HK13</f>
        <v>924.7</v>
      </c>
      <c r="AA10" s="1230">
        <f>'Haver Pivoted'!HL13</f>
        <v>932.4</v>
      </c>
      <c r="AB10" s="583">
        <f>'Haver Pivoted'!HM13</f>
        <v>944.8</v>
      </c>
      <c r="AC10" s="583">
        <f>'Haver Pivoted'!HN13</f>
        <v>957.6</v>
      </c>
      <c r="AD10" s="1230">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1">
        <f>'Haver Pivoted'!HD40</f>
        <v>617.88900000000001</v>
      </c>
      <c r="T11" s="1231">
        <f>'Haver Pivoted'!HE40</f>
        <v>611.67999999999995</v>
      </c>
      <c r="U11" s="1231">
        <f>'Haver Pivoted'!HF40</f>
        <v>632.66</v>
      </c>
      <c r="V11" s="1231">
        <f>'Haver Pivoted'!HG40</f>
        <v>628.88699999999994</v>
      </c>
      <c r="W11" s="1231">
        <f>'Haver Pivoted'!HH40</f>
        <v>585.98400000000004</v>
      </c>
      <c r="X11" s="1231">
        <f>'Haver Pivoted'!HI40</f>
        <v>612.03399999999999</v>
      </c>
      <c r="Y11" s="1231">
        <f>'Haver Pivoted'!HJ40</f>
        <v>618.72699999999998</v>
      </c>
      <c r="Z11" s="1231">
        <f>'Haver Pivoted'!HK40</f>
        <v>628.15700000000004</v>
      </c>
      <c r="AA11" s="1231">
        <f>'Haver Pivoted'!HL40</f>
        <v>641.23699999999997</v>
      </c>
      <c r="AB11" s="1231">
        <f>'Haver Pivoted'!HM40</f>
        <v>655.17499999999995</v>
      </c>
      <c r="AC11" s="1231">
        <f>'Haver Pivoted'!HN40</f>
        <v>647.03</v>
      </c>
      <c r="AD11" s="1231">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19" t="s">
        <v>434</v>
      </c>
      <c r="C23" s="1320"/>
      <c r="D23" s="1343" t="s">
        <v>279</v>
      </c>
      <c r="E23" s="1344"/>
      <c r="F23" s="1344"/>
      <c r="G23" s="1344"/>
      <c r="H23" s="1344"/>
      <c r="I23" s="1344"/>
      <c r="J23" s="1344"/>
      <c r="K23" s="1344"/>
      <c r="L23" s="1344"/>
      <c r="M23" s="1344"/>
      <c r="N23" s="1344"/>
      <c r="O23" s="1344"/>
      <c r="P23" s="1344"/>
      <c r="Q23" s="1344"/>
      <c r="R23" s="1344"/>
      <c r="S23" s="1344"/>
      <c r="T23" s="1344"/>
      <c r="U23" s="1344"/>
      <c r="V23" s="1344"/>
      <c r="W23" s="1344"/>
      <c r="X23" s="1344"/>
      <c r="Y23" s="1344"/>
      <c r="Z23" s="1344"/>
      <c r="AA23" s="1344"/>
      <c r="AB23" s="1345"/>
      <c r="AC23" s="1347" t="s">
        <v>280</v>
      </c>
      <c r="AD23" s="1327"/>
      <c r="AE23" s="1327"/>
      <c r="AF23" s="1327"/>
      <c r="AG23" s="1327"/>
      <c r="AH23" s="1327"/>
      <c r="AI23" s="1327"/>
      <c r="AJ23" s="1327"/>
      <c r="AK23" s="1327"/>
      <c r="AL23" s="1327"/>
      <c r="AM23" s="1327"/>
      <c r="AN23" s="1328"/>
    </row>
    <row r="24" spans="2:41" x14ac:dyDescent="0.35">
      <c r="B24" s="1321"/>
      <c r="C24" s="1322"/>
      <c r="D24" s="296">
        <v>2018</v>
      </c>
      <c r="E24" s="1338">
        <v>2019</v>
      </c>
      <c r="F24" s="1346"/>
      <c r="G24" s="1346"/>
      <c r="H24" s="1340"/>
      <c r="I24" s="1338">
        <v>2020</v>
      </c>
      <c r="J24" s="1346"/>
      <c r="K24" s="1346"/>
      <c r="L24" s="1340"/>
      <c r="M24" s="1338">
        <v>2021</v>
      </c>
      <c r="N24" s="1346"/>
      <c r="O24" s="1346"/>
      <c r="P24" s="1340"/>
      <c r="Q24" s="1338">
        <v>2022</v>
      </c>
      <c r="R24" s="1346"/>
      <c r="S24" s="1346"/>
      <c r="T24" s="1340"/>
      <c r="U24" s="460"/>
      <c r="V24" s="442">
        <v>2023</v>
      </c>
      <c r="W24" s="442"/>
      <c r="X24" s="309"/>
      <c r="Y24" s="460"/>
      <c r="Z24" s="442">
        <v>2024</v>
      </c>
      <c r="AA24" s="442"/>
      <c r="AB24" s="309"/>
      <c r="AC24" s="1325">
        <v>2025</v>
      </c>
      <c r="AD24" s="1326"/>
      <c r="AE24" s="1326"/>
      <c r="AF24" s="1330"/>
      <c r="AG24" s="1325">
        <v>2026</v>
      </c>
      <c r="AH24" s="1326"/>
      <c r="AI24" s="1326"/>
      <c r="AJ24" s="1330"/>
      <c r="AK24" s="1325">
        <v>2027</v>
      </c>
      <c r="AL24" s="1326"/>
      <c r="AM24" s="1326"/>
      <c r="AN24" s="1330"/>
    </row>
    <row r="25" spans="2:41" x14ac:dyDescent="0.35">
      <c r="B25" s="1323"/>
      <c r="C25" s="1324"/>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388" t="s">
        <v>438</v>
      </c>
      <c r="C39" s="1389"/>
      <c r="D39" s="1389"/>
      <c r="E39" s="1390"/>
      <c r="F39" s="233">
        <v>287</v>
      </c>
      <c r="G39" s="233">
        <v>534</v>
      </c>
      <c r="H39" s="233">
        <v>247</v>
      </c>
      <c r="I39" s="233">
        <v>63</v>
      </c>
      <c r="J39" s="233"/>
      <c r="K39" s="233"/>
      <c r="L39" s="233"/>
      <c r="M39" s="233"/>
      <c r="N39" s="233"/>
      <c r="O39" s="233"/>
      <c r="P39" s="569"/>
    </row>
    <row r="40" spans="2:34" ht="15" customHeight="1" x14ac:dyDescent="0.35">
      <c r="B40" s="1385" t="s">
        <v>439</v>
      </c>
      <c r="C40" s="1386"/>
      <c r="D40" s="1386"/>
      <c r="E40" s="1387"/>
      <c r="F40" s="233">
        <v>0</v>
      </c>
      <c r="G40" s="233">
        <v>0</v>
      </c>
      <c r="H40" s="233">
        <v>756</v>
      </c>
      <c r="I40" s="233">
        <v>1249</v>
      </c>
      <c r="J40" s="233">
        <v>1417</v>
      </c>
      <c r="K40" s="233">
        <v>1522</v>
      </c>
      <c r="L40" s="233">
        <v>1107</v>
      </c>
      <c r="M40" s="233"/>
      <c r="N40" s="233"/>
      <c r="O40" s="233"/>
      <c r="P40" s="569"/>
    </row>
    <row r="41" spans="2:34" ht="14.5" customHeight="1" x14ac:dyDescent="0.35">
      <c r="B41" s="1385" t="s">
        <v>440</v>
      </c>
      <c r="C41" s="1386"/>
      <c r="D41" s="1386"/>
      <c r="E41" s="1387"/>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82" t="s">
        <v>441</v>
      </c>
      <c r="C42" s="1383"/>
      <c r="D42" s="1383"/>
      <c r="E42" s="1384"/>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82" t="s">
        <v>442</v>
      </c>
      <c r="C43" s="1383"/>
      <c r="D43" s="1383"/>
      <c r="E43" s="1384"/>
      <c r="F43" s="233">
        <v>38</v>
      </c>
      <c r="G43" s="233">
        <v>81</v>
      </c>
      <c r="H43" s="233">
        <v>43</v>
      </c>
      <c r="I43" s="233"/>
      <c r="J43" s="233"/>
      <c r="K43" s="233"/>
      <c r="L43" s="233"/>
      <c r="M43" s="233"/>
      <c r="N43" s="233"/>
      <c r="O43" s="233"/>
      <c r="P43" s="569"/>
    </row>
    <row r="44" spans="2:34" ht="14.5" customHeight="1" x14ac:dyDescent="0.35">
      <c r="B44" s="1385" t="s">
        <v>443</v>
      </c>
      <c r="C44" s="1386"/>
      <c r="D44" s="1386"/>
      <c r="E44" s="1387"/>
      <c r="F44" s="233"/>
      <c r="G44" s="233"/>
      <c r="H44" s="233"/>
      <c r="I44" s="233">
        <v>-184</v>
      </c>
      <c r="J44" s="233">
        <v>-1830</v>
      </c>
      <c r="K44" s="233">
        <v>-2406</v>
      </c>
      <c r="L44" s="233">
        <v>-2419</v>
      </c>
      <c r="M44" s="233">
        <v>-2467</v>
      </c>
      <c r="N44" s="233">
        <v>-2531</v>
      </c>
      <c r="O44" s="233">
        <v>-2667</v>
      </c>
      <c r="P44" s="569">
        <v>-2809</v>
      </c>
    </row>
    <row r="45" spans="2:34" ht="15.75" customHeight="1" x14ac:dyDescent="0.35">
      <c r="B45" s="1391" t="s">
        <v>444</v>
      </c>
      <c r="C45" s="1392"/>
      <c r="D45" s="1392"/>
      <c r="E45" s="1393"/>
      <c r="F45" s="233">
        <v>6524</v>
      </c>
      <c r="G45" s="233">
        <v>6143</v>
      </c>
      <c r="H45" s="233"/>
      <c r="I45" s="233"/>
      <c r="J45" s="233"/>
      <c r="K45" s="233"/>
      <c r="L45" s="233"/>
      <c r="M45" s="233"/>
      <c r="N45" s="233"/>
      <c r="O45" s="233"/>
      <c r="P45" s="569"/>
    </row>
    <row r="46" spans="2:34" ht="14.5" customHeight="1" x14ac:dyDescent="0.35">
      <c r="B46" s="1385" t="s">
        <v>445</v>
      </c>
      <c r="C46" s="1386"/>
      <c r="D46" s="1386"/>
      <c r="E46" s="1387"/>
      <c r="F46" s="233">
        <v>50</v>
      </c>
      <c r="G46" s="233">
        <v>175</v>
      </c>
      <c r="H46" s="233">
        <v>25</v>
      </c>
      <c r="I46" s="233"/>
      <c r="J46" s="233"/>
      <c r="K46" s="233"/>
      <c r="L46" s="233"/>
      <c r="M46" s="233"/>
      <c r="N46" s="233"/>
      <c r="O46" s="233"/>
      <c r="P46" s="569"/>
    </row>
    <row r="47" spans="2:34" ht="14.5" customHeight="1" x14ac:dyDescent="0.35">
      <c r="B47" s="1385" t="s">
        <v>446</v>
      </c>
      <c r="C47" s="1386"/>
      <c r="D47" s="1386"/>
      <c r="E47" s="1387"/>
      <c r="F47" s="233">
        <v>829</v>
      </c>
      <c r="G47" s="233">
        <v>844</v>
      </c>
      <c r="H47" s="233"/>
      <c r="I47" s="233"/>
      <c r="J47" s="233"/>
      <c r="K47" s="233"/>
      <c r="L47" s="233"/>
      <c r="M47" s="233"/>
      <c r="N47" s="233"/>
      <c r="O47" s="233"/>
      <c r="P47" s="569"/>
    </row>
    <row r="48" spans="2:34" x14ac:dyDescent="0.35">
      <c r="B48" s="1397" t="s">
        <v>447</v>
      </c>
      <c r="C48" s="1398"/>
      <c r="D48" s="1398"/>
      <c r="E48" s="1399"/>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91" t="s">
        <v>448</v>
      </c>
      <c r="C49" s="1392"/>
      <c r="D49" s="1392"/>
      <c r="E49" s="1393"/>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5" t="s">
        <v>450</v>
      </c>
      <c r="C50" s="1386"/>
      <c r="D50" s="1386"/>
      <c r="E50" s="1387"/>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79"/>
      <c r="C52" s="1380"/>
      <c r="D52" s="1380"/>
      <c r="E52" s="1381"/>
      <c r="F52" s="568"/>
      <c r="G52" s="568"/>
      <c r="H52" s="568"/>
      <c r="I52" s="568"/>
      <c r="J52" s="568"/>
      <c r="K52" s="568"/>
      <c r="L52" s="568"/>
      <c r="M52" s="568"/>
      <c r="N52" s="568"/>
      <c r="O52" s="568"/>
      <c r="P52" s="581"/>
    </row>
  </sheetData>
  <mergeCells count="37">
    <mergeCell ref="B6:C6"/>
    <mergeCell ref="B45:E45"/>
    <mergeCell ref="B46:E46"/>
    <mergeCell ref="B47:E47"/>
    <mergeCell ref="B48:E48"/>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4" t="s">
        <v>55</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25" customHeight="1" x14ac:dyDescent="0.35">
      <c r="B2" s="1395" t="s">
        <v>857</v>
      </c>
      <c r="C2" s="1395"/>
      <c r="D2" s="1395"/>
      <c r="E2" s="1395"/>
      <c r="F2" s="1395"/>
      <c r="G2" s="1395"/>
      <c r="H2" s="1395"/>
      <c r="I2" s="1395"/>
      <c r="J2" s="1395"/>
      <c r="K2" s="1395"/>
      <c r="L2" s="1395"/>
      <c r="M2" s="1395"/>
      <c r="N2" s="1395"/>
      <c r="O2" s="1395"/>
      <c r="P2" s="1395"/>
      <c r="Q2" s="1395"/>
      <c r="R2" s="1395"/>
      <c r="S2" s="602"/>
      <c r="T2" s="1400" t="s">
        <v>905</v>
      </c>
      <c r="U2" s="1400"/>
      <c r="V2" s="1400"/>
      <c r="W2" s="1400"/>
      <c r="X2" s="1400"/>
      <c r="Y2" s="1400"/>
      <c r="Z2" s="1400"/>
      <c r="AA2" s="1400"/>
      <c r="AB2" s="1400"/>
      <c r="AC2" s="1400"/>
    </row>
    <row r="3" spans="2:40" x14ac:dyDescent="0.35">
      <c r="B3" s="1395"/>
      <c r="C3" s="1395"/>
      <c r="D3" s="1395"/>
      <c r="E3" s="1395"/>
      <c r="F3" s="1395"/>
      <c r="G3" s="1395"/>
      <c r="H3" s="1395"/>
      <c r="I3" s="1395"/>
      <c r="J3" s="1395"/>
      <c r="K3" s="1395"/>
      <c r="L3" s="1395"/>
      <c r="M3" s="1395"/>
      <c r="N3" s="1395"/>
      <c r="O3" s="1395"/>
      <c r="P3" s="1395"/>
      <c r="Q3" s="1395"/>
      <c r="R3" s="1395"/>
      <c r="S3" s="602"/>
      <c r="T3" s="1400"/>
      <c r="U3" s="1400"/>
      <c r="V3" s="1400"/>
      <c r="W3" s="1400"/>
      <c r="X3" s="1400"/>
      <c r="Y3" s="1400"/>
      <c r="Z3" s="1400"/>
      <c r="AA3" s="1400"/>
      <c r="AB3" s="1400"/>
      <c r="AC3" s="1400"/>
    </row>
    <row r="4" spans="2:40" ht="21" customHeight="1" x14ac:dyDescent="0.35">
      <c r="B4" s="1395"/>
      <c r="C4" s="1395"/>
      <c r="D4" s="1395"/>
      <c r="E4" s="1395"/>
      <c r="F4" s="1395"/>
      <c r="G4" s="1395"/>
      <c r="H4" s="1395"/>
      <c r="I4" s="1395"/>
      <c r="J4" s="1395"/>
      <c r="K4" s="1395"/>
      <c r="L4" s="1395"/>
      <c r="M4" s="1395"/>
      <c r="N4" s="1395"/>
      <c r="O4" s="1395"/>
      <c r="P4" s="1395"/>
      <c r="Q4" s="1395"/>
      <c r="R4" s="1395"/>
      <c r="S4" s="602"/>
      <c r="T4" s="1400"/>
      <c r="U4" s="1400"/>
      <c r="V4" s="1400"/>
      <c r="W4" s="1400"/>
      <c r="X4" s="1400"/>
      <c r="Y4" s="1400"/>
      <c r="Z4" s="1400"/>
      <c r="AA4" s="1400"/>
      <c r="AB4" s="1400"/>
      <c r="AC4" s="1400"/>
    </row>
    <row r="6" spans="2:40" x14ac:dyDescent="0.35">
      <c r="B6" s="529" t="s">
        <v>332</v>
      </c>
    </row>
    <row r="7" spans="2:40" ht="14.9" customHeight="1" x14ac:dyDescent="0.35">
      <c r="B7" s="1319" t="s">
        <v>402</v>
      </c>
      <c r="C7" s="1320"/>
      <c r="D7" s="1329" t="s">
        <v>279</v>
      </c>
      <c r="E7" s="1329"/>
      <c r="F7" s="1329"/>
      <c r="G7" s="1329"/>
      <c r="H7" s="1329"/>
      <c r="I7" s="1329"/>
      <c r="J7" s="1329"/>
      <c r="K7" s="1329"/>
      <c r="L7" s="1329"/>
      <c r="M7" s="1329"/>
      <c r="N7" s="1329"/>
      <c r="O7" s="1329"/>
      <c r="P7" s="1329"/>
      <c r="Q7" s="1329"/>
      <c r="R7" s="1329"/>
      <c r="S7" s="1329"/>
      <c r="T7" s="1329"/>
      <c r="U7" s="1329"/>
      <c r="V7" s="1329"/>
      <c r="W7" s="1329"/>
      <c r="X7" s="1329"/>
      <c r="Y7" s="1329"/>
      <c r="Z7" s="1329"/>
      <c r="AA7" s="1329"/>
      <c r="AB7" s="608"/>
      <c r="AC7" s="1347" t="s">
        <v>280</v>
      </c>
      <c r="AD7" s="1327"/>
      <c r="AE7" s="1327"/>
      <c r="AF7" s="1327"/>
      <c r="AG7" s="1327"/>
      <c r="AH7" s="1327"/>
      <c r="AI7" s="1327"/>
      <c r="AJ7" s="1327"/>
      <c r="AK7" s="1327"/>
      <c r="AL7" s="1327"/>
      <c r="AM7" s="1327"/>
      <c r="AN7" s="1328"/>
    </row>
    <row r="8" spans="2:40" x14ac:dyDescent="0.35">
      <c r="B8" s="1321"/>
      <c r="C8" s="1322"/>
      <c r="D8" s="296">
        <v>2018</v>
      </c>
      <c r="E8" s="1338">
        <v>2019</v>
      </c>
      <c r="F8" s="1339"/>
      <c r="G8" s="1339"/>
      <c r="H8" s="1340"/>
      <c r="I8" s="1338">
        <v>2020</v>
      </c>
      <c r="J8" s="1339"/>
      <c r="K8" s="1339"/>
      <c r="L8" s="1339"/>
      <c r="M8" s="1338">
        <v>2021</v>
      </c>
      <c r="N8" s="1339"/>
      <c r="O8" s="1339"/>
      <c r="P8" s="1346"/>
      <c r="Q8" s="1338">
        <v>2022</v>
      </c>
      <c r="R8" s="1346"/>
      <c r="S8" s="1346"/>
      <c r="T8" s="1346"/>
      <c r="U8" s="1338">
        <v>2023</v>
      </c>
      <c r="V8" s="1346"/>
      <c r="W8" s="1346"/>
      <c r="X8" s="1340"/>
      <c r="Y8" s="302"/>
      <c r="Z8" s="442">
        <v>2024</v>
      </c>
      <c r="AA8" s="442"/>
      <c r="AB8" s="309"/>
      <c r="AC8" s="1325">
        <v>2025</v>
      </c>
      <c r="AD8" s="1331"/>
      <c r="AE8" s="1331"/>
      <c r="AF8" s="1330"/>
      <c r="AG8" s="1325">
        <v>2026</v>
      </c>
      <c r="AH8" s="1331"/>
      <c r="AI8" s="1331"/>
      <c r="AJ8" s="1330"/>
      <c r="AK8" s="1325">
        <v>2027</v>
      </c>
      <c r="AL8" s="1331"/>
      <c r="AM8" s="1331"/>
      <c r="AN8" s="1330"/>
    </row>
    <row r="9" spans="2:40"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5"/>
  <sheetViews>
    <sheetView zoomScale="115" zoomScaleNormal="115" workbookViewId="0">
      <pane xSplit="3" ySplit="8" topLeftCell="T9" activePane="bottomRight" state="frozen"/>
      <selection pane="topRight" activeCell="D1" sqref="D1"/>
      <selection pane="bottomLeft" activeCell="A9" sqref="A9"/>
      <selection pane="bottomRight" activeCell="Y22" sqref="Y22"/>
    </sheetView>
  </sheetViews>
  <sheetFormatPr defaultColWidth="10.90625" defaultRowHeight="14.5" x14ac:dyDescent="0.35"/>
  <cols>
    <col min="1" max="1" width="16.81640625" customWidth="1"/>
  </cols>
  <sheetData>
    <row r="1" spans="2:36" x14ac:dyDescent="0.35">
      <c r="B1" s="1314" t="s">
        <v>1374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36" x14ac:dyDescent="0.35">
      <c r="B2" s="1315" t="s">
        <v>1377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36"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36"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36"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36" x14ac:dyDescent="0.35">
      <c r="B6" s="1319" t="s">
        <v>1690</v>
      </c>
      <c r="C6" s="1371"/>
      <c r="D6" s="1323" t="s">
        <v>279</v>
      </c>
      <c r="E6" s="1373"/>
      <c r="F6" s="1373"/>
      <c r="G6" s="1373"/>
      <c r="H6" s="1373"/>
      <c r="I6" s="1373"/>
      <c r="J6" s="1373"/>
      <c r="K6" s="1373"/>
      <c r="L6" s="1373"/>
      <c r="M6" s="1373"/>
      <c r="N6" s="1373"/>
      <c r="O6" s="1373"/>
      <c r="P6" s="1373"/>
      <c r="Q6" s="1372"/>
      <c r="R6" s="1372"/>
      <c r="S6" s="1372"/>
      <c r="T6" s="1372"/>
      <c r="U6" s="1372"/>
      <c r="V6" s="1322"/>
      <c r="W6" s="1401" t="s">
        <v>280</v>
      </c>
      <c r="X6" s="1402"/>
      <c r="Y6" s="1402"/>
      <c r="Z6" s="1402"/>
      <c r="AA6" s="1402"/>
      <c r="AB6" s="1402"/>
      <c r="AC6" s="1402"/>
      <c r="AD6" s="1402"/>
      <c r="AE6" s="1402"/>
      <c r="AF6" s="1402"/>
      <c r="AG6" s="1403"/>
      <c r="AH6" s="637"/>
      <c r="AI6" s="637"/>
      <c r="AJ6" s="637"/>
    </row>
    <row r="7" spans="2:36" x14ac:dyDescent="0.35">
      <c r="B7" s="1321"/>
      <c r="C7" s="1322"/>
      <c r="D7" s="225">
        <v>2018</v>
      </c>
      <c r="E7" s="1316">
        <v>2019</v>
      </c>
      <c r="F7" s="1317"/>
      <c r="G7" s="1317"/>
      <c r="H7" s="1378"/>
      <c r="I7" s="1316">
        <v>2020</v>
      </c>
      <c r="J7" s="1317"/>
      <c r="K7" s="1317"/>
      <c r="L7" s="1317"/>
      <c r="M7" s="1316">
        <v>2021</v>
      </c>
      <c r="N7" s="1317"/>
      <c r="O7" s="1317"/>
      <c r="P7" s="1317"/>
      <c r="Q7" s="1341">
        <v>2022</v>
      </c>
      <c r="R7" s="1342"/>
      <c r="S7" s="302"/>
      <c r="T7" s="302"/>
      <c r="U7" s="460"/>
      <c r="V7" s="302">
        <v>2023</v>
      </c>
      <c r="W7" s="338"/>
      <c r="X7" s="335"/>
      <c r="Y7" s="1326">
        <v>2024</v>
      </c>
      <c r="Z7" s="1331"/>
      <c r="AA7" s="1331"/>
      <c r="AB7" s="1330"/>
      <c r="AC7" s="1325">
        <v>2025</v>
      </c>
      <c r="AD7" s="1331"/>
      <c r="AE7" s="1331"/>
      <c r="AF7" s="1330"/>
      <c r="AG7" s="1325">
        <v>2026</v>
      </c>
      <c r="AH7" s="1331"/>
      <c r="AI7" s="1331"/>
      <c r="AJ7" s="1330"/>
    </row>
    <row r="8" spans="2:36"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row>
    <row r="9" spans="2:36"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36"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36" x14ac:dyDescent="0.35">
      <c r="B11" s="56" t="s">
        <v>311</v>
      </c>
      <c r="C11" s="551"/>
      <c r="D11" s="550"/>
      <c r="E11" s="551"/>
      <c r="F11" s="551"/>
      <c r="G11" s="551"/>
      <c r="H11" s="551"/>
      <c r="I11" s="551"/>
      <c r="J11" s="659">
        <v>45</v>
      </c>
      <c r="K11" s="659">
        <v>45</v>
      </c>
      <c r="L11" s="659">
        <v>45</v>
      </c>
      <c r="M11" s="659">
        <v>45</v>
      </c>
      <c r="N11" s="659">
        <v>45</v>
      </c>
      <c r="O11" s="659">
        <v>45</v>
      </c>
      <c r="P11" s="659">
        <v>45</v>
      </c>
      <c r="Q11" s="659">
        <v>45</v>
      </c>
      <c r="R11" s="658">
        <v>45</v>
      </c>
      <c r="S11" s="658">
        <v>45</v>
      </c>
      <c r="T11" s="658">
        <v>45</v>
      </c>
      <c r="U11" s="663">
        <v>45</v>
      </c>
      <c r="V11" s="663">
        <v>45</v>
      </c>
      <c r="W11" s="663">
        <f>W9*W10*(-1)*0.1</f>
        <v>2.0815079999999999</v>
      </c>
      <c r="X11" s="663">
        <f t="shared" ref="X11:AD11" si="0">X9*X10*(-1)*0.1</f>
        <v>2.1006180000000003</v>
      </c>
      <c r="Y11" s="663">
        <f t="shared" si="0"/>
        <v>2.5815300000000003</v>
      </c>
      <c r="Z11" s="663">
        <f t="shared" si="0"/>
        <v>2.6040450000000002</v>
      </c>
      <c r="AA11" s="663">
        <f t="shared" si="0"/>
        <v>2.626465</v>
      </c>
      <c r="AB11" s="663">
        <f>AB9*AB10*(-1)*0.1</f>
        <v>2.6498349999999999</v>
      </c>
      <c r="AC11" s="663">
        <f>AC9*AC10*(-1)*0.1</f>
        <v>2.6454420000000001</v>
      </c>
      <c r="AD11" s="663">
        <f t="shared" si="0"/>
        <v>2.6696</v>
      </c>
      <c r="AE11" s="663">
        <f>AE9*AE10*(-1)*0.1</f>
        <v>2.693006</v>
      </c>
      <c r="AF11" s="663">
        <f>AF9*AF10*(-1)*0.1</f>
        <v>2.7175400000000001</v>
      </c>
      <c r="AG11" s="663">
        <f>AG9*AG10*(-1)*0.1</f>
        <v>2.7175400000000001</v>
      </c>
      <c r="AH11" s="663">
        <f>AH9*AH10*(-1)*0.1</f>
        <v>2.7175400000000001</v>
      </c>
      <c r="AI11" s="663">
        <f>AI9*AI10*(-1)*0.1</f>
        <v>0</v>
      </c>
      <c r="AJ11">
        <v>0</v>
      </c>
    </row>
    <row r="12" spans="2:36" x14ac:dyDescent="0.35">
      <c r="B12" s="56"/>
      <c r="C12" s="267"/>
      <c r="D12" s="267"/>
      <c r="E12" s="267"/>
      <c r="F12" s="267"/>
      <c r="G12" s="267"/>
      <c r="H12" s="267"/>
      <c r="I12" s="267"/>
      <c r="J12" s="639"/>
      <c r="K12" s="639"/>
      <c r="L12" s="639"/>
      <c r="M12" s="639"/>
      <c r="N12" s="639"/>
      <c r="O12" s="639"/>
      <c r="P12" s="639"/>
      <c r="Q12" s="639"/>
      <c r="R12" s="214"/>
      <c r="S12" s="214"/>
      <c r="T12" s="214"/>
      <c r="U12" s="80"/>
      <c r="V12" s="80"/>
      <c r="W12" s="80"/>
      <c r="X12" s="80"/>
      <c r="Y12" s="80"/>
      <c r="Z12" s="80"/>
      <c r="AA12" s="80"/>
      <c r="AB12" s="80"/>
      <c r="AC12" s="80"/>
      <c r="AD12" s="80"/>
      <c r="AE12" s="80"/>
      <c r="AF12" s="80"/>
      <c r="AG12" s="80"/>
      <c r="AH12" s="80"/>
    </row>
    <row r="13" spans="2:36" x14ac:dyDescent="0.35">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56"/>
      <c r="AA13" s="56"/>
      <c r="AB13" s="56"/>
      <c r="AC13" s="56"/>
    </row>
    <row r="14" spans="2:36" x14ac:dyDescent="0.35">
      <c r="B14" s="1269" t="s">
        <v>1744</v>
      </c>
      <c r="C14" s="1269"/>
      <c r="D14" s="1269"/>
      <c r="E14" s="1269"/>
      <c r="F14" s="1269"/>
      <c r="G14" s="1269"/>
      <c r="H14" s="1269"/>
      <c r="I14" s="1269"/>
      <c r="J14" s="1269"/>
      <c r="K14" s="1269"/>
      <c r="L14" s="1269"/>
      <c r="M14" s="1269"/>
      <c r="N14" s="1269"/>
      <c r="O14" s="1269"/>
      <c r="P14" s="1269"/>
      <c r="Q14" s="1269"/>
      <c r="R14" s="1269"/>
      <c r="S14" s="1269"/>
      <c r="T14" s="1269"/>
      <c r="U14" s="1269"/>
      <c r="V14" s="1269"/>
      <c r="W14" s="1269"/>
      <c r="X14" s="1269"/>
      <c r="Y14" s="1269"/>
      <c r="Z14" s="1269"/>
      <c r="AA14" s="1269"/>
      <c r="AB14" s="1269"/>
      <c r="AC14" s="1269"/>
      <c r="AD14" s="1269"/>
      <c r="AE14" s="1269"/>
      <c r="AF14" s="1269"/>
    </row>
    <row r="15" spans="2:36" x14ac:dyDescent="0.35">
      <c r="B15" s="1319" t="s">
        <v>1689</v>
      </c>
      <c r="C15" s="1371"/>
      <c r="D15" s="1343" t="s">
        <v>279</v>
      </c>
      <c r="E15" s="1344"/>
      <c r="F15" s="1344"/>
      <c r="G15" s="1344"/>
      <c r="H15" s="1344"/>
      <c r="I15" s="1344"/>
      <c r="J15" s="1344"/>
      <c r="K15" s="1344"/>
      <c r="L15" s="1344"/>
      <c r="M15" s="1344"/>
      <c r="N15" s="1344"/>
      <c r="O15" s="1344"/>
      <c r="P15" s="1344"/>
      <c r="Q15" s="1344"/>
      <c r="R15" s="1344"/>
      <c r="S15" s="1344"/>
      <c r="T15" s="1344"/>
      <c r="U15" s="1344"/>
      <c r="V15" s="1344"/>
      <c r="W15" s="1402" t="s">
        <v>280</v>
      </c>
      <c r="X15" s="1402"/>
      <c r="Y15" s="1402"/>
      <c r="Z15" s="1402"/>
      <c r="AA15" s="1402"/>
      <c r="AB15" s="1402"/>
      <c r="AC15" s="1402"/>
      <c r="AD15" s="1402"/>
      <c r="AE15" s="1402"/>
      <c r="AF15" s="1402"/>
      <c r="AG15" s="1403"/>
      <c r="AH15" s="637"/>
    </row>
    <row r="16" spans="2:36" x14ac:dyDescent="0.35">
      <c r="B16" s="1321"/>
      <c r="C16" s="1322"/>
      <c r="D16" s="225">
        <v>2018</v>
      </c>
      <c r="E16" s="1316">
        <v>2019</v>
      </c>
      <c r="F16" s="1317"/>
      <c r="G16" s="1317"/>
      <c r="H16" s="1378"/>
      <c r="I16" s="1316">
        <v>2020</v>
      </c>
      <c r="J16" s="1317"/>
      <c r="K16" s="1317"/>
      <c r="L16" s="1317"/>
      <c r="M16" s="1316">
        <v>2021</v>
      </c>
      <c r="N16" s="1317"/>
      <c r="O16" s="1317"/>
      <c r="P16" s="1317"/>
      <c r="Q16" s="1341">
        <v>2022</v>
      </c>
      <c r="R16" s="1404"/>
      <c r="S16" s="302"/>
      <c r="T16" s="309"/>
      <c r="U16" s="460"/>
      <c r="V16" s="302">
        <v>2023</v>
      </c>
      <c r="W16" s="638"/>
      <c r="X16" s="638"/>
      <c r="Y16" s="1325">
        <v>2024</v>
      </c>
      <c r="Z16" s="1331"/>
      <c r="AA16" s="1331"/>
      <c r="AB16" s="1330"/>
      <c r="AC16" s="1325">
        <v>2025</v>
      </c>
      <c r="AD16" s="1331"/>
      <c r="AE16" s="1331"/>
      <c r="AF16" s="1330"/>
      <c r="AG16" s="1325">
        <v>2026</v>
      </c>
      <c r="AH16" s="1330"/>
    </row>
    <row r="17" spans="2:35" x14ac:dyDescent="0.35">
      <c r="B17" s="1323"/>
      <c r="C17" s="1324"/>
      <c r="D17" s="225" t="s">
        <v>281</v>
      </c>
      <c r="E17" s="225" t="s">
        <v>282</v>
      </c>
      <c r="F17" s="226" t="s">
        <v>283</v>
      </c>
      <c r="G17" s="226" t="s">
        <v>238</v>
      </c>
      <c r="H17" s="232" t="s">
        <v>281</v>
      </c>
      <c r="I17" s="226" t="s">
        <v>282</v>
      </c>
      <c r="J17" s="226" t="s">
        <v>283</v>
      </c>
      <c r="K17" s="226" t="s">
        <v>238</v>
      </c>
      <c r="L17" s="226" t="s">
        <v>281</v>
      </c>
      <c r="M17" s="225" t="s">
        <v>282</v>
      </c>
      <c r="N17" s="226" t="s">
        <v>283</v>
      </c>
      <c r="O17" s="226" t="s">
        <v>238</v>
      </c>
      <c r="P17" s="226" t="s">
        <v>281</v>
      </c>
      <c r="Q17" s="286" t="s">
        <v>282</v>
      </c>
      <c r="R17" s="287" t="s">
        <v>283</v>
      </c>
      <c r="S17" s="287" t="s">
        <v>238</v>
      </c>
      <c r="T17" s="285" t="s">
        <v>281</v>
      </c>
      <c r="U17" s="286" t="s">
        <v>282</v>
      </c>
      <c r="V17" s="287" t="s">
        <v>283</v>
      </c>
      <c r="W17" s="273" t="s">
        <v>238</v>
      </c>
      <c r="X17" s="273" t="s">
        <v>281</v>
      </c>
      <c r="Y17" s="299" t="s">
        <v>282</v>
      </c>
      <c r="Z17" s="271" t="s">
        <v>283</v>
      </c>
      <c r="AA17" s="273" t="s">
        <v>238</v>
      </c>
      <c r="AB17" s="301" t="s">
        <v>281</v>
      </c>
      <c r="AC17" s="299" t="s">
        <v>282</v>
      </c>
      <c r="AD17" s="271" t="s">
        <v>283</v>
      </c>
      <c r="AE17" s="273" t="s">
        <v>238</v>
      </c>
      <c r="AF17" s="273" t="s">
        <v>281</v>
      </c>
      <c r="AG17" s="299" t="s">
        <v>282</v>
      </c>
      <c r="AH17" s="301" t="s">
        <v>283</v>
      </c>
    </row>
    <row r="18" spans="2:35" x14ac:dyDescent="0.35">
      <c r="B18" s="96" t="s">
        <v>1376</v>
      </c>
      <c r="C18" s="646"/>
      <c r="D18" s="647"/>
      <c r="E18" s="646"/>
      <c r="F18" s="646"/>
      <c r="G18" s="646"/>
      <c r="H18" s="646"/>
      <c r="I18" s="646"/>
      <c r="J18" s="648"/>
      <c r="K18" s="648"/>
      <c r="L18" s="648"/>
      <c r="M18" s="648"/>
      <c r="N18" s="648"/>
      <c r="O18" s="648"/>
      <c r="P18" s="648"/>
      <c r="Q18" s="648"/>
      <c r="R18" s="649">
        <v>0</v>
      </c>
      <c r="S18" s="643">
        <v>0</v>
      </c>
      <c r="T18" s="645">
        <v>0</v>
      </c>
      <c r="U18" s="645">
        <v>-7.7999999999999999E-4</v>
      </c>
      <c r="V18" s="645">
        <v>-7.7999999999999999E-4</v>
      </c>
      <c r="W18" s="645">
        <v>-7.7999999999999999E-4</v>
      </c>
      <c r="X18" s="645">
        <v>-7.7999999999999999E-4</v>
      </c>
      <c r="Y18" s="645">
        <v>-9.5E-4</v>
      </c>
      <c r="Z18" s="645">
        <v>-9.5E-4</v>
      </c>
      <c r="AA18" s="645">
        <v>-9.5E-4</v>
      </c>
      <c r="AB18" s="645">
        <v>-9.5E-4</v>
      </c>
      <c r="AC18" s="645">
        <v>-9.3999999999999997E-4</v>
      </c>
      <c r="AD18" s="645">
        <v>-9.3999999999999997E-4</v>
      </c>
      <c r="AE18" s="645">
        <v>-9.3999999999999997E-4</v>
      </c>
      <c r="AF18" s="645">
        <v>-9.3999999999999997E-4</v>
      </c>
      <c r="AG18" s="643">
        <v>-9.3999999999999997E-4</v>
      </c>
      <c r="AH18" s="643">
        <v>-9.3999999999999997E-4</v>
      </c>
    </row>
    <row r="19" spans="2:35" x14ac:dyDescent="0.35">
      <c r="B19" s="56" t="s">
        <v>1375</v>
      </c>
      <c r="C19" s="650"/>
      <c r="D19" s="651"/>
      <c r="E19" s="650"/>
      <c r="F19" s="650"/>
      <c r="G19" s="650"/>
      <c r="H19" s="650"/>
      <c r="I19" s="650"/>
      <c r="J19" s="652"/>
      <c r="K19" s="652"/>
      <c r="L19" s="652"/>
      <c r="M19" s="652"/>
      <c r="N19" s="652"/>
      <c r="O19" s="652"/>
      <c r="P19" s="652"/>
      <c r="Q19" s="652"/>
      <c r="R19" s="644"/>
      <c r="S19" s="644"/>
      <c r="T19" s="644"/>
      <c r="U19" s="644">
        <v>26095</v>
      </c>
      <c r="V19" s="644">
        <v>26404</v>
      </c>
      <c r="W19" s="644">
        <v>26686</v>
      </c>
      <c r="X19" s="644">
        <v>26931</v>
      </c>
      <c r="Y19" s="644">
        <v>27174</v>
      </c>
      <c r="Z19" s="644">
        <v>27411</v>
      </c>
      <c r="AA19" s="644">
        <v>27647</v>
      </c>
      <c r="AB19" s="644">
        <v>27893</v>
      </c>
      <c r="AC19" s="644">
        <v>28143</v>
      </c>
      <c r="AD19" s="644">
        <v>28400</v>
      </c>
      <c r="AE19" s="644">
        <v>28649</v>
      </c>
      <c r="AF19" s="644">
        <v>28910</v>
      </c>
      <c r="AG19" s="644">
        <v>28910</v>
      </c>
      <c r="AH19" s="644">
        <v>28910</v>
      </c>
    </row>
    <row r="20" spans="2:35" x14ac:dyDescent="0.35">
      <c r="B20" s="56" t="s">
        <v>311</v>
      </c>
      <c r="C20" s="653"/>
      <c r="D20" s="654"/>
      <c r="E20" s="653"/>
      <c r="F20" s="653"/>
      <c r="G20" s="653"/>
      <c r="H20" s="653"/>
      <c r="I20" s="653"/>
      <c r="J20" s="655"/>
      <c r="K20" s="655"/>
      <c r="L20" s="655"/>
      <c r="M20" s="655"/>
      <c r="N20" s="655"/>
      <c r="O20" s="655"/>
      <c r="P20" s="655"/>
      <c r="Q20" s="655"/>
      <c r="R20" s="656">
        <f>R18*R19</f>
        <v>0</v>
      </c>
      <c r="S20" s="656">
        <f t="shared" ref="S20:T20" si="1">S18*S19</f>
        <v>0</v>
      </c>
      <c r="T20" s="656">
        <f t="shared" si="1"/>
        <v>0</v>
      </c>
      <c r="U20" s="657">
        <f>U18*U19*-1</f>
        <v>20.354099999999999</v>
      </c>
      <c r="V20" s="657">
        <f t="shared" ref="V20:AF20" si="2">V18*V19*-1</f>
        <v>20.595119999999998</v>
      </c>
      <c r="W20" s="657">
        <f t="shared" si="2"/>
        <v>20.815079999999998</v>
      </c>
      <c r="X20" s="657">
        <f t="shared" si="2"/>
        <v>21.006180000000001</v>
      </c>
      <c r="Y20" s="657">
        <f t="shared" si="2"/>
        <v>25.815300000000001</v>
      </c>
      <c r="Z20" s="657">
        <f t="shared" si="2"/>
        <v>26.04045</v>
      </c>
      <c r="AA20" s="657">
        <f t="shared" si="2"/>
        <v>26.26465</v>
      </c>
      <c r="AB20" s="657">
        <f t="shared" si="2"/>
        <v>26.498349999999999</v>
      </c>
      <c r="AC20" s="657">
        <f t="shared" si="2"/>
        <v>26.454419999999999</v>
      </c>
      <c r="AD20" s="657">
        <f t="shared" si="2"/>
        <v>26.695999999999998</v>
      </c>
      <c r="AE20" s="657">
        <f t="shared" si="2"/>
        <v>26.930059999999997</v>
      </c>
      <c r="AF20" s="657">
        <f t="shared" si="2"/>
        <v>27.1754</v>
      </c>
      <c r="AG20" s="657">
        <f>AG18*AG19*-1</f>
        <v>27.1754</v>
      </c>
      <c r="AH20" s="657">
        <f>AH18*AH19*-1</f>
        <v>27.1754</v>
      </c>
    </row>
    <row r="23" spans="2:35" x14ac:dyDescent="0.35">
      <c r="C23" t="s">
        <v>1833</v>
      </c>
      <c r="F23" s="1258" t="s">
        <v>1832</v>
      </c>
    </row>
    <row r="25" spans="2:35" x14ac:dyDescent="0.35">
      <c r="AE25">
        <v>600</v>
      </c>
      <c r="AF25">
        <v>14.27</v>
      </c>
      <c r="AG25">
        <v>14.27</v>
      </c>
      <c r="AH25">
        <v>14.27</v>
      </c>
      <c r="AI25">
        <v>14.27</v>
      </c>
    </row>
  </sheetData>
  <mergeCells count="23">
    <mergeCell ref="B14:AF14"/>
    <mergeCell ref="B15:C17"/>
    <mergeCell ref="E16:H16"/>
    <mergeCell ref="I16:L16"/>
    <mergeCell ref="M16:P16"/>
    <mergeCell ref="Q16:R16"/>
    <mergeCell ref="Y16:AB16"/>
    <mergeCell ref="AC16:AF16"/>
    <mergeCell ref="D15:V15"/>
    <mergeCell ref="W15:AG15"/>
    <mergeCell ref="AG16:AH16"/>
    <mergeCell ref="Y7:AB7"/>
    <mergeCell ref="B1:AC1"/>
    <mergeCell ref="B2:AC4"/>
    <mergeCell ref="B6:C8"/>
    <mergeCell ref="E7:H7"/>
    <mergeCell ref="I7:L7"/>
    <mergeCell ref="M7:P7"/>
    <mergeCell ref="Q7:R7"/>
    <mergeCell ref="D6:V6"/>
    <mergeCell ref="AC7:AF7"/>
    <mergeCell ref="W6:AG6"/>
    <mergeCell ref="AG7:AJ7"/>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Normal="100" workbookViewId="0">
      <pane xSplit="3" ySplit="10" topLeftCell="AA28" activePane="bottomRight" state="frozen"/>
      <selection pane="topRight" activeCell="D1" sqref="D1"/>
      <selection pane="bottomLeft" activeCell="A11" sqref="A11"/>
      <selection pane="bottomRight" activeCell="AE33" sqref="AE3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2" t="s">
        <v>463</v>
      </c>
      <c r="C1" s="1412"/>
      <c r="D1" s="1412"/>
      <c r="E1" s="1412"/>
      <c r="F1" s="1412"/>
      <c r="G1" s="1412"/>
      <c r="H1" s="1412"/>
      <c r="I1" s="1412"/>
      <c r="J1" s="1412"/>
      <c r="K1" s="1412"/>
      <c r="L1" s="1412"/>
      <c r="M1" s="1412"/>
      <c r="N1" s="1412"/>
      <c r="O1" s="1412"/>
      <c r="P1" s="1412"/>
      <c r="Q1" s="1412"/>
      <c r="R1" s="1412"/>
      <c r="S1" s="1412"/>
      <c r="T1" s="1412"/>
      <c r="U1" s="1412"/>
      <c r="V1" s="1412"/>
      <c r="W1" s="1412"/>
      <c r="X1" s="1412"/>
      <c r="Y1" s="1412"/>
      <c r="Z1" s="1412"/>
      <c r="AA1" s="1412"/>
      <c r="AB1" s="1412"/>
      <c r="AC1" s="1412"/>
    </row>
    <row r="2" spans="2:40" ht="34.5" hidden="1" customHeight="1" outlineLevel="1" x14ac:dyDescent="0.35">
      <c r="B2" s="1315" t="s">
        <v>858</v>
      </c>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row>
    <row r="3" spans="2:40" ht="3" hidden="1" customHeight="1" outlineLevel="1" x14ac:dyDescent="0.35">
      <c r="B3" s="1349"/>
      <c r="C3" s="1349"/>
      <c r="D3" s="1349"/>
      <c r="E3" s="1349"/>
      <c r="F3" s="1349"/>
      <c r="G3" s="1349"/>
      <c r="H3" s="1349"/>
      <c r="I3" s="1349"/>
      <c r="J3" s="1349"/>
      <c r="K3" s="1349"/>
      <c r="L3" s="1349"/>
      <c r="M3" s="1349"/>
      <c r="N3" s="1349"/>
      <c r="O3" s="1349"/>
      <c r="P3" s="1349"/>
      <c r="Q3" s="1349"/>
      <c r="R3" s="1349"/>
      <c r="S3" s="1349"/>
      <c r="T3" s="1349"/>
      <c r="U3" s="1349"/>
      <c r="V3" s="1349"/>
      <c r="W3" s="1349"/>
      <c r="X3" s="1349"/>
      <c r="Y3" s="1349"/>
      <c r="Z3" s="1349"/>
      <c r="AA3" s="1349"/>
      <c r="AB3" s="1349"/>
      <c r="AC3" s="1349"/>
    </row>
    <row r="4" spans="2:40" ht="10.4" hidden="1" customHeight="1" outlineLevel="1" x14ac:dyDescent="0.35">
      <c r="B4" s="1349"/>
      <c r="C4" s="1349"/>
      <c r="D4" s="1349"/>
      <c r="E4" s="1349"/>
      <c r="F4" s="1349"/>
      <c r="G4" s="1349"/>
      <c r="H4" s="1349"/>
      <c r="I4" s="1349"/>
      <c r="J4" s="1349"/>
      <c r="K4" s="1349"/>
      <c r="L4" s="1349"/>
      <c r="M4" s="1349"/>
      <c r="N4" s="1349"/>
      <c r="O4" s="1349"/>
      <c r="P4" s="1349"/>
      <c r="Q4" s="1349"/>
      <c r="R4" s="1349"/>
      <c r="S4" s="1349"/>
      <c r="T4" s="1349"/>
      <c r="U4" s="1349"/>
      <c r="V4" s="1349"/>
      <c r="W4" s="1349"/>
      <c r="X4" s="1349"/>
      <c r="Y4" s="1349"/>
      <c r="Z4" s="1349"/>
      <c r="AA4" s="1349"/>
      <c r="AB4" s="1349"/>
      <c r="AC4" s="1349"/>
    </row>
    <row r="5" spans="2:40" ht="14.25" hidden="1" customHeight="1" outlineLevel="1" x14ac:dyDescent="0.35">
      <c r="B5" s="1349"/>
      <c r="C5" s="1349"/>
      <c r="D5" s="1349"/>
      <c r="E5" s="1349"/>
      <c r="F5" s="1349"/>
      <c r="G5" s="1349"/>
      <c r="H5" s="1349"/>
      <c r="I5" s="1349"/>
      <c r="J5" s="1349"/>
      <c r="K5" s="1349"/>
      <c r="L5" s="1349"/>
      <c r="M5" s="1349"/>
      <c r="N5" s="1349"/>
      <c r="O5" s="1349"/>
      <c r="P5" s="1349"/>
      <c r="Q5" s="1349"/>
      <c r="R5" s="1349"/>
      <c r="S5" s="1349"/>
      <c r="T5" s="1349"/>
      <c r="U5" s="1349"/>
      <c r="V5" s="1349"/>
      <c r="W5" s="1349"/>
      <c r="X5" s="1349"/>
      <c r="Y5" s="1349"/>
      <c r="Z5" s="1349"/>
      <c r="AA5" s="1349"/>
      <c r="AB5" s="1349"/>
      <c r="AC5" s="1349"/>
    </row>
    <row r="6" spans="2:40" ht="14.25" hidden="1" customHeight="1" outlineLevel="1" x14ac:dyDescent="0.35">
      <c r="B6" s="1349"/>
      <c r="C6" s="1349"/>
      <c r="D6" s="1349"/>
      <c r="E6" s="1349"/>
      <c r="F6" s="1349"/>
      <c r="G6" s="1349"/>
      <c r="H6" s="1349"/>
      <c r="I6" s="1349"/>
      <c r="J6" s="1349"/>
      <c r="K6" s="1349"/>
      <c r="L6" s="1349"/>
      <c r="M6" s="1349"/>
      <c r="N6" s="1349"/>
      <c r="O6" s="1349"/>
      <c r="P6" s="1349"/>
      <c r="Q6" s="1349"/>
      <c r="R6" s="1349"/>
      <c r="S6" s="1349"/>
      <c r="T6" s="1349"/>
      <c r="U6" s="1349"/>
      <c r="V6" s="1349"/>
      <c r="W6" s="1349"/>
      <c r="X6" s="1349"/>
      <c r="Y6" s="1349"/>
      <c r="Z6" s="1349"/>
      <c r="AA6" s="1349"/>
      <c r="AB6" s="1349"/>
      <c r="AC6" s="1349"/>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7"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46"/>
      <c r="S9" s="1346"/>
      <c r="T9" s="1340"/>
      <c r="U9" s="1338">
        <v>2023</v>
      </c>
      <c r="V9" s="1346"/>
      <c r="W9" s="1346"/>
      <c r="X9" s="1340"/>
      <c r="Y9" s="71"/>
      <c r="Z9" s="302">
        <v>2024</v>
      </c>
      <c r="AA9" s="442"/>
      <c r="AB9" s="309"/>
      <c r="AC9" s="1325">
        <v>2025</v>
      </c>
      <c r="AD9" s="1331"/>
      <c r="AE9" s="1331"/>
      <c r="AF9" s="1326"/>
      <c r="AG9" s="1325">
        <v>2026</v>
      </c>
      <c r="AH9" s="1331"/>
      <c r="AI9" s="1331"/>
      <c r="AJ9" s="1330"/>
      <c r="AK9" s="1325">
        <v>2027</v>
      </c>
      <c r="AL9" s="1331"/>
      <c r="AM9" s="1331"/>
      <c r="AN9" s="1330"/>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5" t="s">
        <v>464</v>
      </c>
      <c r="C11" s="1406"/>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3583.9541359637888</v>
      </c>
      <c r="AF12" s="673">
        <f t="shared" si="0"/>
        <v>3582.8285436191259</v>
      </c>
      <c r="AG12" s="673">
        <f t="shared" si="0"/>
        <v>3642.8167012903245</v>
      </c>
      <c r="AH12" s="673">
        <f t="shared" si="0"/>
        <v>3667.5443291530883</v>
      </c>
      <c r="AI12" s="673">
        <f t="shared" si="0"/>
        <v>3694.2761454253173</v>
      </c>
      <c r="AJ12" s="673">
        <f t="shared" si="0"/>
        <v>3713.2972827540571</v>
      </c>
      <c r="AK12" s="673">
        <f t="shared" si="0"/>
        <v>3780.2227221942958</v>
      </c>
      <c r="AL12" s="673">
        <f t="shared" si="0"/>
        <v>3808.9821209564861</v>
      </c>
      <c r="AM12" s="673">
        <f t="shared" si="0"/>
        <v>3838.0397697700319</v>
      </c>
      <c r="AN12" s="673">
        <f t="shared" si="0"/>
        <v>3825.3947697700319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1600.202</v>
      </c>
      <c r="AF18" s="599">
        <f t="shared" si="3"/>
        <v>1607.202</v>
      </c>
      <c r="AG18" s="599">
        <f t="shared" si="3"/>
        <v>1651.1676460000001</v>
      </c>
      <c r="AH18" s="599">
        <f t="shared" si="3"/>
        <v>1658.1676460000001</v>
      </c>
      <c r="AI18" s="599">
        <f t="shared" si="3"/>
        <v>1665.1676460000001</v>
      </c>
      <c r="AJ18" s="599">
        <f t="shared" si="3"/>
        <v>1672.1676460000001</v>
      </c>
      <c r="AK18" s="599">
        <f t="shared" si="3"/>
        <v>1717.6275018580002</v>
      </c>
      <c r="AL18" s="599">
        <f t="shared" si="3"/>
        <v>1724.6275018580002</v>
      </c>
      <c r="AM18" s="599">
        <f t="shared" si="3"/>
        <v>1731.6275018580002</v>
      </c>
      <c r="AN18" s="599">
        <f t="shared" si="3"/>
        <v>1738.6275018580002</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9">
        <v>0</v>
      </c>
      <c r="AH24" s="1259">
        <v>0</v>
      </c>
      <c r="AI24" s="1259">
        <v>0</v>
      </c>
      <c r="AJ24" s="1259">
        <v>0</v>
      </c>
      <c r="AK24" s="1259">
        <v>0</v>
      </c>
      <c r="AL24" s="1259">
        <v>0</v>
      </c>
      <c r="AM24" s="1259">
        <v>0</v>
      </c>
      <c r="AN24" s="1259">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657.83100000000013</v>
      </c>
      <c r="AF30" s="599">
        <f t="shared" si="8"/>
        <v>657.83100000000013</v>
      </c>
      <c r="AG30" s="599">
        <f t="shared" si="8"/>
        <v>657.83100000000013</v>
      </c>
      <c r="AH30" s="599">
        <f t="shared" si="8"/>
        <v>657.83100000000013</v>
      </c>
      <c r="AI30" s="599">
        <f t="shared" si="8"/>
        <v>657.83100000000013</v>
      </c>
      <c r="AJ30" s="599">
        <f t="shared" si="8"/>
        <v>657.83100000000013</v>
      </c>
      <c r="AK30" s="599">
        <f t="shared" si="8"/>
        <v>657.83100000000013</v>
      </c>
      <c r="AL30" s="599">
        <f t="shared" si="8"/>
        <v>657.83100000000013</v>
      </c>
      <c r="AM30" s="599">
        <f t="shared" si="8"/>
        <v>657.83100000000013</v>
      </c>
      <c r="AN30" s="599">
        <f t="shared" si="8"/>
        <v>657.83100000000013</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80.723000000000184</v>
      </c>
      <c r="AF32" s="509">
        <f t="shared" si="9"/>
        <v>90.022999999999683</v>
      </c>
      <c r="AG32" s="509">
        <f t="shared" si="9"/>
        <v>98.096396498999638</v>
      </c>
      <c r="AH32" s="509">
        <f t="shared" si="9"/>
        <v>107.39639649899982</v>
      </c>
      <c r="AI32" s="509">
        <f t="shared" si="9"/>
        <v>116.696396499</v>
      </c>
      <c r="AJ32" s="509">
        <f t="shared" si="9"/>
        <v>124.99639649899973</v>
      </c>
      <c r="AK32" s="509">
        <f t="shared" si="9"/>
        <v>131.06271811747661</v>
      </c>
      <c r="AL32" s="509">
        <f t="shared" si="9"/>
        <v>137.36271811747679</v>
      </c>
      <c r="AM32" s="509">
        <f t="shared" si="9"/>
        <v>142.66271811747697</v>
      </c>
      <c r="AN32" s="509">
        <f t="shared" si="9"/>
        <v>146.96271811747715</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2347.0980000000004</v>
      </c>
      <c r="AF33" s="572">
        <f t="shared" si="11"/>
        <v>2329.8980000000006</v>
      </c>
      <c r="AG33" s="572">
        <f t="shared" si="11"/>
        <v>2373.8636460000007</v>
      </c>
      <c r="AH33" s="572">
        <f t="shared" si="11"/>
        <v>2380.1356460000006</v>
      </c>
      <c r="AI33" s="572">
        <f t="shared" si="11"/>
        <v>2388.1356460000006</v>
      </c>
      <c r="AJ33" s="572">
        <f t="shared" si="11"/>
        <v>2387.980646</v>
      </c>
      <c r="AK33" s="572">
        <f t="shared" si="11"/>
        <v>2434.4405018580005</v>
      </c>
      <c r="AL33" s="572">
        <f t="shared" si="11"/>
        <v>2442.4405018580005</v>
      </c>
      <c r="AM33" s="572">
        <f t="shared" si="11"/>
        <v>2450.440501858001</v>
      </c>
      <c r="AN33" s="572">
        <f t="shared" si="11"/>
        <v>2436.7955018580005</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2348.7280000000005</v>
      </c>
      <c r="AF34" s="572">
        <f t="shared" si="12"/>
        <v>2331.5690000000004</v>
      </c>
      <c r="AG34" s="572">
        <f t="shared" si="12"/>
        <v>2373.8636459999998</v>
      </c>
      <c r="AH34" s="572">
        <f t="shared" si="12"/>
        <v>2380.1356460000002</v>
      </c>
      <c r="AI34" s="572">
        <f t="shared" si="12"/>
        <v>2388.1356460000002</v>
      </c>
      <c r="AJ34" s="572">
        <f t="shared" si="12"/>
        <v>2387.980646</v>
      </c>
      <c r="AK34" s="572">
        <f t="shared" si="12"/>
        <v>2434.4405018580001</v>
      </c>
      <c r="AL34" s="572">
        <f t="shared" si="12"/>
        <v>2442.4405018580001</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05" t="s">
        <v>471</v>
      </c>
      <c r="C36" s="1406"/>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3583.9541359637888</v>
      </c>
      <c r="AF36" s="574">
        <f t="shared" si="14"/>
        <v>3582.8285436191259</v>
      </c>
      <c r="AG36" s="574">
        <f t="shared" si="14"/>
        <v>3642.8167012903245</v>
      </c>
      <c r="AH36" s="574">
        <f t="shared" si="14"/>
        <v>3667.5443291530883</v>
      </c>
      <c r="AI36" s="574">
        <f t="shared" si="14"/>
        <v>3694.2761454253173</v>
      </c>
      <c r="AJ36" s="574">
        <f t="shared" si="14"/>
        <v>3713.2972827540571</v>
      </c>
      <c r="AK36" s="574">
        <f t="shared" si="14"/>
        <v>3780.2227221942958</v>
      </c>
      <c r="AL36" s="574">
        <f t="shared" si="14"/>
        <v>3808.9821209564861</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07" t="s">
        <v>475</v>
      </c>
      <c r="C47" s="1407"/>
      <c r="D47" s="1349"/>
      <c r="E47" s="1349"/>
      <c r="F47" s="1349"/>
      <c r="G47" s="1349"/>
      <c r="H47" s="1349"/>
      <c r="I47" s="1349"/>
      <c r="J47" s="1349"/>
      <c r="K47" s="1349"/>
      <c r="L47" s="1349"/>
      <c r="M47" s="1349"/>
      <c r="N47" s="1349"/>
      <c r="O47" s="1349"/>
      <c r="P47" s="1349"/>
      <c r="Q47" s="1349"/>
      <c r="R47" s="1349"/>
      <c r="S47" s="1349"/>
      <c r="T47" s="1349"/>
      <c r="U47" s="1349"/>
      <c r="V47" s="1349"/>
      <c r="W47" s="1349"/>
      <c r="X47" s="1349"/>
      <c r="Y47" s="1349"/>
      <c r="Z47" s="1349"/>
      <c r="AA47" s="1349"/>
      <c r="AB47" s="1349"/>
      <c r="AC47" s="1349"/>
    </row>
    <row r="48" spans="2:40" ht="14.9" customHeight="1" x14ac:dyDescent="0.35">
      <c r="B48" s="1321" t="s">
        <v>476</v>
      </c>
      <c r="C48" s="1322"/>
      <c r="D48" s="1329" t="s">
        <v>279</v>
      </c>
      <c r="E48" s="1329"/>
      <c r="F48" s="1329"/>
      <c r="G48" s="1329"/>
      <c r="H48" s="1329"/>
      <c r="I48" s="1329"/>
      <c r="J48" s="1329"/>
      <c r="K48" s="1329"/>
      <c r="L48" s="1329"/>
      <c r="M48" s="1329"/>
      <c r="N48" s="1329"/>
      <c r="O48" s="1329"/>
      <c r="P48" s="1329"/>
      <c r="Q48" s="1329"/>
      <c r="R48" s="1329"/>
      <c r="S48" s="1329"/>
      <c r="T48" s="1329"/>
      <c r="U48" s="1329"/>
      <c r="V48" s="1329"/>
      <c r="W48" s="1329"/>
      <c r="X48" s="1329"/>
      <c r="Y48" s="1329"/>
      <c r="Z48" s="1329"/>
      <c r="AA48" s="1329"/>
      <c r="AB48" s="1329"/>
      <c r="AC48" s="1347" t="s">
        <v>280</v>
      </c>
      <c r="AD48" s="1327"/>
      <c r="AE48" s="1327"/>
      <c r="AF48" s="1327"/>
      <c r="AG48" s="1327"/>
      <c r="AH48" s="1327"/>
      <c r="AI48" s="1327"/>
      <c r="AJ48" s="1327"/>
      <c r="AK48" s="1327"/>
      <c r="AL48" s="1327"/>
      <c r="AM48" s="1327"/>
      <c r="AN48" s="1328"/>
    </row>
    <row r="49" spans="2:40" x14ac:dyDescent="0.35">
      <c r="B49" s="1321"/>
      <c r="C49" s="1322"/>
      <c r="D49" s="296">
        <v>2018</v>
      </c>
      <c r="E49" s="1338">
        <v>2019</v>
      </c>
      <c r="F49" s="1339"/>
      <c r="G49" s="1339"/>
      <c r="H49" s="1340"/>
      <c r="I49" s="1338">
        <v>2020</v>
      </c>
      <c r="J49" s="1339"/>
      <c r="K49" s="1339"/>
      <c r="L49" s="1339"/>
      <c r="M49" s="1338">
        <v>2021</v>
      </c>
      <c r="N49" s="1339"/>
      <c r="O49" s="1339"/>
      <c r="P49" s="1339"/>
      <c r="Q49" s="1338">
        <v>2022</v>
      </c>
      <c r="R49" s="1346"/>
      <c r="S49" s="1346"/>
      <c r="T49" s="1340"/>
      <c r="U49" s="302"/>
      <c r="V49" s="442">
        <v>2023</v>
      </c>
      <c r="W49" s="442"/>
      <c r="X49" s="309"/>
      <c r="Y49" s="460"/>
      <c r="Z49" s="442">
        <v>2024</v>
      </c>
      <c r="AA49" s="442"/>
      <c r="AB49" s="309"/>
      <c r="AC49" s="1325">
        <v>2025</v>
      </c>
      <c r="AD49" s="1331"/>
      <c r="AE49" s="1331"/>
      <c r="AF49" s="1330"/>
      <c r="AG49" s="1325">
        <v>2026</v>
      </c>
      <c r="AH49" s="1331"/>
      <c r="AI49" s="1331"/>
      <c r="AJ49" s="1330"/>
      <c r="AK49" s="1325">
        <v>2027</v>
      </c>
      <c r="AL49" s="1331"/>
      <c r="AM49" s="1331"/>
      <c r="AN49" s="1330"/>
    </row>
    <row r="50" spans="2:40" x14ac:dyDescent="0.35">
      <c r="B50" s="1323"/>
      <c r="C50" s="1324"/>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8" t="s">
        <v>802</v>
      </c>
      <c r="C60" s="1409"/>
      <c r="D60" s="1329" t="s">
        <v>279</v>
      </c>
      <c r="E60" s="1329"/>
      <c r="F60" s="1329"/>
      <c r="G60" s="1329"/>
      <c r="H60" s="1329"/>
      <c r="I60" s="1329"/>
      <c r="J60" s="1329"/>
      <c r="K60" s="1329"/>
      <c r="L60" s="1329"/>
      <c r="M60" s="1329"/>
      <c r="N60" s="1329"/>
      <c r="O60" s="1329"/>
      <c r="P60" s="1329"/>
      <c r="Q60" s="1329"/>
      <c r="R60" s="1329"/>
      <c r="S60" s="1329"/>
      <c r="T60" s="1329"/>
      <c r="U60" s="1329"/>
      <c r="V60" s="1329"/>
      <c r="W60" s="1329"/>
      <c r="X60" s="1329"/>
      <c r="Y60" s="1329"/>
      <c r="Z60" s="1329"/>
      <c r="AA60" s="1329"/>
      <c r="AB60" s="1329"/>
      <c r="AC60" s="1347" t="s">
        <v>280</v>
      </c>
      <c r="AD60" s="1327"/>
      <c r="AE60" s="1327"/>
      <c r="AF60" s="1327"/>
      <c r="AG60" s="1327"/>
      <c r="AH60" s="1327"/>
      <c r="AI60" s="1327"/>
      <c r="AJ60" s="1327"/>
      <c r="AK60" s="1327"/>
      <c r="AL60" s="1327"/>
      <c r="AM60" s="1327"/>
      <c r="AN60" s="1328"/>
    </row>
    <row r="61" spans="2:40" x14ac:dyDescent="0.35">
      <c r="B61" s="1410"/>
      <c r="C61" s="1411"/>
      <c r="D61" s="296">
        <v>2018</v>
      </c>
      <c r="E61" s="1338">
        <v>2019</v>
      </c>
      <c r="F61" s="1339"/>
      <c r="G61" s="1339"/>
      <c r="H61" s="1340"/>
      <c r="I61" s="1338">
        <v>2020</v>
      </c>
      <c r="J61" s="1339"/>
      <c r="K61" s="1339"/>
      <c r="L61" s="1339"/>
      <c r="M61" s="1338">
        <v>2021</v>
      </c>
      <c r="N61" s="1339"/>
      <c r="O61" s="1339"/>
      <c r="P61" s="1339"/>
      <c r="Q61" s="1338">
        <v>2022</v>
      </c>
      <c r="R61" s="1346"/>
      <c r="S61" s="1346"/>
      <c r="T61" s="1340"/>
      <c r="U61" s="302"/>
      <c r="V61" s="442">
        <v>2023</v>
      </c>
      <c r="W61" s="442"/>
      <c r="X61" s="309"/>
      <c r="Y61" s="460"/>
      <c r="Z61" s="442">
        <v>2024</v>
      </c>
      <c r="AA61" s="302"/>
      <c r="AB61" s="309"/>
      <c r="AC61" s="1325">
        <v>2025</v>
      </c>
      <c r="AD61" s="1331"/>
      <c r="AE61" s="1331"/>
      <c r="AF61" s="1330"/>
      <c r="AG61" s="1325">
        <v>2026</v>
      </c>
      <c r="AH61" s="1331"/>
      <c r="AI61" s="1331"/>
      <c r="AJ61" s="1330"/>
      <c r="AK61" s="1325">
        <v>2027</v>
      </c>
      <c r="AL61" s="1331"/>
      <c r="AM61" s="1331"/>
      <c r="AN61" s="1330"/>
    </row>
    <row r="62" spans="2:40" x14ac:dyDescent="0.35">
      <c r="B62" s="1410"/>
      <c r="C62" s="1411"/>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1659.269</v>
      </c>
      <c r="AF66" s="462">
        <f t="shared" si="26"/>
        <v>1640.2280000000001</v>
      </c>
      <c r="AG66" s="462">
        <f t="shared" si="26"/>
        <v>1682.0326460000001</v>
      </c>
      <c r="AH66" s="462">
        <f t="shared" si="26"/>
        <v>1688.304646</v>
      </c>
      <c r="AI66" s="462">
        <f t="shared" si="26"/>
        <v>1695.304646</v>
      </c>
      <c r="AJ66" s="462">
        <f t="shared" si="26"/>
        <v>1694.1496460000001</v>
      </c>
      <c r="AK66" s="462">
        <f t="shared" si="26"/>
        <v>1739.6095018580002</v>
      </c>
      <c r="AL66" s="462">
        <f t="shared" si="26"/>
        <v>1746.6095018580002</v>
      </c>
      <c r="AM66" s="462">
        <f t="shared" si="26"/>
        <v>1753.6095018580002</v>
      </c>
      <c r="AN66" s="462">
        <f t="shared" si="26"/>
        <v>1738.9645018580002</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f>
        <v>657.83100000000013</v>
      </c>
      <c r="AF67" s="674">
        <f t="shared" ref="AF67:AN67" si="28">AE67</f>
        <v>657.83100000000013</v>
      </c>
      <c r="AG67" s="674">
        <f t="shared" si="28"/>
        <v>657.83100000000013</v>
      </c>
      <c r="AH67" s="674">
        <f t="shared" si="28"/>
        <v>657.83100000000013</v>
      </c>
      <c r="AI67" s="674">
        <f t="shared" si="28"/>
        <v>657.83100000000013</v>
      </c>
      <c r="AJ67" s="674">
        <f t="shared" si="28"/>
        <v>657.83100000000013</v>
      </c>
      <c r="AK67" s="674">
        <f t="shared" si="28"/>
        <v>657.83100000000013</v>
      </c>
      <c r="AL67" s="674">
        <f t="shared" si="28"/>
        <v>657.83100000000013</v>
      </c>
      <c r="AM67" s="674">
        <f t="shared" si="28"/>
        <v>657.83100000000013</v>
      </c>
      <c r="AN67" s="674">
        <f t="shared" si="28"/>
        <v>657.83100000000013</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1600.202</v>
      </c>
      <c r="AF68" s="674">
        <f t="shared" si="29"/>
        <v>1607.202</v>
      </c>
      <c r="AG68" s="674">
        <f t="shared" si="29"/>
        <v>1651.1676460000001</v>
      </c>
      <c r="AH68" s="674">
        <f t="shared" si="29"/>
        <v>1658.1676460000001</v>
      </c>
      <c r="AI68" s="674">
        <f t="shared" si="29"/>
        <v>1665.1676460000001</v>
      </c>
      <c r="AJ68" s="674">
        <f t="shared" si="29"/>
        <v>1672.1676460000001</v>
      </c>
      <c r="AK68" s="674">
        <f t="shared" si="29"/>
        <v>1717.6275018580002</v>
      </c>
      <c r="AL68" s="674">
        <f t="shared" si="29"/>
        <v>1724.6275018580002</v>
      </c>
      <c r="AM68" s="674">
        <f t="shared" si="29"/>
        <v>1731.6275018580002</v>
      </c>
      <c r="AN68" s="674">
        <f t="shared" si="29"/>
        <v>1738.6275018580002</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-5</v>
      </c>
      <c r="AF69" s="674">
        <f t="shared" si="30"/>
        <v>7</v>
      </c>
      <c r="AG69" s="674">
        <f t="shared" si="30"/>
        <v>43.965646</v>
      </c>
      <c r="AH69" s="674">
        <f t="shared" si="30"/>
        <v>7</v>
      </c>
      <c r="AI69" s="674">
        <f t="shared" si="30"/>
        <v>7</v>
      </c>
      <c r="AJ69" s="674">
        <f t="shared" si="30"/>
        <v>7</v>
      </c>
      <c r="AK69" s="674">
        <f t="shared" si="30"/>
        <v>45.459855858000005</v>
      </c>
      <c r="AL69" s="674">
        <f t="shared" si="30"/>
        <v>7</v>
      </c>
      <c r="AM69" s="674">
        <f t="shared" si="30"/>
        <v>7</v>
      </c>
      <c r="AN69" s="674">
        <f t="shared" si="30"/>
        <v>7</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-5</v>
      </c>
      <c r="AF70" s="674">
        <v>7</v>
      </c>
      <c r="AG70" s="674">
        <v>7</v>
      </c>
      <c r="AH70" s="674">
        <v>7</v>
      </c>
      <c r="AI70" s="674">
        <v>7</v>
      </c>
      <c r="AJ70" s="674">
        <v>7</v>
      </c>
      <c r="AK70" s="674">
        <v>7</v>
      </c>
      <c r="AL70" s="674">
        <v>7</v>
      </c>
      <c r="AM70" s="674">
        <v>7</v>
      </c>
      <c r="AN70" s="674">
        <v>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U72*T68</f>
        <v>106.62885299999998</v>
      </c>
      <c r="V71" s="712">
        <f t="shared" ref="V71:AN71" si="31">V72*U68</f>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36.965646</v>
      </c>
      <c r="AH71" s="712">
        <f t="shared" si="31"/>
        <v>0</v>
      </c>
      <c r="AI71" s="712">
        <f t="shared" si="31"/>
        <v>0</v>
      </c>
      <c r="AJ71" s="712">
        <f t="shared" si="31"/>
        <v>0</v>
      </c>
      <c r="AK71" s="712">
        <f t="shared" si="31"/>
        <v>38.459855858000005</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1550.5272500000001</v>
      </c>
      <c r="M85" s="270">
        <f>AVERAGE(AF68:AI68)</f>
        <v>1645.4262345</v>
      </c>
      <c r="N85" s="270">
        <f>AVERAGE(AJ68:AM68)</f>
        <v>1711.5125378935002</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0.98627273062664911</v>
      </c>
      <c r="M86" s="249">
        <f t="shared" si="33"/>
        <v>0.98870538052893153</v>
      </c>
      <c r="N86" s="249">
        <f t="shared" si="33"/>
        <v>0.97196542741376757</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-12.008668285177009</v>
      </c>
      <c r="M88" s="74">
        <f t="shared" ref="M88:N88" si="35">M87-M85</f>
        <v>-16.760767739963285</v>
      </c>
      <c r="N88" s="74">
        <f t="shared" si="35"/>
        <v>11.742812968421504</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Q61:T61"/>
    <mergeCell ref="AC61:AF61"/>
    <mergeCell ref="B48:C50"/>
    <mergeCell ref="D48:AB48"/>
    <mergeCell ref="AC48:AN48"/>
    <mergeCell ref="E49:H49"/>
    <mergeCell ref="I49:L49"/>
    <mergeCell ref="AG61:AJ61"/>
    <mergeCell ref="AK61:AN61"/>
    <mergeCell ref="B11:C11"/>
    <mergeCell ref="B36:C36"/>
    <mergeCell ref="B47:AC47"/>
    <mergeCell ref="B60:C62"/>
    <mergeCell ref="D60:AB60"/>
    <mergeCell ref="AC60:AN60"/>
    <mergeCell ref="E61:H61"/>
    <mergeCell ref="I61:L61"/>
    <mergeCell ref="M49:P49"/>
    <mergeCell ref="Q49:T49"/>
    <mergeCell ref="AC49:AF49"/>
    <mergeCell ref="AG49:AJ49"/>
    <mergeCell ref="AK49:AN49"/>
    <mergeCell ref="M61:P61"/>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2" t="s">
        <v>463</v>
      </c>
      <c r="C1" s="1412"/>
      <c r="D1" s="1412"/>
      <c r="E1" s="1412"/>
      <c r="F1" s="1412"/>
      <c r="G1" s="1412"/>
      <c r="H1" s="1412"/>
      <c r="I1" s="1412"/>
      <c r="J1" s="1412"/>
      <c r="K1" s="1412"/>
      <c r="L1" s="1412"/>
      <c r="M1" s="1412"/>
      <c r="N1" s="1412"/>
      <c r="O1" s="1412"/>
      <c r="P1" s="1412"/>
      <c r="Q1" s="1412"/>
      <c r="R1" s="1412"/>
      <c r="S1" s="1412"/>
      <c r="T1" s="1412"/>
      <c r="U1" s="1412"/>
      <c r="V1" s="1412"/>
      <c r="W1" s="1412"/>
      <c r="X1" s="1412"/>
      <c r="Y1" s="1412"/>
      <c r="Z1" s="1412"/>
      <c r="AA1" s="1412"/>
      <c r="AB1" s="1412"/>
      <c r="AC1" s="1412"/>
    </row>
    <row r="2" spans="2:40" ht="34.5" hidden="1" customHeight="1" outlineLevel="1" x14ac:dyDescent="0.35">
      <c r="B2" s="1315" t="s">
        <v>858</v>
      </c>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row>
    <row r="3" spans="2:40" ht="3" hidden="1" customHeight="1" outlineLevel="1" x14ac:dyDescent="0.35">
      <c r="B3" s="1349"/>
      <c r="C3" s="1349"/>
      <c r="D3" s="1349"/>
      <c r="E3" s="1349"/>
      <c r="F3" s="1349"/>
      <c r="G3" s="1349"/>
      <c r="H3" s="1349"/>
      <c r="I3" s="1349"/>
      <c r="J3" s="1349"/>
      <c r="K3" s="1349"/>
      <c r="L3" s="1349"/>
      <c r="M3" s="1349"/>
      <c r="N3" s="1349"/>
      <c r="O3" s="1349"/>
      <c r="P3" s="1349"/>
      <c r="Q3" s="1349"/>
      <c r="R3" s="1349"/>
      <c r="S3" s="1349"/>
      <c r="T3" s="1349"/>
      <c r="U3" s="1349"/>
      <c r="V3" s="1349"/>
      <c r="W3" s="1349"/>
      <c r="X3" s="1349"/>
      <c r="Y3" s="1349"/>
      <c r="Z3" s="1349"/>
      <c r="AA3" s="1349"/>
      <c r="AB3" s="1349"/>
      <c r="AC3" s="1349"/>
    </row>
    <row r="4" spans="2:40" ht="10.4" hidden="1" customHeight="1" outlineLevel="1" x14ac:dyDescent="0.35">
      <c r="B4" s="1349"/>
      <c r="C4" s="1349"/>
      <c r="D4" s="1349"/>
      <c r="E4" s="1349"/>
      <c r="F4" s="1349"/>
      <c r="G4" s="1349"/>
      <c r="H4" s="1349"/>
      <c r="I4" s="1349"/>
      <c r="J4" s="1349"/>
      <c r="K4" s="1349"/>
      <c r="L4" s="1349"/>
      <c r="M4" s="1349"/>
      <c r="N4" s="1349"/>
      <c r="O4" s="1349"/>
      <c r="P4" s="1349"/>
      <c r="Q4" s="1349"/>
      <c r="R4" s="1349"/>
      <c r="S4" s="1349"/>
      <c r="T4" s="1349"/>
      <c r="U4" s="1349"/>
      <c r="V4" s="1349"/>
      <c r="W4" s="1349"/>
      <c r="X4" s="1349"/>
      <c r="Y4" s="1349"/>
      <c r="Z4" s="1349"/>
      <c r="AA4" s="1349"/>
      <c r="AB4" s="1349"/>
      <c r="AC4" s="1349"/>
    </row>
    <row r="5" spans="2:40" ht="14.25" hidden="1" customHeight="1" outlineLevel="1" x14ac:dyDescent="0.35">
      <c r="B5" s="1349"/>
      <c r="C5" s="1349"/>
      <c r="D5" s="1349"/>
      <c r="E5" s="1349"/>
      <c r="F5" s="1349"/>
      <c r="G5" s="1349"/>
      <c r="H5" s="1349"/>
      <c r="I5" s="1349"/>
      <c r="J5" s="1349"/>
      <c r="K5" s="1349"/>
      <c r="L5" s="1349"/>
      <c r="M5" s="1349"/>
      <c r="N5" s="1349"/>
      <c r="O5" s="1349"/>
      <c r="P5" s="1349"/>
      <c r="Q5" s="1349"/>
      <c r="R5" s="1349"/>
      <c r="S5" s="1349"/>
      <c r="T5" s="1349"/>
      <c r="U5" s="1349"/>
      <c r="V5" s="1349"/>
      <c r="W5" s="1349"/>
      <c r="X5" s="1349"/>
      <c r="Y5" s="1349"/>
      <c r="Z5" s="1349"/>
      <c r="AA5" s="1349"/>
      <c r="AB5" s="1349"/>
      <c r="AC5" s="1349"/>
    </row>
    <row r="6" spans="2:40" ht="14.25" hidden="1" customHeight="1" outlineLevel="1" x14ac:dyDescent="0.35">
      <c r="B6" s="1349"/>
      <c r="C6" s="1349"/>
      <c r="D6" s="1349"/>
      <c r="E6" s="1349"/>
      <c r="F6" s="1349"/>
      <c r="G6" s="1349"/>
      <c r="H6" s="1349"/>
      <c r="I6" s="1349"/>
      <c r="J6" s="1349"/>
      <c r="K6" s="1349"/>
      <c r="L6" s="1349"/>
      <c r="M6" s="1349"/>
      <c r="N6" s="1349"/>
      <c r="O6" s="1349"/>
      <c r="P6" s="1349"/>
      <c r="Q6" s="1349"/>
      <c r="R6" s="1349"/>
      <c r="S6" s="1349"/>
      <c r="T6" s="1349"/>
      <c r="U6" s="1349"/>
      <c r="V6" s="1349"/>
      <c r="W6" s="1349"/>
      <c r="X6" s="1349"/>
      <c r="Y6" s="1349"/>
      <c r="Z6" s="1349"/>
      <c r="AA6" s="1349"/>
      <c r="AB6" s="1349"/>
      <c r="AC6" s="1349"/>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7"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46"/>
      <c r="G9" s="1346"/>
      <c r="H9" s="1340"/>
      <c r="I9" s="1338">
        <v>2020</v>
      </c>
      <c r="J9" s="1346"/>
      <c r="K9" s="1346"/>
      <c r="L9" s="1346"/>
      <c r="M9" s="1338">
        <v>2021</v>
      </c>
      <c r="N9" s="1346"/>
      <c r="O9" s="1346"/>
      <c r="P9" s="1346"/>
      <c r="Q9" s="1338">
        <v>2022</v>
      </c>
      <c r="R9" s="1346"/>
      <c r="S9" s="1346"/>
      <c r="T9" s="1340"/>
      <c r="U9" s="1338">
        <v>2023</v>
      </c>
      <c r="V9" s="1346"/>
      <c r="W9" s="1346"/>
      <c r="X9" s="1340"/>
      <c r="Y9" s="71"/>
      <c r="Z9" s="302">
        <v>2024</v>
      </c>
      <c r="AA9" s="302"/>
      <c r="AB9" s="309"/>
      <c r="AC9" s="1325">
        <v>2025</v>
      </c>
      <c r="AD9" s="1326"/>
      <c r="AE9" s="1326"/>
      <c r="AF9" s="1326"/>
      <c r="AG9" s="1325">
        <v>2026</v>
      </c>
      <c r="AH9" s="1326"/>
      <c r="AI9" s="1326"/>
      <c r="AJ9" s="1330"/>
      <c r="AK9" s="1325">
        <v>2027</v>
      </c>
      <c r="AL9" s="1326"/>
      <c r="AM9" s="1326"/>
      <c r="AN9" s="1330"/>
    </row>
    <row r="10" spans="2:40" x14ac:dyDescent="0.35">
      <c r="B10" s="697"/>
      <c r="C10" s="698"/>
      <c r="D10" s="225" t="s">
        <v>281</v>
      </c>
      <c r="E10" s="225" t="s">
        <v>282</v>
      </c>
      <c r="F10" s="226" t="s">
        <v>283</v>
      </c>
      <c r="G10" s="226" t="s">
        <v>238</v>
      </c>
      <c r="H10" s="1260" t="s">
        <v>281</v>
      </c>
      <c r="I10" s="226" t="s">
        <v>282</v>
      </c>
      <c r="J10" s="226" t="s">
        <v>283</v>
      </c>
      <c r="K10" s="226" t="s">
        <v>238</v>
      </c>
      <c r="L10" s="226" t="s">
        <v>281</v>
      </c>
      <c r="M10" s="225" t="s">
        <v>282</v>
      </c>
      <c r="N10" s="226" t="s">
        <v>283</v>
      </c>
      <c r="O10" s="226" t="s">
        <v>238</v>
      </c>
      <c r="P10" s="226" t="s">
        <v>281</v>
      </c>
      <c r="Q10" s="225" t="s">
        <v>282</v>
      </c>
      <c r="R10" s="226" t="s">
        <v>283</v>
      </c>
      <c r="S10" s="226" t="s">
        <v>238</v>
      </c>
      <c r="T10" s="1260"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5" t="s">
        <v>464</v>
      </c>
      <c r="C11" s="1413"/>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05" t="s">
        <v>471</v>
      </c>
      <c r="C35" s="1413"/>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07" t="s">
        <v>475</v>
      </c>
      <c r="C46" s="1407"/>
      <c r="D46" s="1349"/>
      <c r="E46" s="1349"/>
      <c r="F46" s="1349"/>
      <c r="G46" s="1349"/>
      <c r="H46" s="1349"/>
      <c r="I46" s="1349"/>
      <c r="J46" s="1349"/>
      <c r="K46" s="1349"/>
      <c r="L46" s="1349"/>
      <c r="M46" s="1349"/>
      <c r="N46" s="1349"/>
      <c r="O46" s="1349"/>
      <c r="P46" s="1349"/>
      <c r="Q46" s="1349"/>
      <c r="R46" s="1349"/>
      <c r="S46" s="1349"/>
      <c r="T46" s="1349"/>
      <c r="U46" s="1349"/>
      <c r="V46" s="1349"/>
      <c r="W46" s="1349"/>
      <c r="X46" s="1349"/>
      <c r="Y46" s="1349"/>
      <c r="Z46" s="1349"/>
      <c r="AA46" s="1349"/>
      <c r="AB46" s="1349"/>
      <c r="AC46" s="1349"/>
    </row>
    <row r="47" spans="2:40" ht="14.9" customHeight="1" x14ac:dyDescent="0.35">
      <c r="B47" s="1321" t="s">
        <v>476</v>
      </c>
      <c r="C47" s="1414"/>
      <c r="D47" s="1329" t="s">
        <v>279</v>
      </c>
      <c r="E47" s="1329"/>
      <c r="F47" s="1329"/>
      <c r="G47" s="1329"/>
      <c r="H47" s="1329"/>
      <c r="I47" s="1329"/>
      <c r="J47" s="1329"/>
      <c r="K47" s="1329"/>
      <c r="L47" s="1329"/>
      <c r="M47" s="1329"/>
      <c r="N47" s="1329"/>
      <c r="O47" s="1329"/>
      <c r="P47" s="1329"/>
      <c r="Q47" s="1329"/>
      <c r="R47" s="1329"/>
      <c r="S47" s="1329"/>
      <c r="T47" s="1329"/>
      <c r="U47" s="1329"/>
      <c r="V47" s="1329"/>
      <c r="W47" s="1329"/>
      <c r="X47" s="1329"/>
      <c r="Y47" s="1329"/>
      <c r="Z47" s="1329"/>
      <c r="AA47" s="1329"/>
      <c r="AB47" s="1329"/>
      <c r="AC47" s="1347" t="s">
        <v>280</v>
      </c>
      <c r="AD47" s="1327"/>
      <c r="AE47" s="1327"/>
      <c r="AF47" s="1327"/>
      <c r="AG47" s="1327"/>
      <c r="AH47" s="1327"/>
      <c r="AI47" s="1327"/>
      <c r="AJ47" s="1327"/>
      <c r="AK47" s="1327"/>
      <c r="AL47" s="1327"/>
      <c r="AM47" s="1327"/>
      <c r="AN47" s="1328"/>
    </row>
    <row r="48" spans="2:40" x14ac:dyDescent="0.35">
      <c r="B48" s="1321"/>
      <c r="C48" s="1414"/>
      <c r="D48" s="296">
        <v>2018</v>
      </c>
      <c r="E48" s="1338">
        <v>2019</v>
      </c>
      <c r="F48" s="1346"/>
      <c r="G48" s="1346"/>
      <c r="H48" s="1340"/>
      <c r="I48" s="1338">
        <v>2020</v>
      </c>
      <c r="J48" s="1346"/>
      <c r="K48" s="1346"/>
      <c r="L48" s="1346"/>
      <c r="M48" s="1338">
        <v>2021</v>
      </c>
      <c r="N48" s="1346"/>
      <c r="O48" s="1346"/>
      <c r="P48" s="1346"/>
      <c r="Q48" s="1338">
        <v>2022</v>
      </c>
      <c r="R48" s="1346"/>
      <c r="S48" s="1346"/>
      <c r="T48" s="1340"/>
      <c r="U48" s="302"/>
      <c r="V48" s="302">
        <v>2023</v>
      </c>
      <c r="W48" s="302"/>
      <c r="X48" s="309"/>
      <c r="Y48" s="460"/>
      <c r="Z48" s="302">
        <v>2024</v>
      </c>
      <c r="AA48" s="302"/>
      <c r="AB48" s="309"/>
      <c r="AC48" s="1325">
        <v>2025</v>
      </c>
      <c r="AD48" s="1326"/>
      <c r="AE48" s="1326"/>
      <c r="AF48" s="1330"/>
      <c r="AG48" s="1325">
        <v>2026</v>
      </c>
      <c r="AH48" s="1326"/>
      <c r="AI48" s="1326"/>
      <c r="AJ48" s="1330"/>
      <c r="AK48" s="1325">
        <v>2027</v>
      </c>
      <c r="AL48" s="1326"/>
      <c r="AM48" s="1326"/>
      <c r="AN48" s="1330"/>
    </row>
    <row r="49" spans="2:40" x14ac:dyDescent="0.35">
      <c r="B49" s="1323"/>
      <c r="C49" s="1324"/>
      <c r="D49" s="225" t="s">
        <v>281</v>
      </c>
      <c r="E49" s="225" t="s">
        <v>282</v>
      </c>
      <c r="F49" s="226" t="s">
        <v>283</v>
      </c>
      <c r="G49" s="226" t="s">
        <v>238</v>
      </c>
      <c r="H49" s="1260" t="s">
        <v>281</v>
      </c>
      <c r="I49" s="226" t="s">
        <v>282</v>
      </c>
      <c r="J49" s="226" t="s">
        <v>283</v>
      </c>
      <c r="K49" s="226" t="s">
        <v>238</v>
      </c>
      <c r="L49" s="226" t="s">
        <v>281</v>
      </c>
      <c r="M49" s="225" t="s">
        <v>282</v>
      </c>
      <c r="N49" s="226" t="s">
        <v>283</v>
      </c>
      <c r="O49" s="226" t="s">
        <v>238</v>
      </c>
      <c r="P49" s="226" t="s">
        <v>281</v>
      </c>
      <c r="Q49" s="225" t="s">
        <v>282</v>
      </c>
      <c r="R49" s="226" t="s">
        <v>283</v>
      </c>
      <c r="S49" s="226" t="s">
        <v>238</v>
      </c>
      <c r="T49" s="1260"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3">
        <f t="shared" ref="AD50:AG50" si="26">AC50</f>
        <v>40.554000000000009</v>
      </c>
      <c r="AE50" s="953">
        <f t="shared" si="26"/>
        <v>40.554000000000009</v>
      </c>
      <c r="AF50" s="953">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08" t="s">
        <v>802</v>
      </c>
      <c r="C58" s="1409"/>
      <c r="D58" s="1329" t="s">
        <v>279</v>
      </c>
      <c r="E58" s="1329"/>
      <c r="F58" s="1329"/>
      <c r="G58" s="1329"/>
      <c r="H58" s="1329"/>
      <c r="I58" s="1329"/>
      <c r="J58" s="1329"/>
      <c r="K58" s="1329"/>
      <c r="L58" s="1329"/>
      <c r="M58" s="1329"/>
      <c r="N58" s="1329"/>
      <c r="O58" s="1329"/>
      <c r="P58" s="1329"/>
      <c r="Q58" s="1329"/>
      <c r="R58" s="1329"/>
      <c r="S58" s="1329"/>
      <c r="T58" s="1329"/>
      <c r="U58" s="1329"/>
      <c r="V58" s="1329"/>
      <c r="W58" s="1329"/>
      <c r="X58" s="1329"/>
      <c r="Y58" s="1329"/>
      <c r="Z58" s="1329"/>
      <c r="AA58" s="1329"/>
      <c r="AB58" s="1329"/>
      <c r="AC58" s="1347" t="s">
        <v>280</v>
      </c>
      <c r="AD58" s="1327"/>
      <c r="AE58" s="1327"/>
      <c r="AF58" s="1327"/>
      <c r="AG58" s="1327"/>
      <c r="AH58" s="1327"/>
      <c r="AI58" s="1327"/>
      <c r="AJ58" s="1327"/>
      <c r="AK58" s="1327"/>
      <c r="AL58" s="1327"/>
      <c r="AM58" s="1327"/>
      <c r="AN58" s="1328"/>
    </row>
    <row r="59" spans="2:40" x14ac:dyDescent="0.35">
      <c r="B59" s="1410"/>
      <c r="C59" s="1411"/>
      <c r="D59" s="296">
        <v>2018</v>
      </c>
      <c r="E59" s="1338">
        <v>2019</v>
      </c>
      <c r="F59" s="1346"/>
      <c r="G59" s="1346"/>
      <c r="H59" s="1340"/>
      <c r="I59" s="1338">
        <v>2020</v>
      </c>
      <c r="J59" s="1346"/>
      <c r="K59" s="1346"/>
      <c r="L59" s="1346"/>
      <c r="M59" s="1338">
        <v>2021</v>
      </c>
      <c r="N59" s="1346"/>
      <c r="O59" s="1346"/>
      <c r="P59" s="1346"/>
      <c r="Q59" s="1338">
        <v>2022</v>
      </c>
      <c r="R59" s="1346"/>
      <c r="S59" s="1346"/>
      <c r="T59" s="1340"/>
      <c r="U59" s="302"/>
      <c r="V59" s="302">
        <v>2023</v>
      </c>
      <c r="W59" s="302"/>
      <c r="X59" s="309"/>
      <c r="Y59" s="460"/>
      <c r="Z59" s="302">
        <v>2024</v>
      </c>
      <c r="AA59" s="302"/>
      <c r="AB59" s="309"/>
      <c r="AC59" s="1325">
        <v>2025</v>
      </c>
      <c r="AD59" s="1326"/>
      <c r="AE59" s="1326"/>
      <c r="AF59" s="1330"/>
      <c r="AG59" s="1325">
        <v>2026</v>
      </c>
      <c r="AH59" s="1326"/>
      <c r="AI59" s="1326"/>
      <c r="AJ59" s="1330"/>
      <c r="AK59" s="1325">
        <v>2027</v>
      </c>
      <c r="AL59" s="1326"/>
      <c r="AM59" s="1326"/>
      <c r="AN59" s="1330"/>
    </row>
    <row r="60" spans="2:40" x14ac:dyDescent="0.35">
      <c r="B60" s="1410"/>
      <c r="C60" s="1411"/>
      <c r="D60" s="225" t="s">
        <v>281</v>
      </c>
      <c r="E60" s="225" t="s">
        <v>282</v>
      </c>
      <c r="F60" s="226" t="s">
        <v>283</v>
      </c>
      <c r="G60" s="226" t="s">
        <v>238</v>
      </c>
      <c r="H60" s="1260" t="s">
        <v>281</v>
      </c>
      <c r="I60" s="226" t="s">
        <v>282</v>
      </c>
      <c r="J60" s="226" t="s">
        <v>283</v>
      </c>
      <c r="K60" s="226" t="s">
        <v>238</v>
      </c>
      <c r="L60" s="226" t="s">
        <v>281</v>
      </c>
      <c r="M60" s="225" t="s">
        <v>282</v>
      </c>
      <c r="N60" s="226" t="s">
        <v>283</v>
      </c>
      <c r="O60" s="226" t="s">
        <v>238</v>
      </c>
      <c r="P60" s="226" t="s">
        <v>281</v>
      </c>
      <c r="Q60" s="225" t="s">
        <v>282</v>
      </c>
      <c r="R60" s="226" t="s">
        <v>283</v>
      </c>
      <c r="S60" s="226" t="s">
        <v>238</v>
      </c>
      <c r="T60" s="1260"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1:AC1"/>
    <mergeCell ref="B2:AC6"/>
    <mergeCell ref="D8:AB8"/>
    <mergeCell ref="AC8:AN8"/>
    <mergeCell ref="E9:H9"/>
    <mergeCell ref="I9:L9"/>
    <mergeCell ref="M9:P9"/>
    <mergeCell ref="Q9:T9"/>
    <mergeCell ref="U9:X9"/>
    <mergeCell ref="AC9:AF9"/>
    <mergeCell ref="AG9:AJ9"/>
    <mergeCell ref="AK9:AN9"/>
    <mergeCell ref="Q59:T59"/>
    <mergeCell ref="AC59:AF59"/>
    <mergeCell ref="B47:C49"/>
    <mergeCell ref="D47:AB47"/>
    <mergeCell ref="AC47:AN47"/>
    <mergeCell ref="E48:H48"/>
    <mergeCell ref="I48:L48"/>
    <mergeCell ref="AG59:AJ59"/>
    <mergeCell ref="AK59:AN59"/>
    <mergeCell ref="B11:C11"/>
    <mergeCell ref="B35:C35"/>
    <mergeCell ref="B46:AC46"/>
    <mergeCell ref="B58:C60"/>
    <mergeCell ref="D58:AB58"/>
    <mergeCell ref="AC58:AN58"/>
    <mergeCell ref="E59:H59"/>
    <mergeCell ref="I59:L59"/>
    <mergeCell ref="M48:P48"/>
    <mergeCell ref="Q48:T48"/>
    <mergeCell ref="AC48:AF48"/>
    <mergeCell ref="AG48:AJ48"/>
    <mergeCell ref="AK48:AN48"/>
    <mergeCell ref="M59:P5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0"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12" t="s">
        <v>463</v>
      </c>
      <c r="C1" s="1412"/>
      <c r="D1" s="1412"/>
      <c r="E1" s="1412"/>
      <c r="F1" s="1412"/>
      <c r="G1" s="1412"/>
      <c r="H1" s="1412"/>
      <c r="I1" s="1412"/>
      <c r="J1" s="1412"/>
      <c r="K1" s="1412"/>
      <c r="L1" s="1412"/>
      <c r="M1" s="1412"/>
      <c r="N1" s="1412"/>
      <c r="O1" s="1412"/>
      <c r="P1" s="1412"/>
      <c r="Q1" s="1412"/>
      <c r="R1" s="1412"/>
      <c r="S1" s="1412"/>
      <c r="T1" s="1412"/>
      <c r="U1" s="1412"/>
      <c r="V1" s="1412"/>
      <c r="W1" s="1412"/>
      <c r="X1" s="1412"/>
      <c r="Y1" s="1412"/>
      <c r="Z1" s="1412"/>
      <c r="AA1" s="1412"/>
      <c r="AB1" s="1412"/>
      <c r="AC1" s="1412"/>
    </row>
    <row r="2" spans="2:40" ht="34.5" hidden="1" customHeight="1" outlineLevel="1" x14ac:dyDescent="0.35">
      <c r="B2" s="1315" t="s">
        <v>858</v>
      </c>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row>
    <row r="3" spans="2:40" ht="3" hidden="1" customHeight="1" outlineLevel="1" x14ac:dyDescent="0.35">
      <c r="B3" s="1349"/>
      <c r="C3" s="1349"/>
      <c r="D3" s="1349"/>
      <c r="E3" s="1349"/>
      <c r="F3" s="1349"/>
      <c r="G3" s="1349"/>
      <c r="H3" s="1349"/>
      <c r="I3" s="1349"/>
      <c r="J3" s="1349"/>
      <c r="K3" s="1349"/>
      <c r="L3" s="1349"/>
      <c r="M3" s="1349"/>
      <c r="N3" s="1349"/>
      <c r="O3" s="1349"/>
      <c r="P3" s="1349"/>
      <c r="Q3" s="1349"/>
      <c r="R3" s="1349"/>
      <c r="S3" s="1349"/>
      <c r="T3" s="1349"/>
      <c r="U3" s="1349"/>
      <c r="V3" s="1349"/>
      <c r="W3" s="1349"/>
      <c r="X3" s="1349"/>
      <c r="Y3" s="1349"/>
      <c r="Z3" s="1349"/>
      <c r="AA3" s="1349"/>
      <c r="AB3" s="1349"/>
      <c r="AC3" s="1349"/>
    </row>
    <row r="4" spans="2:40" ht="10.4" hidden="1" customHeight="1" outlineLevel="1" x14ac:dyDescent="0.35">
      <c r="B4" s="1349"/>
      <c r="C4" s="1349"/>
      <c r="D4" s="1349"/>
      <c r="E4" s="1349"/>
      <c r="F4" s="1349"/>
      <c r="G4" s="1349"/>
      <c r="H4" s="1349"/>
      <c r="I4" s="1349"/>
      <c r="J4" s="1349"/>
      <c r="K4" s="1349"/>
      <c r="L4" s="1349"/>
      <c r="M4" s="1349"/>
      <c r="N4" s="1349"/>
      <c r="O4" s="1349"/>
      <c r="P4" s="1349"/>
      <c r="Q4" s="1349"/>
      <c r="R4" s="1349"/>
      <c r="S4" s="1349"/>
      <c r="T4" s="1349"/>
      <c r="U4" s="1349"/>
      <c r="V4" s="1349"/>
      <c r="W4" s="1349"/>
      <c r="X4" s="1349"/>
      <c r="Y4" s="1349"/>
      <c r="Z4" s="1349"/>
      <c r="AA4" s="1349"/>
      <c r="AB4" s="1349"/>
      <c r="AC4" s="1349"/>
    </row>
    <row r="5" spans="2:40" ht="14.25" hidden="1" customHeight="1" outlineLevel="1" x14ac:dyDescent="0.35">
      <c r="B5" s="1349"/>
      <c r="C5" s="1349"/>
      <c r="D5" s="1349"/>
      <c r="E5" s="1349"/>
      <c r="F5" s="1349"/>
      <c r="G5" s="1349"/>
      <c r="H5" s="1349"/>
      <c r="I5" s="1349"/>
      <c r="J5" s="1349"/>
      <c r="K5" s="1349"/>
      <c r="L5" s="1349"/>
      <c r="M5" s="1349"/>
      <c r="N5" s="1349"/>
      <c r="O5" s="1349"/>
      <c r="P5" s="1349"/>
      <c r="Q5" s="1349"/>
      <c r="R5" s="1349"/>
      <c r="S5" s="1349"/>
      <c r="T5" s="1349"/>
      <c r="U5" s="1349"/>
      <c r="V5" s="1349"/>
      <c r="W5" s="1349"/>
      <c r="X5" s="1349"/>
      <c r="Y5" s="1349"/>
      <c r="Z5" s="1349"/>
      <c r="AA5" s="1349"/>
      <c r="AB5" s="1349"/>
      <c r="AC5" s="1349"/>
    </row>
    <row r="6" spans="2:40" ht="14.25" hidden="1" customHeight="1" outlineLevel="1" x14ac:dyDescent="0.35">
      <c r="B6" s="1349"/>
      <c r="C6" s="1349"/>
      <c r="D6" s="1349"/>
      <c r="E6" s="1349"/>
      <c r="F6" s="1349"/>
      <c r="G6" s="1349"/>
      <c r="H6" s="1349"/>
      <c r="I6" s="1349"/>
      <c r="J6" s="1349"/>
      <c r="K6" s="1349"/>
      <c r="L6" s="1349"/>
      <c r="M6" s="1349"/>
      <c r="N6" s="1349"/>
      <c r="O6" s="1349"/>
      <c r="P6" s="1349"/>
      <c r="Q6" s="1349"/>
      <c r="R6" s="1349"/>
      <c r="S6" s="1349"/>
      <c r="T6" s="1349"/>
      <c r="U6" s="1349"/>
      <c r="V6" s="1349"/>
      <c r="W6" s="1349"/>
      <c r="X6" s="1349"/>
      <c r="Y6" s="1349"/>
      <c r="Z6" s="1349"/>
      <c r="AA6" s="1349"/>
      <c r="AB6" s="1349"/>
      <c r="AC6" s="1349"/>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7"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46"/>
      <c r="S9" s="1346"/>
      <c r="T9" s="1340"/>
      <c r="U9" s="1338">
        <v>2023</v>
      </c>
      <c r="V9" s="1346"/>
      <c r="W9" s="1346"/>
      <c r="X9" s="1340"/>
      <c r="Y9" s="71"/>
      <c r="Z9" s="302">
        <v>2024</v>
      </c>
      <c r="AA9" s="442"/>
      <c r="AB9" s="309"/>
      <c r="AC9" s="1325">
        <v>2025</v>
      </c>
      <c r="AD9" s="1331"/>
      <c r="AE9" s="1331"/>
      <c r="AF9" s="1326"/>
      <c r="AG9" s="1325">
        <v>2026</v>
      </c>
      <c r="AH9" s="1331"/>
      <c r="AI9" s="1331"/>
      <c r="AJ9" s="1330"/>
      <c r="AK9" s="1325">
        <v>2027</v>
      </c>
      <c r="AL9" s="1331"/>
      <c r="AM9" s="1331"/>
      <c r="AN9" s="1330"/>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5" t="s">
        <v>464</v>
      </c>
      <c r="C11" s="1406"/>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05" t="s">
        <v>471</v>
      </c>
      <c r="C36" s="1406"/>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07" t="s">
        <v>475</v>
      </c>
      <c r="C47" s="1407"/>
      <c r="D47" s="1349"/>
      <c r="E47" s="1349"/>
      <c r="F47" s="1349"/>
      <c r="G47" s="1349"/>
      <c r="H47" s="1349"/>
      <c r="I47" s="1349"/>
      <c r="J47" s="1349"/>
      <c r="K47" s="1349"/>
      <c r="L47" s="1349"/>
      <c r="M47" s="1349"/>
      <c r="N47" s="1349"/>
      <c r="O47" s="1349"/>
      <c r="P47" s="1349"/>
      <c r="Q47" s="1349"/>
      <c r="R47" s="1349"/>
      <c r="S47" s="1349"/>
      <c r="T47" s="1349"/>
      <c r="U47" s="1349"/>
      <c r="V47" s="1349"/>
      <c r="W47" s="1349"/>
      <c r="X47" s="1349"/>
      <c r="Y47" s="1349"/>
      <c r="Z47" s="1349"/>
      <c r="AA47" s="1349"/>
      <c r="AB47" s="1349"/>
      <c r="AC47" s="1349"/>
    </row>
    <row r="48" spans="2:40" ht="14.9" customHeight="1" x14ac:dyDescent="0.35">
      <c r="B48" s="1321" t="s">
        <v>476</v>
      </c>
      <c r="C48" s="1322"/>
      <c r="D48" s="1329" t="s">
        <v>279</v>
      </c>
      <c r="E48" s="1329"/>
      <c r="F48" s="1329"/>
      <c r="G48" s="1329"/>
      <c r="H48" s="1329"/>
      <c r="I48" s="1329"/>
      <c r="J48" s="1329"/>
      <c r="K48" s="1329"/>
      <c r="L48" s="1329"/>
      <c r="M48" s="1329"/>
      <c r="N48" s="1329"/>
      <c r="O48" s="1329"/>
      <c r="P48" s="1329"/>
      <c r="Q48" s="1329"/>
      <c r="R48" s="1329"/>
      <c r="S48" s="1329"/>
      <c r="T48" s="1329"/>
      <c r="U48" s="1329"/>
      <c r="V48" s="1329"/>
      <c r="W48" s="1329"/>
      <c r="X48" s="1329"/>
      <c r="Y48" s="1329"/>
      <c r="Z48" s="1329"/>
      <c r="AA48" s="1329"/>
      <c r="AB48" s="1329"/>
      <c r="AC48" s="1347" t="s">
        <v>280</v>
      </c>
      <c r="AD48" s="1327"/>
      <c r="AE48" s="1327"/>
      <c r="AF48" s="1327"/>
      <c r="AG48" s="1327"/>
      <c r="AH48" s="1327"/>
      <c r="AI48" s="1327"/>
      <c r="AJ48" s="1327"/>
      <c r="AK48" s="1327"/>
      <c r="AL48" s="1327"/>
      <c r="AM48" s="1327"/>
      <c r="AN48" s="1328"/>
    </row>
    <row r="49" spans="2:40" x14ac:dyDescent="0.35">
      <c r="B49" s="1321"/>
      <c r="C49" s="1322"/>
      <c r="D49" s="296">
        <v>2018</v>
      </c>
      <c r="E49" s="1338">
        <v>2019</v>
      </c>
      <c r="F49" s="1339"/>
      <c r="G49" s="1339"/>
      <c r="H49" s="1340"/>
      <c r="I49" s="1338">
        <v>2020</v>
      </c>
      <c r="J49" s="1339"/>
      <c r="K49" s="1339"/>
      <c r="L49" s="1339"/>
      <c r="M49" s="1338">
        <v>2021</v>
      </c>
      <c r="N49" s="1339"/>
      <c r="O49" s="1339"/>
      <c r="P49" s="1339"/>
      <c r="Q49" s="1338">
        <v>2022</v>
      </c>
      <c r="R49" s="1346"/>
      <c r="S49" s="1346"/>
      <c r="T49" s="1340"/>
      <c r="U49" s="302"/>
      <c r="V49" s="442">
        <v>2023</v>
      </c>
      <c r="W49" s="442"/>
      <c r="X49" s="309"/>
      <c r="Y49" s="460"/>
      <c r="Z49" s="442">
        <v>2024</v>
      </c>
      <c r="AA49" s="442"/>
      <c r="AB49" s="309"/>
      <c r="AC49" s="1325">
        <v>2025</v>
      </c>
      <c r="AD49" s="1331"/>
      <c r="AE49" s="1331"/>
      <c r="AF49" s="1330"/>
      <c r="AG49" s="1325">
        <v>2026</v>
      </c>
      <c r="AH49" s="1331"/>
      <c r="AI49" s="1331"/>
      <c r="AJ49" s="1330"/>
      <c r="AK49" s="1325">
        <v>2027</v>
      </c>
      <c r="AL49" s="1331"/>
      <c r="AM49" s="1331"/>
      <c r="AN49" s="1330"/>
    </row>
    <row r="50" spans="2:40" x14ac:dyDescent="0.35">
      <c r="B50" s="1323"/>
      <c r="C50" s="1324"/>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8" t="s">
        <v>802</v>
      </c>
      <c r="C60" s="1409"/>
      <c r="D60" s="1329" t="s">
        <v>279</v>
      </c>
      <c r="E60" s="1329"/>
      <c r="F60" s="1329"/>
      <c r="G60" s="1329"/>
      <c r="H60" s="1329"/>
      <c r="I60" s="1329"/>
      <c r="J60" s="1329"/>
      <c r="K60" s="1329"/>
      <c r="L60" s="1329"/>
      <c r="M60" s="1329"/>
      <c r="N60" s="1329"/>
      <c r="O60" s="1329"/>
      <c r="P60" s="1329"/>
      <c r="Q60" s="1329"/>
      <c r="R60" s="1329"/>
      <c r="S60" s="1329"/>
      <c r="T60" s="1329"/>
      <c r="U60" s="1329"/>
      <c r="V60" s="1329"/>
      <c r="W60" s="1329"/>
      <c r="X60" s="1329"/>
      <c r="Y60" s="1329"/>
      <c r="Z60" s="1329"/>
      <c r="AA60" s="1329"/>
      <c r="AB60" s="1329"/>
      <c r="AC60" s="1347" t="s">
        <v>280</v>
      </c>
      <c r="AD60" s="1327"/>
      <c r="AE60" s="1327"/>
      <c r="AF60" s="1327"/>
      <c r="AG60" s="1327"/>
      <c r="AH60" s="1327"/>
      <c r="AI60" s="1327"/>
      <c r="AJ60" s="1327"/>
      <c r="AK60" s="1327"/>
      <c r="AL60" s="1327"/>
      <c r="AM60" s="1327"/>
      <c r="AN60" s="1328"/>
    </row>
    <row r="61" spans="2:40" x14ac:dyDescent="0.35">
      <c r="B61" s="1410"/>
      <c r="C61" s="1411"/>
      <c r="D61" s="296">
        <v>2018</v>
      </c>
      <c r="E61" s="1338">
        <v>2019</v>
      </c>
      <c r="F61" s="1339"/>
      <c r="G61" s="1339"/>
      <c r="H61" s="1340"/>
      <c r="I61" s="1338">
        <v>2020</v>
      </c>
      <c r="J61" s="1339"/>
      <c r="K61" s="1339"/>
      <c r="L61" s="1339"/>
      <c r="M61" s="1338">
        <v>2021</v>
      </c>
      <c r="N61" s="1339"/>
      <c r="O61" s="1339"/>
      <c r="P61" s="1339"/>
      <c r="Q61" s="1338">
        <v>2022</v>
      </c>
      <c r="R61" s="1346"/>
      <c r="S61" s="1346"/>
      <c r="T61" s="1340"/>
      <c r="U61" s="302"/>
      <c r="V61" s="442">
        <v>2023</v>
      </c>
      <c r="W61" s="442"/>
      <c r="X61" s="309"/>
      <c r="Y61" s="460"/>
      <c r="Z61" s="442">
        <v>2024</v>
      </c>
      <c r="AA61" s="302"/>
      <c r="AB61" s="309"/>
      <c r="AC61" s="1325">
        <v>2025</v>
      </c>
      <c r="AD61" s="1331"/>
      <c r="AE61" s="1331"/>
      <c r="AF61" s="1330"/>
      <c r="AG61" s="1325">
        <v>2026</v>
      </c>
      <c r="AH61" s="1331"/>
      <c r="AI61" s="1331"/>
      <c r="AJ61" s="1330"/>
      <c r="AK61" s="1325">
        <v>2027</v>
      </c>
      <c r="AL61" s="1331"/>
      <c r="AM61" s="1331"/>
      <c r="AN61" s="1330"/>
    </row>
    <row r="62" spans="2:40" x14ac:dyDescent="0.35">
      <c r="B62" s="1410"/>
      <c r="C62" s="1411"/>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3583.9541359637888</v>
      </c>
      <c r="G3">
        <f>F3-E3</f>
        <v>9.0541359637886671</v>
      </c>
      <c r="I3">
        <f>G3-D3</f>
        <v>-12.672608890428364</v>
      </c>
      <c r="K3">
        <f>E3-B3</f>
        <v>103.21783952360465</v>
      </c>
      <c r="L3">
        <f>F3-C3</f>
        <v>90.545230633176288</v>
      </c>
    </row>
    <row r="4" spans="1:12" x14ac:dyDescent="0.35">
      <c r="A4" t="s">
        <v>798</v>
      </c>
      <c r="B4">
        <f>'Social Benefits- June'!AD33</f>
        <v>2268.998</v>
      </c>
      <c r="C4">
        <f>'Social Benefits- June'!AE33</f>
        <v>2275.6980000000003</v>
      </c>
      <c r="D4">
        <f>C4-B4</f>
        <v>6.7000000000002728</v>
      </c>
      <c r="E4">
        <f>'Social Benefits'!AD33</f>
        <v>2352.0980000000004</v>
      </c>
      <c r="F4">
        <f>'Social Benefits'!AE33</f>
        <v>2347.0980000000004</v>
      </c>
      <c r="G4">
        <f>F4-E4</f>
        <v>-5</v>
      </c>
      <c r="I4">
        <f t="shared" ref="I4:I7" si="0">G4-D4</f>
        <v>-11.700000000000273</v>
      </c>
      <c r="K4">
        <f>E4-B4</f>
        <v>83.100000000000364</v>
      </c>
      <c r="L4">
        <f>F4-C4</f>
        <v>71.400000000000091</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657.83100000000013</v>
      </c>
      <c r="G6">
        <f>F6-E6</f>
        <v>0</v>
      </c>
      <c r="I6">
        <f t="shared" si="0"/>
        <v>3.2999999999997272</v>
      </c>
      <c r="K6">
        <f t="shared" si="1"/>
        <v>77.423000000000229</v>
      </c>
      <c r="L6">
        <f t="shared" si="2"/>
        <v>80.722999999999956</v>
      </c>
    </row>
    <row r="7" spans="1:12" x14ac:dyDescent="0.35">
      <c r="A7" t="s">
        <v>2340</v>
      </c>
      <c r="B7" s="1261">
        <f>'Social Benefits - old'!AD72</f>
        <v>1605.202</v>
      </c>
      <c r="C7" s="1261">
        <f>'Social Benefits - old'!AE72</f>
        <v>1615.202</v>
      </c>
      <c r="D7">
        <f>C7-B7</f>
        <v>10</v>
      </c>
      <c r="E7">
        <f>'Social Benefits'!AD18</f>
        <v>1605.202</v>
      </c>
      <c r="F7">
        <f>'Social Benefits'!AE18</f>
        <v>1600.202</v>
      </c>
      <c r="G7">
        <f>F7-E7</f>
        <v>-5</v>
      </c>
      <c r="I7">
        <f t="shared" si="0"/>
        <v>-15</v>
      </c>
    </row>
    <row r="8" spans="1:12" x14ac:dyDescent="0.35">
      <c r="B8">
        <f>SUM(B5:B7)</f>
        <v>3365.5591604763949</v>
      </c>
      <c r="C8">
        <f t="shared" ref="C8:I8" si="3">SUM(C5:C7)</f>
        <v>3387.2859053306124</v>
      </c>
      <c r="D8">
        <f t="shared" si="3"/>
        <v>21.726744854217714</v>
      </c>
      <c r="E8">
        <f t="shared" si="3"/>
        <v>3445.1329999999998</v>
      </c>
      <c r="F8">
        <f t="shared" si="3"/>
        <v>3455.1871359637889</v>
      </c>
      <c r="G8">
        <f t="shared" si="3"/>
        <v>10.054135963788895</v>
      </c>
      <c r="H8">
        <f t="shared" si="3"/>
        <v>0</v>
      </c>
      <c r="I8">
        <f t="shared" si="3"/>
        <v>-11.672608890428819</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1">
        <f>B6+B7</f>
        <v>2185.6099999999997</v>
      </c>
      <c r="C10" s="1261">
        <f t="shared" ref="C10:G10" si="5">C6+C7</f>
        <v>2192.3100000000004</v>
      </c>
      <c r="D10" s="1261">
        <f t="shared" si="5"/>
        <v>6.7000000000002728</v>
      </c>
      <c r="E10" s="1261">
        <f t="shared" si="5"/>
        <v>2263.0330000000004</v>
      </c>
      <c r="F10" s="1261">
        <f t="shared" si="5"/>
        <v>2258.0330000000004</v>
      </c>
      <c r="G10" s="1261">
        <f t="shared" si="5"/>
        <v>-5</v>
      </c>
    </row>
    <row r="11" spans="1:12" x14ac:dyDescent="0.35">
      <c r="B11" s="1261">
        <f>B4-B10</f>
        <v>83.388000000000375</v>
      </c>
      <c r="C11" s="1261">
        <f t="shared" ref="C11:G11" si="6">C4-C10</f>
        <v>83.38799999999992</v>
      </c>
      <c r="D11" s="1261">
        <f t="shared" si="6"/>
        <v>0</v>
      </c>
      <c r="E11" s="1261">
        <f t="shared" si="6"/>
        <v>89.065000000000055</v>
      </c>
      <c r="F11" s="1261">
        <f t="shared" si="6"/>
        <v>89.065000000000055</v>
      </c>
      <c r="G11" s="1261">
        <f t="shared" si="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4" t="s">
        <v>1902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25" customHeight="1" x14ac:dyDescent="0.35">
      <c r="B2" s="1395" t="s">
        <v>1903</v>
      </c>
      <c r="C2" s="1395"/>
      <c r="D2" s="1395"/>
      <c r="E2" s="1395"/>
      <c r="F2" s="1395"/>
      <c r="G2" s="1395"/>
      <c r="H2" s="1395"/>
      <c r="I2" s="1395"/>
      <c r="J2" s="1395"/>
      <c r="K2" s="1395"/>
      <c r="L2" s="1395"/>
      <c r="M2" s="1395"/>
      <c r="N2" s="1395"/>
      <c r="O2" s="1395"/>
      <c r="P2" s="1395"/>
      <c r="Q2" s="1395"/>
      <c r="R2" s="1395"/>
      <c r="S2" s="602"/>
      <c r="T2" s="1400"/>
      <c r="U2" s="1400"/>
      <c r="V2" s="1400"/>
      <c r="W2" s="1400"/>
      <c r="X2" s="1400"/>
      <c r="Y2" s="1400"/>
      <c r="Z2" s="1400"/>
      <c r="AA2" s="1400"/>
      <c r="AB2" s="1400"/>
      <c r="AC2" s="1400"/>
    </row>
    <row r="3" spans="2:40" x14ac:dyDescent="0.35">
      <c r="B3" s="1395"/>
      <c r="C3" s="1395"/>
      <c r="D3" s="1395"/>
      <c r="E3" s="1395"/>
      <c r="F3" s="1395"/>
      <c r="G3" s="1395"/>
      <c r="H3" s="1395"/>
      <c r="I3" s="1395"/>
      <c r="J3" s="1395"/>
      <c r="K3" s="1395"/>
      <c r="L3" s="1395"/>
      <c r="M3" s="1395"/>
      <c r="N3" s="1395"/>
      <c r="O3" s="1395"/>
      <c r="P3" s="1395"/>
      <c r="Q3" s="1395"/>
      <c r="R3" s="1395"/>
      <c r="S3" s="602"/>
      <c r="T3" s="1400"/>
      <c r="U3" s="1400"/>
      <c r="V3" s="1400"/>
      <c r="W3" s="1400"/>
      <c r="X3" s="1400"/>
      <c r="Y3" s="1400"/>
      <c r="Z3" s="1400"/>
      <c r="AA3" s="1400"/>
      <c r="AB3" s="1400"/>
      <c r="AC3" s="1400"/>
    </row>
    <row r="4" spans="2:40" ht="21" customHeight="1" x14ac:dyDescent="0.35">
      <c r="B4" s="1395"/>
      <c r="C4" s="1395"/>
      <c r="D4" s="1395"/>
      <c r="E4" s="1395"/>
      <c r="F4" s="1395"/>
      <c r="G4" s="1395"/>
      <c r="H4" s="1395"/>
      <c r="I4" s="1395"/>
      <c r="J4" s="1395"/>
      <c r="K4" s="1395"/>
      <c r="L4" s="1395"/>
      <c r="M4" s="1395"/>
      <c r="N4" s="1395"/>
      <c r="O4" s="1395"/>
      <c r="P4" s="1395"/>
      <c r="Q4" s="1395"/>
      <c r="R4" s="1395"/>
      <c r="S4" s="602"/>
      <c r="T4" s="1400"/>
      <c r="U4" s="1400"/>
      <c r="V4" s="1400"/>
      <c r="W4" s="1400"/>
      <c r="X4" s="1400"/>
      <c r="Y4" s="1400"/>
      <c r="Z4" s="1400"/>
      <c r="AA4" s="1400"/>
      <c r="AB4" s="1400"/>
      <c r="AC4" s="1400"/>
    </row>
    <row r="6" spans="2:40" x14ac:dyDescent="0.35">
      <c r="B6" s="529" t="s">
        <v>332</v>
      </c>
    </row>
    <row r="7" spans="2:40" ht="14.9" customHeight="1" x14ac:dyDescent="0.35">
      <c r="B7" s="1319" t="s">
        <v>1874</v>
      </c>
      <c r="C7" s="1320"/>
      <c r="D7" s="1323" t="s">
        <v>279</v>
      </c>
      <c r="E7" s="1373"/>
      <c r="F7" s="1373"/>
      <c r="G7" s="1373"/>
      <c r="H7" s="1373"/>
      <c r="I7" s="1373"/>
      <c r="J7" s="1373"/>
      <c r="K7" s="1373"/>
      <c r="L7" s="1373"/>
      <c r="M7" s="1373"/>
      <c r="N7" s="1373"/>
      <c r="O7" s="1373"/>
      <c r="P7" s="1373"/>
      <c r="Q7" s="1373"/>
      <c r="R7" s="1373"/>
      <c r="S7" s="1373"/>
      <c r="T7" s="1373"/>
      <c r="U7" s="1372"/>
      <c r="V7" s="1322"/>
      <c r="W7" s="1401" t="s">
        <v>280</v>
      </c>
      <c r="X7" s="1402"/>
      <c r="Y7" s="1402"/>
      <c r="Z7" s="1402"/>
      <c r="AA7" s="1402"/>
      <c r="AB7" s="1402"/>
      <c r="AC7" s="1402"/>
      <c r="AD7" s="1402"/>
      <c r="AE7" s="1402"/>
      <c r="AF7" s="1402"/>
      <c r="AG7" s="1402"/>
      <c r="AH7" s="1402"/>
      <c r="AI7" s="1402"/>
      <c r="AJ7" s="1402"/>
      <c r="AK7" s="1402"/>
      <c r="AL7" s="1402"/>
      <c r="AM7" s="1402"/>
      <c r="AN7" s="1402"/>
    </row>
    <row r="8" spans="2:40" x14ac:dyDescent="0.35">
      <c r="B8" s="1321"/>
      <c r="C8" s="1322"/>
      <c r="D8" s="296">
        <v>2018</v>
      </c>
      <c r="E8" s="1338">
        <v>2019</v>
      </c>
      <c r="F8" s="1339"/>
      <c r="G8" s="1339"/>
      <c r="H8" s="1340"/>
      <c r="I8" s="1338">
        <v>2020</v>
      </c>
      <c r="J8" s="1339"/>
      <c r="K8" s="1339"/>
      <c r="L8" s="1339"/>
      <c r="M8" s="1338">
        <v>2021</v>
      </c>
      <c r="N8" s="1339"/>
      <c r="O8" s="1339"/>
      <c r="P8" s="1346"/>
      <c r="Q8" s="1338">
        <v>2022</v>
      </c>
      <c r="R8" s="1346"/>
      <c r="S8" s="1346"/>
      <c r="T8" s="1346"/>
      <c r="U8" s="460"/>
      <c r="V8" s="302">
        <v>2023</v>
      </c>
      <c r="W8" s="338"/>
      <c r="X8" s="335"/>
      <c r="Y8" s="1326">
        <v>2024</v>
      </c>
      <c r="Z8" s="1331"/>
      <c r="AA8" s="1331"/>
      <c r="AB8" s="1330"/>
      <c r="AC8" s="1325">
        <v>2025</v>
      </c>
      <c r="AD8" s="1331"/>
      <c r="AE8" s="1331"/>
      <c r="AF8" s="1330"/>
      <c r="AG8" s="1325">
        <v>2026</v>
      </c>
      <c r="AH8" s="1331"/>
      <c r="AI8" s="1331"/>
      <c r="AJ8" s="1330"/>
      <c r="AK8" s="1325">
        <v>2027</v>
      </c>
      <c r="AL8" s="1331"/>
      <c r="AM8" s="1331"/>
      <c r="AN8" s="1330"/>
    </row>
    <row r="9" spans="2:40"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5" t="s">
        <v>1934</v>
      </c>
      <c r="E25" s="1415"/>
      <c r="F25" s="1415"/>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BT155"/>
  <sheetViews>
    <sheetView tabSelected="1" topLeftCell="C1" zoomScale="85" zoomScaleNormal="85" workbookViewId="0">
      <pane xSplit="2" ySplit="7" topLeftCell="Z8" activePane="bottomRight" state="frozen"/>
      <selection activeCell="C1" sqref="C1"/>
      <selection pane="topRight" activeCell="E1" sqref="E1"/>
      <selection pane="bottomLeft" activeCell="C8" sqref="C8"/>
      <selection pane="bottomRight" activeCell="AD17" sqref="AD17"/>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4" t="s">
        <v>58</v>
      </c>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4:57" ht="14.25" customHeight="1" x14ac:dyDescent="0.35">
      <c r="D2" s="1349" t="s">
        <v>906</v>
      </c>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row>
    <row r="3" spans="4:57" ht="84.75" customHeight="1" x14ac:dyDescent="0.35">
      <c r="D3" s="1349"/>
      <c r="E3" s="1349"/>
      <c r="F3" s="1349"/>
      <c r="G3" s="1349"/>
      <c r="H3" s="1349"/>
      <c r="I3" s="1349"/>
      <c r="J3" s="1349"/>
      <c r="K3" s="1349"/>
      <c r="L3" s="1349"/>
      <c r="M3" s="1349"/>
      <c r="N3" s="1349"/>
      <c r="O3" s="1349"/>
      <c r="P3" s="1349"/>
      <c r="Q3" s="1349"/>
      <c r="R3" s="1349"/>
      <c r="S3" s="1349"/>
      <c r="T3" s="1349"/>
      <c r="U3" s="1349"/>
      <c r="V3" s="1349"/>
      <c r="W3" s="1349"/>
      <c r="X3" s="1349"/>
      <c r="Y3" s="1349"/>
      <c r="Z3" s="1349"/>
      <c r="AA3" s="1349"/>
      <c r="AB3" s="1349"/>
      <c r="AC3" s="1349"/>
    </row>
    <row r="4" spans="4:57" x14ac:dyDescent="0.35">
      <c r="D4" s="865" t="s">
        <v>332</v>
      </c>
      <c r="W4" s="56"/>
    </row>
    <row r="5" spans="4:57" x14ac:dyDescent="0.35">
      <c r="D5" s="1319" t="s">
        <v>402</v>
      </c>
      <c r="E5" s="1320"/>
      <c r="F5" s="1426" t="s">
        <v>279</v>
      </c>
      <c r="G5" s="1427"/>
      <c r="H5" s="1427"/>
      <c r="I5" s="1427"/>
      <c r="J5" s="1427"/>
      <c r="K5" s="1427"/>
      <c r="L5" s="1427"/>
      <c r="M5" s="1427"/>
      <c r="N5" s="1427"/>
      <c r="O5" s="1427"/>
      <c r="P5" s="1427"/>
      <c r="Q5" s="1427"/>
      <c r="R5" s="1427"/>
      <c r="S5" s="1427"/>
      <c r="T5" s="1427"/>
      <c r="U5" s="1427"/>
      <c r="V5" s="1427"/>
      <c r="W5" s="1427"/>
      <c r="X5" s="1427"/>
      <c r="Y5" s="1427"/>
      <c r="Z5" s="1427"/>
      <c r="AA5" s="1427"/>
      <c r="AB5" s="1428"/>
      <c r="AC5" s="1347" t="s">
        <v>280</v>
      </c>
      <c r="AD5" s="1327"/>
      <c r="AE5" s="1327"/>
      <c r="AF5" s="1327"/>
      <c r="AG5" s="1327"/>
      <c r="AH5" s="1327"/>
      <c r="AI5" s="1327"/>
      <c r="AJ5" s="1327"/>
      <c r="AK5" s="1327"/>
      <c r="AL5" s="1327"/>
      <c r="AM5" s="1327"/>
      <c r="AN5" s="1328"/>
      <c r="AO5" s="792"/>
      <c r="AP5" s="792"/>
      <c r="AQ5" s="792"/>
      <c r="AR5" s="792"/>
      <c r="AS5" s="792"/>
      <c r="AT5" s="792"/>
      <c r="AU5" s="792"/>
      <c r="AV5" s="792"/>
      <c r="AW5" s="792"/>
      <c r="AX5" s="792"/>
      <c r="AY5" s="792"/>
      <c r="AZ5" s="792"/>
      <c r="BA5" s="792"/>
      <c r="BB5" s="792"/>
      <c r="BC5" s="792"/>
      <c r="BD5" s="792"/>
      <c r="BE5" s="792"/>
    </row>
    <row r="6" spans="4:57" x14ac:dyDescent="0.35">
      <c r="D6" s="1321"/>
      <c r="E6" s="1372"/>
      <c r="F6" s="1316">
        <v>2019</v>
      </c>
      <c r="G6" s="1317"/>
      <c r="H6" s="1378"/>
      <c r="I6" s="1317">
        <v>2020</v>
      </c>
      <c r="J6" s="1317"/>
      <c r="K6" s="1317"/>
      <c r="L6" s="1317"/>
      <c r="M6" s="1338">
        <v>2021</v>
      </c>
      <c r="N6" s="1339"/>
      <c r="O6" s="1339"/>
      <c r="P6" s="1339"/>
      <c r="Q6" s="1338">
        <v>2022</v>
      </c>
      <c r="R6" s="1346"/>
      <c r="S6" s="1346"/>
      <c r="T6" s="1340"/>
      <c r="U6" s="1338">
        <v>2023</v>
      </c>
      <c r="V6" s="1346"/>
      <c r="W6" s="1346"/>
      <c r="X6" s="1340"/>
      <c r="Y6" s="460"/>
      <c r="Z6" s="442"/>
      <c r="AA6" s="442">
        <v>2024</v>
      </c>
      <c r="AB6" s="309"/>
      <c r="AC6" s="1325">
        <v>2025</v>
      </c>
      <c r="AD6" s="1331"/>
      <c r="AE6" s="1331"/>
      <c r="AF6" s="1330"/>
      <c r="AG6" s="1325">
        <v>2026</v>
      </c>
      <c r="AH6" s="1331"/>
      <c r="AI6" s="1331"/>
      <c r="AJ6" s="1330"/>
      <c r="AK6" s="1325">
        <v>2027</v>
      </c>
      <c r="AL6" s="1331"/>
      <c r="AM6" s="1331"/>
      <c r="AN6" s="1330"/>
      <c r="AO6" s="605"/>
      <c r="AP6" s="605"/>
      <c r="AQ6" s="605"/>
      <c r="AR6" s="605"/>
      <c r="AS6" s="605"/>
      <c r="AT6" s="605"/>
      <c r="AU6" s="605"/>
      <c r="AV6" s="605"/>
      <c r="AW6" s="605"/>
      <c r="AX6" s="605"/>
      <c r="AY6" s="605"/>
      <c r="AZ6" s="605"/>
      <c r="BA6" s="605"/>
      <c r="BB6" s="605"/>
      <c r="BC6" s="605"/>
      <c r="BD6" s="605"/>
    </row>
    <row r="7" spans="4:57" x14ac:dyDescent="0.35">
      <c r="D7" s="1323"/>
      <c r="E7" s="1373"/>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3343.2000000000003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4197.2</v>
      </c>
      <c r="V9" s="768">
        <f t="shared" si="1"/>
        <v>4212.5</v>
      </c>
      <c r="W9" s="768">
        <f t="shared" si="1"/>
        <v>4250.7</v>
      </c>
      <c r="X9" s="768">
        <f t="shared" si="1"/>
        <v>4287.7</v>
      </c>
      <c r="Y9" s="802">
        <f t="shared" si="1"/>
        <v>4397.3999999999996</v>
      </c>
      <c r="Z9" s="802">
        <f t="shared" si="1"/>
        <v>4417.2</v>
      </c>
      <c r="AA9" s="802">
        <f t="shared" si="1"/>
        <v>4456.5</v>
      </c>
      <c r="AB9" s="802">
        <f t="shared" si="1"/>
        <v>4532.8999999999996</v>
      </c>
      <c r="AC9" s="802">
        <f t="shared" si="1"/>
        <v>4640.7</v>
      </c>
      <c r="AD9" s="802">
        <f>SUM(AD10,AD13,AD15)</f>
        <v>4871.2</v>
      </c>
      <c r="AE9" s="802">
        <f>SUM(AE10,AE13,AE15)</f>
        <v>4885.7050004786652</v>
      </c>
      <c r="AF9" s="802">
        <f>SUM(AF10,AF13,AF15)</f>
        <v>4906.4374505766755</v>
      </c>
      <c r="AG9" s="802">
        <f t="shared" si="1"/>
        <v>4893.3960861458509</v>
      </c>
      <c r="AH9" s="802">
        <f>SUM(AH10,AH13,AH15)</f>
        <v>4922.9457626360299</v>
      </c>
      <c r="AI9" s="802">
        <f>SUM(AI10,AI13,AI15)</f>
        <v>4952.9196539032664</v>
      </c>
      <c r="AJ9" s="802">
        <f>SUM(AJ10,AJ13,AJ15)</f>
        <v>4983.3193062517839</v>
      </c>
      <c r="AK9" s="802">
        <f>SUM(AK10,AK13,AK15)</f>
        <v>5111.3232015312415</v>
      </c>
      <c r="AL9" s="802">
        <f t="shared" ref="AL9:AN9" si="2">SUM(AL10,AL13,AL15)</f>
        <v>5134.2409349480922</v>
      </c>
      <c r="AM9" s="802">
        <f t="shared" si="2"/>
        <v>5157.4277877837785</v>
      </c>
      <c r="AN9" s="802">
        <f t="shared" si="2"/>
        <v>5180.8832501088709</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AC10*(1+$M38-0.01)+AG12+AG11</f>
        <v>2548.9239620953158</v>
      </c>
      <c r="AH10" s="803">
        <f>AG10*(1.02)^0.25+AH12+AH11</f>
        <v>2561.5740973044944</v>
      </c>
      <c r="AI10" s="803">
        <f>AH10*(1.02)^0.25+AI12+AI11</f>
        <v>2574.2870142691081</v>
      </c>
      <c r="AJ10" s="803">
        <f>AI10*(1.02)^0.25+AJ12+AJ11</f>
        <v>2587.063024570713</v>
      </c>
      <c r="AK10" s="767">
        <f>AG10*(1+$L38-0.01)+AK12+AK11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AD13*(1+$L40)^0.25+AE14</f>
        <v>1962.7583998646746</v>
      </c>
      <c r="AF13" s="803">
        <f>AE13*(1+$L40)^0.25+AF14</f>
        <v>1976.8747565552392</v>
      </c>
      <c r="AG13" s="767">
        <f>AF13*(1+$M40)^0.25+AG14</f>
        <v>1999.4269054379204</v>
      </c>
      <c r="AH13" s="803">
        <f>AG13*(1+$M40)^0.25+AH14</f>
        <v>2022.2363287976721</v>
      </c>
      <c r="AI13" s="803">
        <f>AH13*(1+$M40)^0.25+AI14</f>
        <v>2045.3059616167391</v>
      </c>
      <c r="AJ13" s="803">
        <f>AI13*(1+$M40)^0.25+AJ14</f>
        <v>2068.6387723595867</v>
      </c>
      <c r="AK13" s="767">
        <f>AJ13*(1+$M40)^0.25+AK14</f>
        <v>2092.2377633548654</v>
      </c>
      <c r="AL13" s="803">
        <f>AK13*(1+$L40)^0.25+AL14</f>
        <v>2107.285348707715</v>
      </c>
      <c r="AM13" s="803">
        <f>AL13*(1+$L40)^0.25+AM14</f>
        <v>2122.4411578145364</v>
      </c>
      <c r="AN13" s="803">
        <f>AM13*(1+$L40)^0.25+AN14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'Haver Pivoted'!GQ28</f>
        <v>169.2</v>
      </c>
      <c r="G15" s="843">
        <f>'Haver Pivoted'!GR28</f>
        <v>176.8</v>
      </c>
      <c r="H15" s="843">
        <f>'Haver Pivoted'!GS28</f>
        <v>178.8</v>
      </c>
      <c r="I15" s="843">
        <f>'Haver Pivoted'!GT28</f>
        <v>184.1</v>
      </c>
      <c r="J15" s="843">
        <f>'Haver Pivoted'!GU28</f>
        <v>129.30000000000001</v>
      </c>
      <c r="K15" s="843">
        <f>'Haver Pivoted'!GV28</f>
        <v>149.30000000000001</v>
      </c>
      <c r="L15" s="843">
        <f>'Haver Pivoted'!GW28</f>
        <v>158.69999999999999</v>
      </c>
      <c r="M15" s="843">
        <f>'Haver Pivoted'!GX28</f>
        <v>162.19999999999999</v>
      </c>
      <c r="N15" s="843">
        <f>'Haver Pivoted'!GY28</f>
        <v>180.5</v>
      </c>
      <c r="O15" s="843">
        <f>'Haver Pivoted'!GZ28</f>
        <v>183.8</v>
      </c>
      <c r="P15" s="843">
        <f>'Haver Pivoted'!HA28</f>
        <v>195.8</v>
      </c>
      <c r="Q15" s="843">
        <f>'Haver Pivoted'!HB28</f>
        <v>207.1</v>
      </c>
      <c r="R15" s="843">
        <f>'Haver Pivoted'!HC28</f>
        <v>209</v>
      </c>
      <c r="S15" s="843">
        <f>'Haver Pivoted'!HD28</f>
        <v>200.3</v>
      </c>
      <c r="T15" s="801">
        <f>'Haver Pivoted'!HE28</f>
        <v>190</v>
      </c>
      <c r="U15" s="801">
        <f>'Haver Pivoted'!HF28</f>
        <v>179.7</v>
      </c>
      <c r="V15" s="801">
        <f>'Haver Pivoted'!HG28</f>
        <v>175.8</v>
      </c>
      <c r="W15" s="801">
        <f>'Haver Pivoted'!HH28</f>
        <v>172.2</v>
      </c>
      <c r="X15" s="801">
        <f>'Haver Pivoted'!HI28</f>
        <v>169.3</v>
      </c>
      <c r="Y15" s="801">
        <f>'Haver Pivoted'!HJ28</f>
        <v>177.2</v>
      </c>
      <c r="Z15" s="801">
        <f>'Haver Pivoted'!HK28</f>
        <v>172.4</v>
      </c>
      <c r="AA15" s="801">
        <f>'Haver Pivoted'!HL28</f>
        <v>181.4</v>
      </c>
      <c r="AB15" s="801">
        <f>'Haver Pivoted'!HM28</f>
        <v>182.5</v>
      </c>
      <c r="AC15" s="801">
        <f>'Haver Pivoted'!HN28</f>
        <v>191.3</v>
      </c>
      <c r="AD15" s="801">
        <f>'Haver Pivoted'!HO28</f>
        <v>363.4</v>
      </c>
      <c r="AE15" s="803">
        <f>AD15*(1+$L41)^0.25</f>
        <v>357.17574001444291</v>
      </c>
      <c r="AF15" s="803">
        <f t="shared" ref="AF15:AN15" si="3">AE15*(1+$L41)^0.25</f>
        <v>351.05808820821386</v>
      </c>
      <c r="AG15" s="803">
        <f t="shared" si="3"/>
        <v>345.0452186126152</v>
      </c>
      <c r="AH15" s="803">
        <f t="shared" si="3"/>
        <v>339.13533653386372</v>
      </c>
      <c r="AI15" s="803">
        <f t="shared" si="3"/>
        <v>333.3266780174186</v>
      </c>
      <c r="AJ15" s="803">
        <f t="shared" si="3"/>
        <v>327.61750932148442</v>
      </c>
      <c r="AK15" s="803">
        <f t="shared" si="3"/>
        <v>322.00612639953181</v>
      </c>
      <c r="AL15" s="803">
        <f t="shared" si="3"/>
        <v>316.49085439168141</v>
      </c>
      <c r="AM15" s="803">
        <f t="shared" si="3"/>
        <v>311.07004712479943</v>
      </c>
      <c r="AN15" s="803">
        <f t="shared" si="3"/>
        <v>305.74208662115541</v>
      </c>
      <c r="AO15" s="760"/>
      <c r="AP15" s="760"/>
      <c r="AV15" s="693"/>
      <c r="AW15" s="693"/>
      <c r="AX15" s="693"/>
      <c r="AY15" s="693"/>
      <c r="AZ15" s="693"/>
      <c r="BA15" s="693"/>
      <c r="BB15" s="693"/>
      <c r="BC15" s="693"/>
      <c r="BD15" s="693"/>
    </row>
    <row r="16" spans="4:57" x14ac:dyDescent="0.35">
      <c r="D16" s="788" t="s">
        <v>1424</v>
      </c>
      <c r="E16" s="789"/>
      <c r="F16" s="878"/>
      <c r="G16" s="877"/>
      <c r="H16" s="877"/>
      <c r="I16" s="877"/>
      <c r="J16" s="877"/>
      <c r="K16" s="877"/>
      <c r="L16" s="877"/>
      <c r="M16" s="877"/>
      <c r="N16" s="877"/>
      <c r="O16" s="877"/>
      <c r="P16" s="877"/>
      <c r="Q16" s="877"/>
      <c r="R16" s="877"/>
      <c r="S16" s="769"/>
      <c r="T16" s="769"/>
      <c r="U16" s="769">
        <v>0</v>
      </c>
      <c r="V16" s="769">
        <v>0</v>
      </c>
      <c r="W16" s="769">
        <v>0</v>
      </c>
      <c r="X16" s="769">
        <v>0</v>
      </c>
      <c r="Y16" s="873">
        <v>0</v>
      </c>
      <c r="Z16" s="873">
        <v>0</v>
      </c>
      <c r="AA16" s="873">
        <v>0</v>
      </c>
      <c r="AB16" s="873">
        <v>0</v>
      </c>
      <c r="AC16" s="873">
        <v>0</v>
      </c>
      <c r="AD16" s="873">
        <v>0</v>
      </c>
      <c r="AE16" s="873">
        <v>0</v>
      </c>
      <c r="AF16" s="873">
        <v>0</v>
      </c>
      <c r="AG16" s="873">
        <v>0</v>
      </c>
      <c r="AH16" s="873">
        <v>0</v>
      </c>
      <c r="AI16" s="873">
        <v>0</v>
      </c>
      <c r="AJ16" s="873">
        <v>0</v>
      </c>
      <c r="AK16" s="873">
        <v>0</v>
      </c>
      <c r="AL16" s="873">
        <v>0</v>
      </c>
      <c r="AM16" s="873">
        <v>0</v>
      </c>
      <c r="AN16" s="873">
        <v>0</v>
      </c>
      <c r="AO16" s="760"/>
      <c r="AP16" s="760"/>
      <c r="AV16" s="693"/>
      <c r="AW16" s="693"/>
      <c r="AX16" s="693"/>
      <c r="AY16" s="693"/>
      <c r="AZ16" s="693"/>
      <c r="BA16" s="693"/>
      <c r="BB16" s="693"/>
      <c r="BC16" s="693"/>
      <c r="BD16" s="693"/>
    </row>
    <row r="17" spans="4:56" ht="14.9" customHeight="1" x14ac:dyDescent="0.35">
      <c r="D17" s="431" t="s">
        <v>1873</v>
      </c>
      <c r="E17" s="785" t="s">
        <v>119</v>
      </c>
      <c r="F17" s="866">
        <f>'Haver Pivoted'!GQ29</f>
        <v>205.6</v>
      </c>
      <c r="G17" s="770">
        <f>'Haver Pivoted'!GR29</f>
        <v>206.9</v>
      </c>
      <c r="H17" s="770">
        <f>'Haver Pivoted'!GS29</f>
        <v>231.9</v>
      </c>
      <c r="I17" s="770">
        <f>'Haver Pivoted'!GT29</f>
        <v>191.5</v>
      </c>
      <c r="J17" s="770">
        <f>'Haver Pivoted'!GU29</f>
        <v>199.6</v>
      </c>
      <c r="K17" s="770">
        <f>'Haver Pivoted'!GV29</f>
        <v>258.60000000000002</v>
      </c>
      <c r="L17" s="770">
        <f>'Haver Pivoted'!GW29</f>
        <v>251.2</v>
      </c>
      <c r="M17" s="770">
        <f>'Haver Pivoted'!GX29</f>
        <v>289.89999999999998</v>
      </c>
      <c r="N17" s="770">
        <f>'Haver Pivoted'!GY29</f>
        <v>343.9</v>
      </c>
      <c r="O17" s="770">
        <f>'Haver Pivoted'!GZ29</f>
        <v>344.5</v>
      </c>
      <c r="P17" s="770">
        <f>'Haver Pivoted'!HA29</f>
        <v>357.9</v>
      </c>
      <c r="Q17" s="770">
        <f>'Haver Pivoted'!HB29</f>
        <v>379.6</v>
      </c>
      <c r="R17" s="770">
        <f>'Haver Pivoted'!HC29</f>
        <v>417.1</v>
      </c>
      <c r="S17" s="770">
        <f>'Haver Pivoted'!HD29</f>
        <v>402.2</v>
      </c>
      <c r="T17" s="766">
        <f>'Haver Pivoted'!HE29</f>
        <v>406.9</v>
      </c>
      <c r="U17" s="766">
        <f>'Haver Pivoted'!HF29</f>
        <v>434.3</v>
      </c>
      <c r="V17" s="766">
        <f>'Haver Pivoted'!HG29</f>
        <v>429.4</v>
      </c>
      <c r="W17" s="766">
        <f>'Haver Pivoted'!HH29</f>
        <v>451.9</v>
      </c>
      <c r="X17" s="766">
        <f>'Haver Pivoted'!HI29</f>
        <v>464.8</v>
      </c>
      <c r="Y17" s="766">
        <f>'Haver Pivoted'!HJ29</f>
        <v>459.9</v>
      </c>
      <c r="Z17" s="766">
        <f>'Haver Pivoted'!HK29</f>
        <v>493.4</v>
      </c>
      <c r="AA17" s="766">
        <f>'Haver Pivoted'!HL29</f>
        <v>493.1</v>
      </c>
      <c r="AB17" s="766">
        <f>'Haver Pivoted'!HM29</f>
        <v>512.1</v>
      </c>
      <c r="AC17" s="766">
        <f>'Haver Pivoted'!HN29</f>
        <v>519.79999999999995</v>
      </c>
      <c r="AD17" s="803">
        <f>AC17*(1+$L42)^0.25+AD18</f>
        <v>536.91171391464616</v>
      </c>
      <c r="AE17" s="803">
        <f>AD17*(1+$L42)^0.25+AE18</f>
        <v>154.58674209073274</v>
      </c>
      <c r="AF17" s="803">
        <f t="shared" ref="AF17:AN17" si="4">AE17*(1+$M42)^0.25+AF18</f>
        <v>153.63157001132998</v>
      </c>
      <c r="AG17" s="803">
        <f t="shared" si="4"/>
        <v>410.98229982033581</v>
      </c>
      <c r="AH17" s="803">
        <f t="shared" si="4"/>
        <v>408.44289176626921</v>
      </c>
      <c r="AI17" s="803">
        <f t="shared" si="4"/>
        <v>405.91917439588383</v>
      </c>
      <c r="AJ17" s="803">
        <f t="shared" si="4"/>
        <v>403.41105075841432</v>
      </c>
      <c r="AK17" s="803">
        <f t="shared" si="4"/>
        <v>412.61842450214192</v>
      </c>
      <c r="AL17" s="803">
        <f t="shared" si="4"/>
        <v>410.06890703899313</v>
      </c>
      <c r="AM17" s="803">
        <f t="shared" si="4"/>
        <v>407.53514272429555</v>
      </c>
      <c r="AN17" s="803">
        <f t="shared" si="4"/>
        <v>405.01703422132192</v>
      </c>
      <c r="AO17" s="760"/>
      <c r="AP17" s="760"/>
      <c r="AV17" s="794"/>
      <c r="AW17" s="794"/>
      <c r="AX17" s="794"/>
      <c r="AY17" s="794"/>
      <c r="AZ17" s="794"/>
      <c r="BA17" s="794"/>
      <c r="BB17" s="794"/>
      <c r="BC17" s="794"/>
      <c r="BD17" s="794"/>
    </row>
    <row r="18" spans="4:56" ht="14.9" customHeight="1" x14ac:dyDescent="0.35">
      <c r="D18" s="742" t="s">
        <v>2010</v>
      </c>
      <c r="E18" s="785"/>
      <c r="F18" s="866"/>
      <c r="G18" s="770"/>
      <c r="H18" s="770"/>
      <c r="I18" s="770"/>
      <c r="J18" s="770"/>
      <c r="K18" s="770"/>
      <c r="L18" s="770"/>
      <c r="M18" s="770"/>
      <c r="N18" s="770"/>
      <c r="O18" s="770"/>
      <c r="P18" s="770"/>
      <c r="Q18" s="770"/>
      <c r="R18" s="770"/>
      <c r="S18" s="770"/>
      <c r="T18" s="766"/>
      <c r="U18" s="766"/>
      <c r="V18" s="766"/>
      <c r="W18" s="766"/>
      <c r="X18" s="766"/>
      <c r="Y18" s="766"/>
      <c r="Z18" s="766"/>
      <c r="AA18" s="766"/>
      <c r="AB18" s="766"/>
      <c r="AC18" s="766"/>
      <c r="AD18" s="803"/>
      <c r="AE18" s="803">
        <f>-100*4</f>
        <v>-400</v>
      </c>
      <c r="AF18" s="803"/>
      <c r="AG18" s="803">
        <f>-141.7-AE18</f>
        <v>258.3</v>
      </c>
      <c r="AH18" s="803"/>
      <c r="AI18" s="803"/>
      <c r="AJ18" s="803"/>
      <c r="AK18" s="803">
        <f>-130-AE18-AG18</f>
        <v>11.699999999999989</v>
      </c>
      <c r="AL18" s="803"/>
      <c r="AM18" s="803"/>
      <c r="AN18" s="803"/>
      <c r="AO18" s="760"/>
      <c r="AP18" s="760"/>
      <c r="AV18" s="794"/>
      <c r="AW18" s="794"/>
      <c r="AX18" s="794"/>
      <c r="AY18" s="794"/>
      <c r="AZ18" s="794"/>
      <c r="BA18" s="794"/>
      <c r="BB18" s="794"/>
      <c r="BC18" s="794"/>
      <c r="BD18" s="794"/>
    </row>
    <row r="19" spans="4:56" ht="14.9" customHeight="1" x14ac:dyDescent="0.35">
      <c r="D19" s="431"/>
      <c r="E19" s="785"/>
      <c r="F19" s="866"/>
      <c r="G19" s="770"/>
      <c r="H19" s="770"/>
      <c r="I19" s="770"/>
      <c r="J19" s="770"/>
      <c r="K19" s="770"/>
      <c r="L19" s="770"/>
      <c r="M19" s="770"/>
      <c r="N19" s="770"/>
      <c r="O19" s="770"/>
      <c r="P19" s="770"/>
      <c r="Q19" s="770"/>
      <c r="R19" s="770"/>
      <c r="S19" s="770"/>
      <c r="T19" s="770"/>
      <c r="U19" s="770"/>
      <c r="V19" s="770"/>
      <c r="W19" s="770"/>
      <c r="X19" s="799"/>
      <c r="Y19" s="799"/>
      <c r="Z19" s="799"/>
      <c r="AA19" s="799"/>
      <c r="AB19" s="799"/>
      <c r="AC19" s="799"/>
      <c r="AD19" s="799"/>
      <c r="AE19" s="799"/>
      <c r="AF19" s="799"/>
      <c r="AG19" s="799"/>
      <c r="AH19" s="799"/>
      <c r="AI19" s="799"/>
      <c r="AJ19" s="799"/>
      <c r="AK19" s="760"/>
      <c r="AL19" s="760"/>
      <c r="AM19" s="760"/>
      <c r="AN19" s="760"/>
      <c r="AO19" s="760"/>
      <c r="AP19" s="760"/>
      <c r="AV19" s="794"/>
      <c r="AW19" s="794"/>
      <c r="AX19" s="794"/>
      <c r="AY19" s="794"/>
      <c r="AZ19" s="794"/>
      <c r="BA19" s="794"/>
      <c r="BB19" s="794"/>
      <c r="BC19" s="794"/>
      <c r="BD19" s="794"/>
    </row>
    <row r="20" spans="4:56" x14ac:dyDescent="0.35">
      <c r="D20" s="872" t="s">
        <v>471</v>
      </c>
      <c r="E20" s="833"/>
      <c r="F20" s="816"/>
      <c r="G20" s="811"/>
      <c r="H20" s="811"/>
      <c r="I20" s="811"/>
      <c r="J20" s="811"/>
      <c r="K20" s="811"/>
      <c r="L20" s="811"/>
      <c r="M20" s="811"/>
      <c r="N20" s="811"/>
      <c r="O20" s="811"/>
      <c r="P20" s="811"/>
      <c r="Q20" s="811"/>
      <c r="R20" s="811"/>
      <c r="S20" s="811"/>
      <c r="T20" s="811"/>
      <c r="U20" s="875"/>
      <c r="V20" s="811"/>
      <c r="W20" s="811"/>
      <c r="X20" s="811"/>
      <c r="Y20" s="811"/>
      <c r="Z20" s="811"/>
      <c r="AA20" s="811"/>
      <c r="AB20" s="811"/>
      <c r="AC20" s="811"/>
      <c r="AF20" s="760"/>
      <c r="AG20" s="760"/>
      <c r="AH20" s="760"/>
      <c r="AI20" s="760"/>
      <c r="AJ20" s="760"/>
      <c r="AK20" s="760"/>
      <c r="AL20" s="760"/>
      <c r="AM20" s="760"/>
      <c r="AN20" s="760"/>
      <c r="AO20" s="760"/>
      <c r="AP20" s="760"/>
    </row>
    <row r="21" spans="4:56" ht="14.9" customHeight="1" x14ac:dyDescent="0.35">
      <c r="D21" s="793" t="s">
        <v>479</v>
      </c>
      <c r="E21" s="786"/>
      <c r="F21" s="866">
        <f t="shared" ref="F21:P21" si="5">SUM(F23:F26)</f>
        <v>1902.8</v>
      </c>
      <c r="G21" s="770">
        <f t="shared" si="5"/>
        <v>1893</v>
      </c>
      <c r="H21" s="770">
        <f t="shared" si="5"/>
        <v>1884.1999999999998</v>
      </c>
      <c r="I21" s="770">
        <f t="shared" si="5"/>
        <v>1885.8999999999999</v>
      </c>
      <c r="J21" s="770">
        <f t="shared" si="5"/>
        <v>1793.2</v>
      </c>
      <c r="K21" s="770">
        <f t="shared" si="5"/>
        <v>1921.7</v>
      </c>
      <c r="L21" s="770">
        <f t="shared" si="5"/>
        <v>1960.7</v>
      </c>
      <c r="M21" s="770">
        <f t="shared" si="5"/>
        <v>2016.5</v>
      </c>
      <c r="N21" s="770">
        <f t="shared" si="5"/>
        <v>2132.4</v>
      </c>
      <c r="O21" s="770">
        <f t="shared" si="5"/>
        <v>2137.3000000000002</v>
      </c>
      <c r="P21" s="770">
        <f t="shared" si="5"/>
        <v>2201.5</v>
      </c>
      <c r="Q21" s="770">
        <f>SUM(Q22:Q26)</f>
        <v>2285.4</v>
      </c>
      <c r="R21" s="770">
        <f>SUM(R22:R26)</f>
        <v>2360.4</v>
      </c>
      <c r="S21" s="770">
        <f>SUM(S22:S26)</f>
        <v>2287.5</v>
      </c>
      <c r="T21" s="770">
        <f>SUM(T22:T26)</f>
        <v>2306.3000000000002</v>
      </c>
      <c r="U21" s="770">
        <f>SUM(U23:U26)</f>
        <v>2296.6</v>
      </c>
      <c r="V21" s="770">
        <f>SUM(V22:V26)</f>
        <v>2311.5</v>
      </c>
      <c r="W21" s="770">
        <f t="shared" ref="W21:AN21" si="6">SUM(W22,W23,W25,W26)</f>
        <v>2350.6999999999998</v>
      </c>
      <c r="X21" s="770">
        <f t="shared" si="6"/>
        <v>2379.1999999999998</v>
      </c>
      <c r="Y21" s="805">
        <f t="shared" si="6"/>
        <v>2395.3000000000002</v>
      </c>
      <c r="Z21" s="805">
        <f t="shared" si="6"/>
        <v>2439</v>
      </c>
      <c r="AA21" s="805">
        <f t="shared" si="6"/>
        <v>2477.5</v>
      </c>
      <c r="AB21" s="805">
        <f t="shared" si="6"/>
        <v>2519.8000000000002</v>
      </c>
      <c r="AC21" s="805">
        <f t="shared" si="6"/>
        <v>2550.5</v>
      </c>
      <c r="AD21" s="805">
        <f>SUM(AD22,AD23,AD25,AD26)</f>
        <v>2584.6999999999998</v>
      </c>
      <c r="AE21" s="805">
        <f t="shared" si="6"/>
        <v>2610.4179349654814</v>
      </c>
      <c r="AF21" s="805">
        <f t="shared" si="6"/>
        <v>2637.2590525097935</v>
      </c>
      <c r="AG21" s="805">
        <f t="shared" si="6"/>
        <v>2661.9450087697264</v>
      </c>
      <c r="AH21" s="805">
        <f t="shared" si="6"/>
        <v>2687.6209509421678</v>
      </c>
      <c r="AI21" s="805">
        <f t="shared" si="6"/>
        <v>2711.0655175084648</v>
      </c>
      <c r="AJ21" s="805">
        <f t="shared" si="6"/>
        <v>2736.4520878263743</v>
      </c>
      <c r="AK21" s="805">
        <f t="shared" si="6"/>
        <v>2763.2785072824095</v>
      </c>
      <c r="AL21" s="805">
        <f t="shared" si="6"/>
        <v>2788.0558611126189</v>
      </c>
      <c r="AM21" s="805">
        <f t="shared" si="6"/>
        <v>2813.0746803435031</v>
      </c>
      <c r="AN21" s="805">
        <f t="shared" si="6"/>
        <v>2839.4914214017181</v>
      </c>
      <c r="AO21" s="760"/>
      <c r="AP21" s="760"/>
    </row>
    <row r="22" spans="4:56" ht="42" customHeight="1" x14ac:dyDescent="0.35">
      <c r="D22" s="791" t="s">
        <v>825</v>
      </c>
      <c r="E22" s="786"/>
      <c r="F22" s="866"/>
      <c r="G22" s="770"/>
      <c r="H22" s="770"/>
      <c r="I22" s="770"/>
      <c r="J22" s="770"/>
      <c r="K22" s="770"/>
      <c r="L22" s="770"/>
      <c r="M22" s="770"/>
      <c r="N22" s="770"/>
      <c r="O22" s="770"/>
      <c r="P22" s="770"/>
      <c r="Q22" s="411"/>
      <c r="R22" s="411"/>
      <c r="S22" s="411"/>
      <c r="T22" s="411"/>
      <c r="U22" s="411">
        <v>0</v>
      </c>
      <c r="V22" s="411"/>
      <c r="W22" s="411"/>
      <c r="X22" s="411"/>
      <c r="Y22" s="361"/>
      <c r="Z22" s="361"/>
      <c r="AA22" s="361"/>
      <c r="AB22" s="361"/>
      <c r="AC22" s="361"/>
      <c r="AD22" s="361"/>
      <c r="AE22" s="361"/>
      <c r="AF22" s="361"/>
      <c r="AG22" s="361"/>
      <c r="AH22" s="361"/>
      <c r="AI22" s="361"/>
      <c r="AJ22" s="361"/>
      <c r="AK22" s="361"/>
      <c r="AL22" s="361"/>
      <c r="AM22" s="361"/>
      <c r="AN22" s="361"/>
      <c r="AO22" s="760"/>
      <c r="AP22" s="760"/>
    </row>
    <row r="23" spans="4:56" x14ac:dyDescent="0.35">
      <c r="D23" s="535" t="s">
        <v>484</v>
      </c>
      <c r="E23" s="36" t="s">
        <v>485</v>
      </c>
      <c r="F23" s="763">
        <f>'Haver Pivoted'!GQ33</f>
        <v>531</v>
      </c>
      <c r="G23" s="843">
        <f>'Haver Pivoted'!GR33</f>
        <v>495.6</v>
      </c>
      <c r="H23" s="843">
        <f>'Haver Pivoted'!GS33</f>
        <v>490.1</v>
      </c>
      <c r="I23" s="843">
        <f>'Haver Pivoted'!GT33</f>
        <v>492.5</v>
      </c>
      <c r="J23" s="843">
        <f>'Haver Pivoted'!GU33</f>
        <v>485.2</v>
      </c>
      <c r="K23" s="843">
        <f>'Haver Pivoted'!GV33</f>
        <v>511.6</v>
      </c>
      <c r="L23" s="843">
        <f>'Haver Pivoted'!GW33</f>
        <v>528.4</v>
      </c>
      <c r="M23" s="843">
        <f>'Haver Pivoted'!GX33</f>
        <v>559</v>
      </c>
      <c r="N23" s="843">
        <f>'Haver Pivoted'!GY33</f>
        <v>586.1</v>
      </c>
      <c r="O23" s="843">
        <f>'Haver Pivoted'!GZ33</f>
        <v>576.4</v>
      </c>
      <c r="P23" s="843">
        <f>'Haver Pivoted'!HA33</f>
        <v>599.1</v>
      </c>
      <c r="Q23" s="843">
        <f>'Haver Pivoted'!HB33</f>
        <v>656.7</v>
      </c>
      <c r="R23" s="843">
        <f>'Haver Pivoted'!HC33</f>
        <v>693.1</v>
      </c>
      <c r="S23" s="843">
        <f>'Haver Pivoted'!HD33</f>
        <v>596.6</v>
      </c>
      <c r="T23" s="801">
        <f>'Haver Pivoted'!HE33</f>
        <v>607.6</v>
      </c>
      <c r="U23" s="801">
        <f>'Haver Pivoted'!HF33</f>
        <v>578</v>
      </c>
      <c r="V23" s="801">
        <f>'Haver Pivoted'!HG33</f>
        <v>581.6</v>
      </c>
      <c r="W23" s="801">
        <f>'Haver Pivoted'!HH33</f>
        <v>605.5</v>
      </c>
      <c r="X23" s="801">
        <f>'Haver Pivoted'!HI33</f>
        <v>612.1</v>
      </c>
      <c r="Y23" s="801">
        <f>'Haver Pivoted'!HJ33</f>
        <v>609.5</v>
      </c>
      <c r="Z23" s="801">
        <f>'Haver Pivoted'!HK33</f>
        <v>630</v>
      </c>
      <c r="AA23" s="801">
        <f>'Haver Pivoted'!HL33</f>
        <v>655.5</v>
      </c>
      <c r="AB23" s="801">
        <f>'Haver Pivoted'!HM33</f>
        <v>670.5</v>
      </c>
      <c r="AC23" s="801">
        <f>'Haver Pivoted'!HN33</f>
        <v>677.6</v>
      </c>
      <c r="AD23" s="801">
        <f>'Haver Pivoted'!HO33</f>
        <v>691.1</v>
      </c>
      <c r="AE23" s="747">
        <f t="shared" ref="AE23:AN23" si="7">$AC127*AE136*(AE109/$AC109)+AE22+AE24</f>
        <v>692.44544884293339</v>
      </c>
      <c r="AF23" s="747">
        <f>$AC127*AF136*(AF109/$AC109)+AF22+AF24</f>
        <v>701.04729831790155</v>
      </c>
      <c r="AG23" s="747">
        <f>$AC127*AG136*(AG109/$AC109)+AG22+AG24</f>
        <v>709.08890024962318</v>
      </c>
      <c r="AH23" s="747">
        <f t="shared" si="7"/>
        <v>716.81621697415778</v>
      </c>
      <c r="AI23" s="747">
        <f t="shared" si="7"/>
        <v>724.53670141157954</v>
      </c>
      <c r="AJ23" s="747">
        <f t="shared" si="7"/>
        <v>732.15470154231002</v>
      </c>
      <c r="AK23" s="747">
        <f>$AC127*AK136*(AK109/$AC109)+AK22+AK24</f>
        <v>740.09040302378401</v>
      </c>
      <c r="AL23" s="747">
        <f t="shared" si="7"/>
        <v>747.97827849546854</v>
      </c>
      <c r="AM23" s="747">
        <f t="shared" si="7"/>
        <v>756.05745800631041</v>
      </c>
      <c r="AN23" s="747">
        <f t="shared" si="7"/>
        <v>764.33477384342234</v>
      </c>
      <c r="AO23" s="760"/>
      <c r="AP23" s="760"/>
    </row>
    <row r="24" spans="4:56" x14ac:dyDescent="0.35">
      <c r="D24" s="535" t="s">
        <v>1881</v>
      </c>
      <c r="E24" s="36"/>
      <c r="F24" s="763"/>
      <c r="G24" s="843"/>
      <c r="H24" s="843"/>
      <c r="I24" s="843"/>
      <c r="J24" s="843"/>
      <c r="K24" s="843"/>
      <c r="L24" s="843"/>
      <c r="M24" s="843"/>
      <c r="N24" s="843"/>
      <c r="O24" s="843"/>
      <c r="P24" s="843"/>
      <c r="Q24" s="843"/>
      <c r="R24" s="843"/>
      <c r="S24" s="843"/>
      <c r="T24" s="843"/>
      <c r="U24" s="843"/>
      <c r="V24" s="843"/>
      <c r="W24" s="843">
        <v>20</v>
      </c>
      <c r="X24" s="843">
        <v>20</v>
      </c>
      <c r="Y24" s="747">
        <v>0</v>
      </c>
      <c r="Z24" s="747">
        <f>-24</f>
        <v>-24</v>
      </c>
      <c r="AA24" s="747">
        <f>-11</f>
        <v>-11</v>
      </c>
      <c r="AB24" s="747">
        <f>-11</f>
        <v>-11</v>
      </c>
      <c r="AC24" s="747">
        <f t="shared" ref="AC24:AN24" si="8">-11</f>
        <v>-11</v>
      </c>
      <c r="AD24" s="747">
        <f>-11</f>
        <v>-11</v>
      </c>
      <c r="AE24" s="747">
        <f t="shared" si="8"/>
        <v>-11</v>
      </c>
      <c r="AF24" s="747">
        <f t="shared" si="8"/>
        <v>-11</v>
      </c>
      <c r="AG24" s="747">
        <f>-11</f>
        <v>-11</v>
      </c>
      <c r="AH24" s="747">
        <f t="shared" si="8"/>
        <v>-11</v>
      </c>
      <c r="AI24" s="747">
        <f t="shared" si="8"/>
        <v>-11</v>
      </c>
      <c r="AJ24" s="747">
        <f t="shared" si="8"/>
        <v>-11</v>
      </c>
      <c r="AK24" s="747">
        <f>-11</f>
        <v>-11</v>
      </c>
      <c r="AL24" s="747">
        <f t="shared" si="8"/>
        <v>-11</v>
      </c>
      <c r="AM24" s="747">
        <f t="shared" si="8"/>
        <v>-11</v>
      </c>
      <c r="AN24" s="747">
        <f t="shared" si="8"/>
        <v>-11</v>
      </c>
      <c r="AO24" s="760"/>
      <c r="AP24" s="760"/>
    </row>
    <row r="25" spans="4:56" x14ac:dyDescent="0.35">
      <c r="D25" s="535" t="s">
        <v>481</v>
      </c>
      <c r="E25" s="36" t="s">
        <v>486</v>
      </c>
      <c r="F25" s="763">
        <f>'Haver Pivoted'!GQ36</f>
        <v>20.8</v>
      </c>
      <c r="G25" s="843">
        <f>'Haver Pivoted'!GR36</f>
        <v>20.6</v>
      </c>
      <c r="H25" s="843">
        <f>'Haver Pivoted'!GS36</f>
        <v>20.5</v>
      </c>
      <c r="I25" s="843">
        <f>'Haver Pivoted'!GT36</f>
        <v>20.3</v>
      </c>
      <c r="J25" s="843">
        <f>'Haver Pivoted'!GU36</f>
        <v>19.3</v>
      </c>
      <c r="K25" s="843">
        <f>'Haver Pivoted'!GV36</f>
        <v>19.899999999999999</v>
      </c>
      <c r="L25" s="843">
        <f>'Haver Pivoted'!GW36</f>
        <v>20.6</v>
      </c>
      <c r="M25" s="843">
        <f>'Haver Pivoted'!GX36</f>
        <v>21.3</v>
      </c>
      <c r="N25" s="843">
        <f>'Haver Pivoted'!GY36</f>
        <v>22</v>
      </c>
      <c r="O25" s="843">
        <f>'Haver Pivoted'!GZ36</f>
        <v>22.6</v>
      </c>
      <c r="P25" s="843">
        <f>'Haver Pivoted'!HA36</f>
        <v>23.1</v>
      </c>
      <c r="Q25" s="843">
        <f>'Haver Pivoted'!HB36</f>
        <v>23.4</v>
      </c>
      <c r="R25" s="843">
        <f>'Haver Pivoted'!HC36</f>
        <v>23.1</v>
      </c>
      <c r="S25" s="843">
        <f>'Haver Pivoted'!HD36</f>
        <v>22.7</v>
      </c>
      <c r="T25" s="801">
        <f>'Haver Pivoted'!HE36</f>
        <v>21.8</v>
      </c>
      <c r="U25" s="801">
        <f>'Haver Pivoted'!HF36</f>
        <v>20.8</v>
      </c>
      <c r="V25" s="801">
        <f>'Haver Pivoted'!HG36</f>
        <v>20.5</v>
      </c>
      <c r="W25" s="801">
        <f>'Haver Pivoted'!HH36</f>
        <v>21.2</v>
      </c>
      <c r="X25" s="801">
        <f>'Haver Pivoted'!HI36</f>
        <v>22.8</v>
      </c>
      <c r="Y25" s="801">
        <f>'Haver Pivoted'!HJ36</f>
        <v>25</v>
      </c>
      <c r="Z25" s="801">
        <f>'Haver Pivoted'!HK36</f>
        <v>26.7</v>
      </c>
      <c r="AA25" s="801">
        <f>'Haver Pivoted'!HL36</f>
        <v>27.5</v>
      </c>
      <c r="AB25" s="801">
        <f>'Haver Pivoted'!HM36</f>
        <v>27.6</v>
      </c>
      <c r="AC25" s="801">
        <f>'Haver Pivoted'!HN36</f>
        <v>27</v>
      </c>
      <c r="AD25" s="801">
        <f>'Haver Pivoted'!HO36</f>
        <v>27.1</v>
      </c>
      <c r="AE25" s="747">
        <f t="shared" ref="AE25:AN25" si="9">$AC128*AE137*(AE110/$AC110)</f>
        <v>27.448479073315898</v>
      </c>
      <c r="AF25" s="747">
        <f t="shared" si="9"/>
        <v>27.777156961326522</v>
      </c>
      <c r="AG25" s="747">
        <f t="shared" si="9"/>
        <v>28.088866774812708</v>
      </c>
      <c r="AH25" s="747">
        <f t="shared" si="9"/>
        <v>28.389892985820524</v>
      </c>
      <c r="AI25" s="747">
        <f t="shared" si="9"/>
        <v>28.688195925608376</v>
      </c>
      <c r="AJ25" s="747">
        <f t="shared" si="9"/>
        <v>28.981471287759348</v>
      </c>
      <c r="AK25" s="747">
        <f t="shared" si="9"/>
        <v>29.281450086759488</v>
      </c>
      <c r="AL25" s="747">
        <f t="shared" si="9"/>
        <v>29.584361639381139</v>
      </c>
      <c r="AM25" s="747">
        <f t="shared" si="9"/>
        <v>29.892091287238131</v>
      </c>
      <c r="AN25" s="747">
        <f t="shared" si="9"/>
        <v>30.202544206315093</v>
      </c>
      <c r="AO25" s="760"/>
      <c r="AP25" s="760"/>
    </row>
    <row r="26" spans="4:56" x14ac:dyDescent="0.35">
      <c r="D26" s="535" t="s">
        <v>482</v>
      </c>
      <c r="E26" s="36" t="s">
        <v>487</v>
      </c>
      <c r="F26" s="763">
        <f>'Haver Pivoted'!GQ34</f>
        <v>1351</v>
      </c>
      <c r="G26" s="843">
        <f>'Haver Pivoted'!GR34</f>
        <v>1376.8</v>
      </c>
      <c r="H26" s="843">
        <f>'Haver Pivoted'!GS34</f>
        <v>1373.6</v>
      </c>
      <c r="I26" s="843">
        <f>'Haver Pivoted'!GT34</f>
        <v>1373.1</v>
      </c>
      <c r="J26" s="843">
        <f>'Haver Pivoted'!GU34</f>
        <v>1288.7</v>
      </c>
      <c r="K26" s="843">
        <f>'Haver Pivoted'!GV34</f>
        <v>1390.2</v>
      </c>
      <c r="L26" s="843">
        <f>'Haver Pivoted'!GW34</f>
        <v>1411.7</v>
      </c>
      <c r="M26" s="843">
        <f>'Haver Pivoted'!GX34</f>
        <v>1436.2</v>
      </c>
      <c r="N26" s="843">
        <f>'Haver Pivoted'!GY34</f>
        <v>1524.3</v>
      </c>
      <c r="O26" s="843">
        <f>'Haver Pivoted'!GZ34</f>
        <v>1538.3</v>
      </c>
      <c r="P26" s="843">
        <f>'Haver Pivoted'!HA34</f>
        <v>1579.3</v>
      </c>
      <c r="Q26" s="843">
        <f>'Haver Pivoted'!HB34</f>
        <v>1605.3</v>
      </c>
      <c r="R26" s="843">
        <f>'Haver Pivoted'!HC34</f>
        <v>1644.2</v>
      </c>
      <c r="S26" s="843">
        <f>'Haver Pivoted'!HD34</f>
        <v>1668.2</v>
      </c>
      <c r="T26" s="801">
        <f>'Haver Pivoted'!HE34</f>
        <v>1676.9</v>
      </c>
      <c r="U26" s="801">
        <f>'Haver Pivoted'!HF34</f>
        <v>1697.8</v>
      </c>
      <c r="V26" s="801">
        <f>'Haver Pivoted'!HG34</f>
        <v>1709.4</v>
      </c>
      <c r="W26" s="801">
        <f>'Haver Pivoted'!HH34</f>
        <v>1724</v>
      </c>
      <c r="X26" s="801">
        <f>'Haver Pivoted'!HI34</f>
        <v>1744.3</v>
      </c>
      <c r="Y26" s="801">
        <f>'Haver Pivoted'!HJ34</f>
        <v>1760.8</v>
      </c>
      <c r="Z26" s="801">
        <f>'Haver Pivoted'!HK34</f>
        <v>1782.3</v>
      </c>
      <c r="AA26" s="801">
        <f>'Haver Pivoted'!HL34</f>
        <v>1794.5</v>
      </c>
      <c r="AB26" s="801">
        <f>'Haver Pivoted'!HM34</f>
        <v>1821.7</v>
      </c>
      <c r="AC26" s="801">
        <f>'Haver Pivoted'!HN34</f>
        <v>1845.9</v>
      </c>
      <c r="AD26" s="801">
        <f>'Haver Pivoted'!HO34</f>
        <v>1866.5</v>
      </c>
      <c r="AE26" s="747">
        <f t="shared" ref="AE26:AN26" si="10">$AC133*AE138*(AE112/$AC112)</f>
        <v>1890.5240070492323</v>
      </c>
      <c r="AF26" s="747">
        <f t="shared" si="10"/>
        <v>1908.4345972305655</v>
      </c>
      <c r="AG26" s="747">
        <f t="shared" si="10"/>
        <v>1924.7672417452907</v>
      </c>
      <c r="AH26" s="747">
        <f t="shared" si="10"/>
        <v>1942.4148409821894</v>
      </c>
      <c r="AI26" s="747">
        <f t="shared" si="10"/>
        <v>1957.8406201712769</v>
      </c>
      <c r="AJ26" s="747">
        <f t="shared" si="10"/>
        <v>1975.3159149963049</v>
      </c>
      <c r="AK26" s="747">
        <f t="shared" si="10"/>
        <v>1993.906654171866</v>
      </c>
      <c r="AL26" s="747">
        <f t="shared" si="10"/>
        <v>2010.4932209777694</v>
      </c>
      <c r="AM26" s="747">
        <f t="shared" si="10"/>
        <v>2027.1251310499545</v>
      </c>
      <c r="AN26" s="747">
        <f t="shared" si="10"/>
        <v>2044.9541033519808</v>
      </c>
      <c r="AO26" s="760"/>
      <c r="AP26" s="760"/>
    </row>
    <row r="27" spans="4:56" ht="14.9" customHeight="1" x14ac:dyDescent="0.35">
      <c r="D27" s="795" t="s">
        <v>483</v>
      </c>
      <c r="E27" s="817" t="s">
        <v>488</v>
      </c>
      <c r="F27" s="867">
        <f>'Haver Pivoted'!GQ35</f>
        <v>76.8</v>
      </c>
      <c r="G27" s="881">
        <f>'Haver Pivoted'!GR35</f>
        <v>74.099999999999994</v>
      </c>
      <c r="H27" s="881">
        <f>'Haver Pivoted'!GS35</f>
        <v>70.3</v>
      </c>
      <c r="I27" s="881">
        <f>'Haver Pivoted'!GT35</f>
        <v>64.5</v>
      </c>
      <c r="J27" s="881">
        <f>'Haver Pivoted'!GU35</f>
        <v>66.400000000000006</v>
      </c>
      <c r="K27" s="881">
        <f>'Haver Pivoted'!GV35</f>
        <v>81.5</v>
      </c>
      <c r="L27" s="881">
        <f>'Haver Pivoted'!GW35</f>
        <v>82.4</v>
      </c>
      <c r="M27" s="881">
        <f>'Haver Pivoted'!GX35</f>
        <v>83.1</v>
      </c>
      <c r="N27" s="881">
        <f>'Haver Pivoted'!GY35</f>
        <v>93.7</v>
      </c>
      <c r="O27" s="881">
        <f>'Haver Pivoted'!GZ35</f>
        <v>119.3</v>
      </c>
      <c r="P27" s="881">
        <f>'Haver Pivoted'!HA35</f>
        <v>168.1</v>
      </c>
      <c r="Q27" s="881">
        <f>'Haver Pivoted'!HB35</f>
        <v>170.8</v>
      </c>
      <c r="R27" s="881">
        <f>'Haver Pivoted'!HC35</f>
        <v>157.6</v>
      </c>
      <c r="S27" s="881">
        <f>'Haver Pivoted'!HD35</f>
        <v>159.1</v>
      </c>
      <c r="T27" s="883">
        <f>'Haver Pivoted'!HE35</f>
        <v>162.19999999999999</v>
      </c>
      <c r="U27" s="804">
        <f>'Haver Pivoted'!HF35</f>
        <v>158.69999999999999</v>
      </c>
      <c r="V27" s="804">
        <f>'Haver Pivoted'!HG35</f>
        <v>162.4</v>
      </c>
      <c r="W27" s="804">
        <f>'Haver Pivoted'!HH35</f>
        <v>165.9</v>
      </c>
      <c r="X27" s="804">
        <f>'Haver Pivoted'!HI35</f>
        <v>166.9</v>
      </c>
      <c r="Y27" s="804">
        <f>'Haver Pivoted'!HJ35</f>
        <v>170.4</v>
      </c>
      <c r="Z27" s="804">
        <f>'Haver Pivoted'!HK35</f>
        <v>164</v>
      </c>
      <c r="AA27" s="804">
        <f>'Haver Pivoted'!HL35</f>
        <v>162.6</v>
      </c>
      <c r="AB27" s="804">
        <f>'Haver Pivoted'!HM35</f>
        <v>164.2</v>
      </c>
      <c r="AC27" s="804">
        <f>'Haver Pivoted'!HN35</f>
        <v>174.7</v>
      </c>
      <c r="AD27" s="882">
        <f>$Y134*AD139*(AD113/$Y113)</f>
        <v>172.29451851420589</v>
      </c>
      <c r="AE27" s="882">
        <f t="shared" ref="AE27:AJ27" si="11">$Y134*AE139*(AE113/$Y113)</f>
        <v>172.4420004657662</v>
      </c>
      <c r="AF27" s="882">
        <f>$Y134*AF139*(AF113/$Y113)</f>
        <v>172.35554552864465</v>
      </c>
      <c r="AG27" s="882">
        <f t="shared" si="11"/>
        <v>172.5640544946437</v>
      </c>
      <c r="AH27" s="882">
        <f t="shared" si="11"/>
        <v>172.90478865859339</v>
      </c>
      <c r="AI27" s="882">
        <f t="shared" si="11"/>
        <v>172.73187878435027</v>
      </c>
      <c r="AJ27" s="882">
        <f t="shared" si="11"/>
        <v>172.94038775034934</v>
      </c>
      <c r="AK27" s="882">
        <f t="shared" ref="AK27:AN27" si="12">$Y134*AK139*(AK113/$Y113)</f>
        <v>172.60982475547277</v>
      </c>
      <c r="AL27" s="882">
        <f t="shared" si="12"/>
        <v>171.97412668840244</v>
      </c>
      <c r="AM27" s="882">
        <f t="shared" si="12"/>
        <v>171.22654576152775</v>
      </c>
      <c r="AN27" s="882">
        <f t="shared" si="12"/>
        <v>171.36385654401494</v>
      </c>
      <c r="AO27" s="760"/>
      <c r="AP27" s="760"/>
    </row>
    <row r="28" spans="4:56" ht="14.9" customHeight="1" x14ac:dyDescent="0.35">
      <c r="D28" s="835" t="s">
        <v>1883</v>
      </c>
      <c r="E28" s="786"/>
      <c r="F28" s="509">
        <f t="shared" ref="F28:AN28" si="13">F9+F21</f>
        <v>5162.2</v>
      </c>
      <c r="G28" s="509">
        <f t="shared" si="13"/>
        <v>5179.8999999999996</v>
      </c>
      <c r="H28" s="509">
        <f t="shared" si="13"/>
        <v>5227.3999999999996</v>
      </c>
      <c r="I28" s="509">
        <f t="shared" si="13"/>
        <v>5278.4</v>
      </c>
      <c r="J28" s="509">
        <f t="shared" si="13"/>
        <v>4928.3</v>
      </c>
      <c r="K28" s="509">
        <f t="shared" si="13"/>
        <v>5240.6000000000004</v>
      </c>
      <c r="L28" s="509">
        <f t="shared" si="13"/>
        <v>5439</v>
      </c>
      <c r="M28" s="509">
        <f t="shared" si="13"/>
        <v>5654.6</v>
      </c>
      <c r="N28" s="509">
        <f t="shared" si="13"/>
        <v>5924.9</v>
      </c>
      <c r="O28" s="509">
        <f t="shared" si="13"/>
        <v>6053.7000000000007</v>
      </c>
      <c r="P28" s="509">
        <f t="shared" si="13"/>
        <v>6248.8</v>
      </c>
      <c r="Q28" s="509">
        <f t="shared" si="13"/>
        <v>6732.8000000000011</v>
      </c>
      <c r="R28" s="509">
        <f t="shared" si="13"/>
        <v>6839.6</v>
      </c>
      <c r="S28" s="509">
        <f t="shared" si="13"/>
        <v>6829.3</v>
      </c>
      <c r="T28" s="509">
        <f t="shared" si="13"/>
        <v>6821.9000000000005</v>
      </c>
      <c r="U28" s="509">
        <f t="shared" si="13"/>
        <v>6493.7999999999993</v>
      </c>
      <c r="V28" s="509">
        <f t="shared" si="13"/>
        <v>6524</v>
      </c>
      <c r="W28" s="509">
        <f t="shared" si="13"/>
        <v>6601.4</v>
      </c>
      <c r="X28" s="509">
        <f t="shared" si="13"/>
        <v>6666.9</v>
      </c>
      <c r="Y28" s="673">
        <f t="shared" si="13"/>
        <v>6792.7</v>
      </c>
      <c r="Z28" s="673">
        <f t="shared" si="13"/>
        <v>6856.2</v>
      </c>
      <c r="AA28" s="673">
        <f t="shared" si="13"/>
        <v>6934</v>
      </c>
      <c r="AB28" s="673">
        <f t="shared" si="13"/>
        <v>7052.7</v>
      </c>
      <c r="AC28" s="673">
        <f t="shared" si="13"/>
        <v>7191.2</v>
      </c>
      <c r="AD28" s="673">
        <f t="shared" si="13"/>
        <v>7455.9</v>
      </c>
      <c r="AE28" s="673">
        <f t="shared" si="13"/>
        <v>7496.1229354441466</v>
      </c>
      <c r="AF28" s="673">
        <f t="shared" si="13"/>
        <v>7543.6965030864685</v>
      </c>
      <c r="AG28" s="673">
        <f t="shared" si="13"/>
        <v>7555.3410949155768</v>
      </c>
      <c r="AH28" s="673">
        <f t="shared" si="13"/>
        <v>7610.5667135781978</v>
      </c>
      <c r="AI28" s="673">
        <f t="shared" si="13"/>
        <v>7663.9851714117312</v>
      </c>
      <c r="AJ28" s="673">
        <f t="shared" si="13"/>
        <v>7719.7713940781578</v>
      </c>
      <c r="AK28" s="673">
        <f t="shared" si="13"/>
        <v>7874.6017088136505</v>
      </c>
      <c r="AL28" s="673">
        <f t="shared" si="13"/>
        <v>7922.2967960607111</v>
      </c>
      <c r="AM28" s="673">
        <f t="shared" si="13"/>
        <v>7970.5024681272816</v>
      </c>
      <c r="AN28" s="673">
        <f t="shared" si="13"/>
        <v>8020.374671510589</v>
      </c>
    </row>
    <row r="29" spans="4:56" ht="14.9" customHeight="1" x14ac:dyDescent="0.35">
      <c r="D29" s="835" t="s">
        <v>1900</v>
      </c>
      <c r="E29" s="786"/>
      <c r="F29" s="509">
        <f t="shared" ref="F29:AN29" si="14">F10+F23</f>
        <v>2217.6999999999998</v>
      </c>
      <c r="G29" s="509">
        <f t="shared" si="14"/>
        <v>2195.4</v>
      </c>
      <c r="H29" s="509">
        <f t="shared" si="14"/>
        <v>2226.3000000000002</v>
      </c>
      <c r="I29" s="509">
        <f t="shared" si="14"/>
        <v>2247.6999999999998</v>
      </c>
      <c r="J29" s="509">
        <f t="shared" si="14"/>
        <v>2107.2999999999997</v>
      </c>
      <c r="K29" s="509">
        <f t="shared" si="14"/>
        <v>2248.1999999999998</v>
      </c>
      <c r="L29" s="509">
        <f t="shared" si="14"/>
        <v>2377.8000000000002</v>
      </c>
      <c r="M29" s="509">
        <f t="shared" si="14"/>
        <v>2547.6999999999998</v>
      </c>
      <c r="N29" s="509">
        <f t="shared" si="14"/>
        <v>2675.6</v>
      </c>
      <c r="O29" s="509">
        <f t="shared" si="14"/>
        <v>2750</v>
      </c>
      <c r="P29" s="509">
        <f t="shared" si="14"/>
        <v>2847.1</v>
      </c>
      <c r="Q29" s="509">
        <f t="shared" si="14"/>
        <v>3254.1000000000004</v>
      </c>
      <c r="R29" s="509">
        <f t="shared" si="14"/>
        <v>3297.4</v>
      </c>
      <c r="S29" s="509">
        <f t="shared" si="14"/>
        <v>3224.9</v>
      </c>
      <c r="T29" s="509">
        <f t="shared" si="14"/>
        <v>3203.2999999999997</v>
      </c>
      <c r="U29" s="509">
        <f t="shared" si="14"/>
        <v>2834.3</v>
      </c>
      <c r="V29" s="509">
        <f t="shared" si="14"/>
        <v>2828.4</v>
      </c>
      <c r="W29" s="509">
        <f t="shared" si="14"/>
        <v>2866</v>
      </c>
      <c r="X29" s="509">
        <f t="shared" si="14"/>
        <v>2894.2999999999997</v>
      </c>
      <c r="Y29" s="509">
        <f t="shared" si="14"/>
        <v>2965.6</v>
      </c>
      <c r="Z29" s="509">
        <f t="shared" si="14"/>
        <v>3005.4</v>
      </c>
      <c r="AA29" s="509">
        <f t="shared" si="14"/>
        <v>3054.2</v>
      </c>
      <c r="AB29" s="509">
        <f t="shared" si="14"/>
        <v>3117.7</v>
      </c>
      <c r="AC29" s="509">
        <f t="shared" si="14"/>
        <v>3192.4</v>
      </c>
      <c r="AD29" s="509">
        <f t="shared" si="14"/>
        <v>3244.2</v>
      </c>
      <c r="AE29" s="509">
        <f>AE10+AE23</f>
        <v>3258.21630944248</v>
      </c>
      <c r="AF29" s="509">
        <f t="shared" si="14"/>
        <v>3279.551904131124</v>
      </c>
      <c r="AG29" s="509">
        <f t="shared" si="14"/>
        <v>3258.0128623449391</v>
      </c>
      <c r="AH29" s="509">
        <f t="shared" si="14"/>
        <v>3278.3903142786521</v>
      </c>
      <c r="AI29" s="509">
        <f t="shared" si="14"/>
        <v>3298.8237156806877</v>
      </c>
      <c r="AJ29" s="509">
        <f t="shared" si="14"/>
        <v>3319.2177261130228</v>
      </c>
      <c r="AK29" s="509">
        <f t="shared" si="14"/>
        <v>3437.1697148006278</v>
      </c>
      <c r="AL29" s="509">
        <f t="shared" si="14"/>
        <v>3458.4430103441646</v>
      </c>
      <c r="AM29" s="509">
        <f t="shared" si="14"/>
        <v>3479.9740408507537</v>
      </c>
      <c r="AN29" s="509">
        <f t="shared" si="14"/>
        <v>3501.7699682996376</v>
      </c>
    </row>
    <row r="30" spans="4:56" ht="14.9" customHeight="1" x14ac:dyDescent="0.35">
      <c r="D30" s="835" t="s">
        <v>1901</v>
      </c>
      <c r="E30" s="786"/>
      <c r="F30" s="509">
        <f t="shared" ref="F30:AN30" si="15">F13+F25</f>
        <v>1424.3</v>
      </c>
      <c r="G30" s="509">
        <f t="shared" si="15"/>
        <v>1430.8999999999999</v>
      </c>
      <c r="H30" s="509">
        <f t="shared" si="15"/>
        <v>1448.7</v>
      </c>
      <c r="I30" s="509">
        <f t="shared" si="15"/>
        <v>1473.5</v>
      </c>
      <c r="J30" s="509">
        <f t="shared" si="15"/>
        <v>1403</v>
      </c>
      <c r="K30" s="509">
        <f t="shared" si="15"/>
        <v>1452.9</v>
      </c>
      <c r="L30" s="509">
        <f t="shared" si="15"/>
        <v>1490.8</v>
      </c>
      <c r="M30" s="509">
        <f t="shared" si="15"/>
        <v>1508.5</v>
      </c>
      <c r="N30" s="509">
        <f t="shared" si="15"/>
        <v>1544.5</v>
      </c>
      <c r="O30" s="509">
        <f t="shared" si="15"/>
        <v>1581.6</v>
      </c>
      <c r="P30" s="509">
        <f t="shared" si="15"/>
        <v>1626.6</v>
      </c>
      <c r="Q30" s="509">
        <f t="shared" si="15"/>
        <v>1666.3000000000002</v>
      </c>
      <c r="R30" s="509">
        <f t="shared" si="15"/>
        <v>1689</v>
      </c>
      <c r="S30" s="509">
        <f t="shared" si="15"/>
        <v>1735.9</v>
      </c>
      <c r="T30" s="509">
        <f t="shared" si="15"/>
        <v>1751.7</v>
      </c>
      <c r="U30" s="509">
        <f t="shared" si="15"/>
        <v>1782</v>
      </c>
      <c r="V30" s="509">
        <f t="shared" si="15"/>
        <v>1810.4</v>
      </c>
      <c r="W30" s="509">
        <f t="shared" si="15"/>
        <v>1839.2</v>
      </c>
      <c r="X30" s="509">
        <f t="shared" si="15"/>
        <v>1859</v>
      </c>
      <c r="Y30" s="509">
        <f t="shared" si="15"/>
        <v>1889.1</v>
      </c>
      <c r="Z30" s="509">
        <f t="shared" si="15"/>
        <v>1896.1000000000001</v>
      </c>
      <c r="AA30" s="509">
        <f t="shared" si="15"/>
        <v>1903.9</v>
      </c>
      <c r="AB30" s="509">
        <f t="shared" si="15"/>
        <v>1930.8</v>
      </c>
      <c r="AC30" s="509">
        <f t="shared" si="15"/>
        <v>1961.6</v>
      </c>
      <c r="AD30" s="509">
        <f t="shared" si="15"/>
        <v>1981.8</v>
      </c>
      <c r="AE30" s="509">
        <f t="shared" si="15"/>
        <v>1990.2068789379905</v>
      </c>
      <c r="AF30" s="509">
        <f t="shared" si="15"/>
        <v>2004.6519135165656</v>
      </c>
      <c r="AG30" s="509">
        <f t="shared" si="15"/>
        <v>2027.5157722127331</v>
      </c>
      <c r="AH30" s="509">
        <f t="shared" si="15"/>
        <v>2050.6262217834924</v>
      </c>
      <c r="AI30" s="509">
        <f t="shared" si="15"/>
        <v>2073.9941575423472</v>
      </c>
      <c r="AJ30" s="509">
        <f t="shared" si="15"/>
        <v>2097.6202436473459</v>
      </c>
      <c r="AK30" s="509">
        <f t="shared" si="15"/>
        <v>2121.5192134416247</v>
      </c>
      <c r="AL30" s="509">
        <f t="shared" si="15"/>
        <v>2136.8697103470963</v>
      </c>
      <c r="AM30" s="509">
        <f t="shared" si="15"/>
        <v>2152.3332491017745</v>
      </c>
      <c r="AN30" s="509">
        <f t="shared" si="15"/>
        <v>2167.9085132378154</v>
      </c>
    </row>
    <row r="31" spans="4:56" ht="14.25" customHeight="1" x14ac:dyDescent="0.35"/>
    <row r="32" spans="4:56" ht="14.9" customHeight="1" x14ac:dyDescent="0.35">
      <c r="D32" s="529"/>
      <c r="E32" s="331"/>
      <c r="F32" s="331"/>
      <c r="G32" s="331"/>
      <c r="H32" s="331"/>
      <c r="I32" s="331"/>
      <c r="J32" s="331"/>
      <c r="K32" s="331"/>
      <c r="L32" s="331"/>
      <c r="AI32" s="267"/>
      <c r="AJ32" s="267"/>
      <c r="AK32" s="267"/>
      <c r="AL32" s="267"/>
      <c r="AM32" s="267"/>
      <c r="AN32" s="267"/>
      <c r="AO32" s="267"/>
    </row>
    <row r="33" spans="3:41" ht="14.9" customHeight="1" x14ac:dyDescent="0.35">
      <c r="D33" s="1423" t="s">
        <v>912</v>
      </c>
      <c r="E33" s="1424"/>
      <c r="F33" s="1425"/>
      <c r="G33" s="326">
        <v>2020</v>
      </c>
      <c r="H33" s="327">
        <v>2021</v>
      </c>
      <c r="I33" s="326">
        <v>2022</v>
      </c>
      <c r="J33" s="818">
        <v>2023</v>
      </c>
      <c r="K33" s="818">
        <v>2024</v>
      </c>
      <c r="L33" s="819">
        <v>2025</v>
      </c>
      <c r="M33" s="819">
        <v>2026</v>
      </c>
      <c r="N33" s="819">
        <v>2027</v>
      </c>
      <c r="AI33" s="267"/>
      <c r="AJ33" s="267"/>
      <c r="AK33" s="267"/>
      <c r="AL33" s="267"/>
      <c r="AM33" s="267"/>
      <c r="AN33" s="267"/>
      <c r="AO33" s="267"/>
    </row>
    <row r="34" spans="3:41" ht="14.9" customHeight="1" x14ac:dyDescent="0.35">
      <c r="D34" s="790" t="s">
        <v>489</v>
      </c>
      <c r="E34" s="288"/>
      <c r="F34" s="320"/>
      <c r="G34" s="857">
        <f>AVERAGE(H10:K10)</f>
        <v>1712.5250000000001</v>
      </c>
      <c r="H34" s="478">
        <f>AVERAGE(L10:O10)</f>
        <v>2025.3000000000002</v>
      </c>
      <c r="I34" s="478">
        <f>AVERAGE(P10:S10)</f>
        <v>2519.5</v>
      </c>
      <c r="J34" s="478">
        <f>I34*J58/I58</f>
        <v>2083.336548518414</v>
      </c>
      <c r="K34" s="478">
        <f>J34*K58/J58</f>
        <v>2322.2412923680117</v>
      </c>
      <c r="L34" s="478">
        <f>K34*L58/K58</f>
        <v>2480.4432008874892</v>
      </c>
      <c r="M34" s="478">
        <f>L34*M58/L58</f>
        <v>2538.9053988287119</v>
      </c>
      <c r="N34" s="478">
        <f>M34*N58/M58</f>
        <v>2684.1764370883825</v>
      </c>
      <c r="O34" t="s">
        <v>1906</v>
      </c>
    </row>
    <row r="35" spans="3:41" ht="14.9" customHeight="1" x14ac:dyDescent="0.35">
      <c r="D35" s="812" t="s">
        <v>494</v>
      </c>
      <c r="E35" s="233"/>
      <c r="F35" s="233"/>
      <c r="G35" s="858">
        <f>AVERAGE(H13:K13)</f>
        <v>1424.5250000000001</v>
      </c>
      <c r="H35" s="246">
        <f>AVERAGE(L13:O13)</f>
        <v>1509.7249999999999</v>
      </c>
      <c r="I35" s="246">
        <f>AVERAGE(P13:S13)</f>
        <v>1656.375</v>
      </c>
      <c r="J35" s="246">
        <f t="shared" ref="J35:N36" si="16">I35*J62/I62</f>
        <v>1802.5599531117082</v>
      </c>
      <c r="K35" s="246">
        <f t="shared" si="16"/>
        <v>1908.0368684134958</v>
      </c>
      <c r="L35" s="246">
        <f t="shared" si="16"/>
        <v>1963.5230627909452</v>
      </c>
      <c r="M35" s="246">
        <f t="shared" si="16"/>
        <v>2054.6673099258119</v>
      </c>
      <c r="N35" s="246">
        <f t="shared" si="16"/>
        <v>2138.5117997594916</v>
      </c>
    </row>
    <row r="36" spans="3:41" ht="14.9" customHeight="1" x14ac:dyDescent="0.35">
      <c r="D36" s="812" t="s">
        <v>105</v>
      </c>
      <c r="E36" s="233"/>
      <c r="F36" s="233"/>
      <c r="G36" s="858">
        <f>AVERAGE(H15:K15)</f>
        <v>160.375</v>
      </c>
      <c r="H36" s="246">
        <f>AVERAGE(L15:O15)</f>
        <v>171.3</v>
      </c>
      <c r="I36" s="246">
        <f>AVERAGE(P15:S15)</f>
        <v>203.05</v>
      </c>
      <c r="J36" s="246">
        <f t="shared" si="16"/>
        <v>168.63950531914898</v>
      </c>
      <c r="K36" s="246">
        <f t="shared" si="16"/>
        <v>112.9368420212766</v>
      </c>
      <c r="L36" s="246">
        <f t="shared" si="16"/>
        <v>105.39591063829786</v>
      </c>
      <c r="M36" s="246">
        <f t="shared" si="16"/>
        <v>113.12153111702128</v>
      </c>
      <c r="N36" s="246">
        <f t="shared" si="16"/>
        <v>114.05037686170213</v>
      </c>
    </row>
    <row r="37" spans="3:41" ht="14.9" customHeight="1" x14ac:dyDescent="0.35">
      <c r="D37" s="812" t="s">
        <v>257</v>
      </c>
      <c r="E37" s="233"/>
      <c r="F37" s="233"/>
      <c r="G37" s="858">
        <f>AVERAGE(H17:K17)</f>
        <v>220.4</v>
      </c>
      <c r="H37" s="246">
        <f>AVERAGE(L17:O17)</f>
        <v>307.375</v>
      </c>
      <c r="I37" s="246">
        <f>AVERAGE(P17:S17)</f>
        <v>389.2</v>
      </c>
      <c r="J37" s="246">
        <f>I37*J66/I66</f>
        <v>384.36050058018151</v>
      </c>
      <c r="K37" s="246">
        <f>J37*K66/J66</f>
        <v>485.38539448815737</v>
      </c>
      <c r="L37" s="246">
        <f>K37*L66/K66</f>
        <v>479.71870067574088</v>
      </c>
      <c r="M37" s="246">
        <f>L37*M66/L66</f>
        <v>453.58009071074002</v>
      </c>
      <c r="N37" s="246">
        <f>M37*N66/M66</f>
        <v>429.60702619878685</v>
      </c>
    </row>
    <row r="38" spans="3:41" ht="14.9" customHeight="1" x14ac:dyDescent="0.35">
      <c r="C38" s="56"/>
      <c r="D38" s="812" t="s">
        <v>908</v>
      </c>
      <c r="E38" s="56"/>
      <c r="F38" s="249"/>
      <c r="G38" s="571"/>
      <c r="H38" s="856">
        <f>H34/G34-1+0.021</f>
        <v>0.2036396694938761</v>
      </c>
      <c r="I38" s="856">
        <f>I34/H34-1.05</f>
        <v>0.1940132326075148</v>
      </c>
      <c r="J38" s="856">
        <f>J34/I34-1</f>
        <v>-0.17311508294565825</v>
      </c>
      <c r="K38" s="856">
        <f>K34/J34-1+K39</f>
        <v>0.16967410007254818</v>
      </c>
      <c r="L38" s="856">
        <f>L34/K34-1+L39</f>
        <v>6.8124664322955608E-2</v>
      </c>
      <c r="M38" s="856">
        <f>M34/L34-1+M39</f>
        <v>2.3569254849417742E-2</v>
      </c>
      <c r="N38" s="856">
        <f>N34/M34-1+N39</f>
        <v>5.7217979971482702E-2</v>
      </c>
      <c r="O38" t="s">
        <v>896</v>
      </c>
    </row>
    <row r="39" spans="3:41" ht="14.9" customHeight="1" x14ac:dyDescent="0.35">
      <c r="C39" s="56"/>
      <c r="D39" s="812" t="s">
        <v>1882</v>
      </c>
      <c r="E39" s="56"/>
      <c r="F39" s="249"/>
      <c r="G39" s="571"/>
      <c r="H39" s="856"/>
      <c r="I39" s="856"/>
      <c r="J39" s="856"/>
      <c r="K39" s="856">
        <v>5.5E-2</v>
      </c>
      <c r="L39" s="856"/>
      <c r="M39" s="856"/>
      <c r="N39" s="856"/>
    </row>
    <row r="40" spans="3:41" ht="14.9" customHeight="1" x14ac:dyDescent="0.35">
      <c r="C40" s="56"/>
      <c r="D40" s="812" t="s">
        <v>909</v>
      </c>
      <c r="E40" s="56"/>
      <c r="F40" s="249"/>
      <c r="G40" s="571"/>
      <c r="H40" s="856">
        <f>H35/G35-1.03</f>
        <v>2.9809410154261862E-2</v>
      </c>
      <c r="I40" s="856">
        <f>I35/H35-1.013</f>
        <v>8.413689579228012E-2</v>
      </c>
      <c r="J40" s="772">
        <f>J35/I35-1</f>
        <v>8.8255952372927826E-2</v>
      </c>
      <c r="K40" s="772">
        <f>K35/J35-1</f>
        <v>5.851506637529913E-2</v>
      </c>
      <c r="L40" s="772">
        <f>L35/K35-1</f>
        <v>2.9080252743536095E-2</v>
      </c>
      <c r="M40" s="772">
        <f>M35/L35-1</f>
        <v>4.6418730119377694E-2</v>
      </c>
      <c r="N40" s="772">
        <f>N35/M35-1</f>
        <v>4.0806844703587197E-2</v>
      </c>
      <c r="O40" t="s">
        <v>897</v>
      </c>
    </row>
    <row r="41" spans="3:41" ht="14.9" customHeight="1" x14ac:dyDescent="0.35">
      <c r="C41" s="56"/>
      <c r="D41" s="812" t="s">
        <v>910</v>
      </c>
      <c r="E41" s="56"/>
      <c r="F41" s="249"/>
      <c r="G41" s="571"/>
      <c r="H41" s="856">
        <f>H36/G36-1</f>
        <v>6.8121590023382694E-2</v>
      </c>
      <c r="I41" s="856">
        <f>I36/H36-1.01</f>
        <v>0.17534734384121431</v>
      </c>
      <c r="J41" s="856">
        <f>J36/I36-1</f>
        <v>-0.16946808510638278</v>
      </c>
      <c r="K41" s="856">
        <f t="shared" ref="K41" si="17">K36/J36-1</f>
        <v>-0.3303061355194058</v>
      </c>
      <c r="L41" s="856">
        <f>L36/K36-1</f>
        <v>-6.677122582866335E-2</v>
      </c>
      <c r="M41" s="856">
        <f>M36/L36-1</f>
        <v>7.3300950975569767E-2</v>
      </c>
      <c r="N41" s="856">
        <f>N36/M36-1</f>
        <v>8.2110428979254024E-3</v>
      </c>
    </row>
    <row r="42" spans="3:41" ht="14.9" customHeight="1" x14ac:dyDescent="0.35">
      <c r="C42" s="56"/>
      <c r="D42" s="773" t="s">
        <v>911</v>
      </c>
      <c r="E42" s="35"/>
      <c r="F42" s="370"/>
      <c r="G42" s="570"/>
      <c r="H42" s="774">
        <f>H37/G37-1</f>
        <v>0.39462341197822148</v>
      </c>
      <c r="I42" s="774">
        <f>I37/H37-1.103</f>
        <v>0.16320577470516473</v>
      </c>
      <c r="J42" s="774">
        <f>J37/I37-1</f>
        <v>-1.2434479495936457E-2</v>
      </c>
      <c r="K42" s="774">
        <f>K37/J37-1-0.15</f>
        <v>0.11283890710799263</v>
      </c>
      <c r="L42" s="774">
        <f>L37/K37-1+0.15</f>
        <v>0.13832537221604688</v>
      </c>
      <c r="M42" s="774">
        <f>M37/L37-1+0.03</f>
        <v>-2.4487369219047511E-2</v>
      </c>
      <c r="N42" s="774">
        <f>N37/M37-1+0.03</f>
        <v>-2.2852991131926542E-2</v>
      </c>
    </row>
    <row r="43" spans="3:41" ht="14.9" customHeight="1" x14ac:dyDescent="0.35">
      <c r="D43" s="787"/>
      <c r="E43" s="786"/>
      <c r="F43" s="797"/>
      <c r="G43" s="797"/>
      <c r="H43" s="770"/>
      <c r="I43" s="770"/>
      <c r="J43" s="770"/>
      <c r="K43" s="770"/>
      <c r="L43" s="770"/>
    </row>
    <row r="44" spans="3:41" ht="14.9" customHeight="1" x14ac:dyDescent="0.35">
      <c r="D44" s="787"/>
      <c r="E44" s="786"/>
      <c r="F44" s="797"/>
      <c r="G44" s="797"/>
      <c r="H44" s="770"/>
      <c r="I44" s="770"/>
      <c r="J44" s="770"/>
      <c r="K44" s="770"/>
      <c r="L44" s="770"/>
    </row>
    <row r="45" spans="3:41" ht="14.9" customHeight="1" x14ac:dyDescent="0.35">
      <c r="D45" s="787"/>
      <c r="E45" s="786"/>
      <c r="F45" s="1426" t="s">
        <v>279</v>
      </c>
      <c r="G45" s="1427"/>
      <c r="H45" s="1427"/>
      <c r="I45" s="1427"/>
      <c r="J45" s="1427"/>
      <c r="K45" s="1427"/>
      <c r="L45" s="1427"/>
      <c r="M45" s="1427"/>
      <c r="N45" s="1427"/>
      <c r="O45" s="1427"/>
      <c r="P45" s="1427"/>
      <c r="Q45" s="1427"/>
      <c r="R45" s="1427"/>
      <c r="S45" s="1427"/>
      <c r="T45" s="1427"/>
      <c r="U45" s="1427"/>
      <c r="V45" s="1428"/>
      <c r="W45" s="1347" t="s">
        <v>280</v>
      </c>
      <c r="X45" s="1327"/>
      <c r="Y45" s="1327"/>
      <c r="Z45" s="1327"/>
      <c r="AA45" s="1327"/>
      <c r="AB45" s="1327"/>
      <c r="AC45" s="1327"/>
      <c r="AD45" s="1327"/>
      <c r="AE45" s="1327"/>
      <c r="AF45" s="1327"/>
      <c r="AG45" s="1327"/>
      <c r="AH45" s="1328"/>
      <c r="AJ45" s="832" t="s">
        <v>1955</v>
      </c>
    </row>
    <row r="46" spans="3:41" ht="14.9" customHeight="1" x14ac:dyDescent="0.35">
      <c r="D46" s="787"/>
      <c r="E46" s="786"/>
      <c r="F46" s="1338">
        <v>2019</v>
      </c>
      <c r="G46" s="1346"/>
      <c r="H46" s="1340"/>
      <c r="I46" s="1346">
        <v>2020</v>
      </c>
      <c r="J46" s="1346"/>
      <c r="K46" s="1346"/>
      <c r="L46" s="1346"/>
      <c r="M46" s="1338">
        <v>2021</v>
      </c>
      <c r="N46" s="1346"/>
      <c r="O46" s="1346"/>
      <c r="P46" s="1346"/>
      <c r="Q46" s="1338">
        <v>2022</v>
      </c>
      <c r="R46" s="1346"/>
      <c r="S46" s="1346"/>
      <c r="T46" s="1340"/>
      <c r="U46" s="302"/>
      <c r="V46" s="302">
        <v>2023</v>
      </c>
      <c r="W46" s="294"/>
      <c r="X46" s="745"/>
      <c r="Y46" s="1358">
        <v>2024</v>
      </c>
      <c r="Z46" s="1359"/>
      <c r="AA46" s="1359"/>
      <c r="AB46" s="1416"/>
      <c r="AC46" s="1358">
        <v>2025</v>
      </c>
      <c r="AD46" s="1359"/>
      <c r="AE46" s="1359"/>
      <c r="AF46" s="1416"/>
      <c r="AG46" s="1325">
        <v>2026</v>
      </c>
      <c r="AH46" s="1331"/>
      <c r="AI46" s="1331"/>
      <c r="AJ46" s="1330"/>
    </row>
    <row r="47" spans="3:41" ht="14.9" customHeight="1" x14ac:dyDescent="0.35">
      <c r="D47" s="787"/>
      <c r="E47" s="786"/>
      <c r="F47" s="286" t="s">
        <v>283</v>
      </c>
      <c r="G47" s="287" t="s">
        <v>238</v>
      </c>
      <c r="H47" s="285" t="s">
        <v>281</v>
      </c>
      <c r="I47" s="287" t="s">
        <v>282</v>
      </c>
      <c r="J47" s="287" t="s">
        <v>283</v>
      </c>
      <c r="K47" s="287" t="s">
        <v>238</v>
      </c>
      <c r="L47" s="287" t="s">
        <v>281</v>
      </c>
      <c r="M47" s="286" t="s">
        <v>282</v>
      </c>
      <c r="N47" s="287" t="s">
        <v>283</v>
      </c>
      <c r="O47" s="287" t="s">
        <v>238</v>
      </c>
      <c r="P47" s="287" t="s">
        <v>281</v>
      </c>
      <c r="Q47" s="286" t="s">
        <v>282</v>
      </c>
      <c r="R47" s="287" t="s">
        <v>283</v>
      </c>
      <c r="S47" s="287" t="s">
        <v>238</v>
      </c>
      <c r="T47" s="285" t="s">
        <v>281</v>
      </c>
      <c r="U47" s="287" t="s">
        <v>282</v>
      </c>
      <c r="V47" s="287" t="s">
        <v>283</v>
      </c>
      <c r="W47" s="273" t="s">
        <v>238</v>
      </c>
      <c r="X47" s="301" t="s">
        <v>281</v>
      </c>
      <c r="Y47" s="299" t="s">
        <v>282</v>
      </c>
      <c r="Z47" s="271" t="s">
        <v>283</v>
      </c>
      <c r="AA47" s="273" t="s">
        <v>238</v>
      </c>
      <c r="AB47" s="301" t="s">
        <v>281</v>
      </c>
      <c r="AC47" s="299" t="s">
        <v>282</v>
      </c>
      <c r="AD47" s="271" t="s">
        <v>283</v>
      </c>
      <c r="AE47" s="273" t="s">
        <v>238</v>
      </c>
      <c r="AF47" s="273" t="s">
        <v>281</v>
      </c>
      <c r="AG47" s="299" t="s">
        <v>282</v>
      </c>
      <c r="AH47" s="271" t="s">
        <v>283</v>
      </c>
      <c r="AI47" s="273" t="s">
        <v>238</v>
      </c>
      <c r="AJ47" s="301" t="s">
        <v>281</v>
      </c>
    </row>
    <row r="48" spans="3:41" ht="14.9" customHeight="1" x14ac:dyDescent="0.35">
      <c r="D48" s="812" t="s">
        <v>908</v>
      </c>
      <c r="E48" s="786"/>
      <c r="F48" s="797"/>
      <c r="G48" s="797"/>
      <c r="H48" s="770"/>
      <c r="I48" s="770"/>
      <c r="J48" s="770"/>
      <c r="K48" s="770"/>
      <c r="L48" s="770"/>
    </row>
    <row r="49" spans="4:41" ht="14.9" customHeight="1" x14ac:dyDescent="0.35">
      <c r="D49" s="812" t="s">
        <v>1882</v>
      </c>
      <c r="E49" s="786"/>
      <c r="F49" s="797"/>
      <c r="G49" s="797"/>
      <c r="H49" s="770"/>
      <c r="I49" s="770"/>
      <c r="J49" s="770"/>
      <c r="K49" s="770"/>
      <c r="L49" s="770"/>
      <c r="M49" s="834">
        <f>H38</f>
        <v>0.2036396694938761</v>
      </c>
      <c r="N49" s="834">
        <f>H38</f>
        <v>0.2036396694938761</v>
      </c>
      <c r="O49" s="834">
        <f>H38</f>
        <v>0.2036396694938761</v>
      </c>
      <c r="P49" s="834">
        <f>H38</f>
        <v>0.2036396694938761</v>
      </c>
      <c r="Q49" s="834">
        <f>I38</f>
        <v>0.1940132326075148</v>
      </c>
      <c r="R49" s="834">
        <f>I38</f>
        <v>0.1940132326075148</v>
      </c>
      <c r="S49" s="834">
        <f>I38</f>
        <v>0.1940132326075148</v>
      </c>
      <c r="T49" s="834">
        <f>I38</f>
        <v>0.1940132326075148</v>
      </c>
      <c r="U49" s="834">
        <f>J38</f>
        <v>-0.17311508294565825</v>
      </c>
      <c r="V49" s="834">
        <f>J38</f>
        <v>-0.17311508294565825</v>
      </c>
      <c r="W49" s="834">
        <f>J38</f>
        <v>-0.17311508294565825</v>
      </c>
      <c r="X49" s="834">
        <f>J38</f>
        <v>-0.17311508294565825</v>
      </c>
      <c r="Y49" s="834">
        <f>K38</f>
        <v>0.16967410007254818</v>
      </c>
      <c r="Z49" s="834">
        <f>K38</f>
        <v>0.16967410007254818</v>
      </c>
      <c r="AA49" s="834">
        <f>K38</f>
        <v>0.16967410007254818</v>
      </c>
      <c r="AB49" s="834">
        <f t="shared" ref="AB49:AC53" si="18">K38</f>
        <v>0.16967410007254818</v>
      </c>
      <c r="AC49" s="834">
        <f>L38</f>
        <v>6.8124664322955608E-2</v>
      </c>
      <c r="AD49" s="834">
        <f>L38</f>
        <v>6.8124664322955608E-2</v>
      </c>
      <c r="AE49" s="834">
        <f>L38</f>
        <v>6.8124664322955608E-2</v>
      </c>
      <c r="AF49" s="834">
        <f t="shared" ref="AF49:AG53" si="19">L38</f>
        <v>6.8124664322955608E-2</v>
      </c>
      <c r="AG49" s="834">
        <f t="shared" si="19"/>
        <v>2.3569254849417742E-2</v>
      </c>
      <c r="AH49" s="834">
        <f>M38</f>
        <v>2.3569254849417742E-2</v>
      </c>
      <c r="AI49" s="834">
        <f>M38</f>
        <v>2.3569254849417742E-2</v>
      </c>
      <c r="AJ49" s="834">
        <f>M38</f>
        <v>2.3569254849417742E-2</v>
      </c>
    </row>
    <row r="50" spans="4:41" ht="14.9" customHeight="1" x14ac:dyDescent="0.35">
      <c r="D50" s="812" t="s">
        <v>909</v>
      </c>
      <c r="E50" s="786"/>
      <c r="F50" s="797"/>
      <c r="G50" s="797"/>
      <c r="H50" s="770"/>
      <c r="I50" s="770"/>
      <c r="J50" s="770"/>
      <c r="K50" s="770"/>
      <c r="L50" s="770"/>
      <c r="Y50" s="834">
        <f>K39</f>
        <v>5.5E-2</v>
      </c>
      <c r="Z50" s="834">
        <f>K39</f>
        <v>5.5E-2</v>
      </c>
      <c r="AA50" s="834">
        <f>K39</f>
        <v>5.5E-2</v>
      </c>
      <c r="AB50" s="834">
        <f t="shared" si="18"/>
        <v>5.5E-2</v>
      </c>
      <c r="AC50" s="834">
        <f>L39</f>
        <v>0</v>
      </c>
      <c r="AD50" s="834">
        <f>L39</f>
        <v>0</v>
      </c>
      <c r="AE50" s="834">
        <f>L39</f>
        <v>0</v>
      </c>
      <c r="AF50" s="834">
        <f t="shared" si="19"/>
        <v>0</v>
      </c>
      <c r="AG50" s="834">
        <f t="shared" si="19"/>
        <v>0</v>
      </c>
      <c r="AH50" s="834">
        <f>M39</f>
        <v>0</v>
      </c>
      <c r="AI50" s="834">
        <f>M39</f>
        <v>0</v>
      </c>
      <c r="AJ50" s="834">
        <f>M39</f>
        <v>0</v>
      </c>
    </row>
    <row r="51" spans="4:41" ht="14.9" customHeight="1" x14ac:dyDescent="0.35">
      <c r="D51" s="812" t="s">
        <v>910</v>
      </c>
      <c r="E51" s="786"/>
      <c r="F51" s="797"/>
      <c r="G51" s="797"/>
      <c r="H51" s="770"/>
      <c r="I51" s="770"/>
      <c r="J51" s="770"/>
      <c r="K51" s="770"/>
      <c r="L51" s="770"/>
      <c r="M51" s="834">
        <f>H40</f>
        <v>2.9809410154261862E-2</v>
      </c>
      <c r="N51" s="834">
        <f>H40</f>
        <v>2.9809410154261862E-2</v>
      </c>
      <c r="O51" s="96">
        <f>H40</f>
        <v>2.9809410154261862E-2</v>
      </c>
      <c r="P51" s="834">
        <f t="shared" ref="P51:Q53" si="20">H40</f>
        <v>2.9809410154261862E-2</v>
      </c>
      <c r="Q51" s="834">
        <f t="shared" si="20"/>
        <v>8.413689579228012E-2</v>
      </c>
      <c r="R51" s="834">
        <f>I40</f>
        <v>8.413689579228012E-2</v>
      </c>
      <c r="S51" s="834">
        <f>I40</f>
        <v>8.413689579228012E-2</v>
      </c>
      <c r="T51" s="834">
        <f t="shared" ref="T51:U53" si="21">I40</f>
        <v>8.413689579228012E-2</v>
      </c>
      <c r="U51" s="96">
        <f t="shared" si="21"/>
        <v>8.8255952372927826E-2</v>
      </c>
      <c r="V51" s="96">
        <f>J40</f>
        <v>8.8255952372927826E-2</v>
      </c>
      <c r="W51" s="96">
        <f>J40</f>
        <v>8.8255952372927826E-2</v>
      </c>
      <c r="X51" s="96">
        <f>J40</f>
        <v>8.8255952372927826E-2</v>
      </c>
      <c r="Y51" s="834">
        <f>K40</f>
        <v>5.851506637529913E-2</v>
      </c>
      <c r="Z51" s="834">
        <f>K40</f>
        <v>5.851506637529913E-2</v>
      </c>
      <c r="AA51" s="834">
        <f>K40</f>
        <v>5.851506637529913E-2</v>
      </c>
      <c r="AB51" s="834">
        <f t="shared" si="18"/>
        <v>5.851506637529913E-2</v>
      </c>
      <c r="AC51" s="834">
        <f t="shared" si="18"/>
        <v>2.9080252743536095E-2</v>
      </c>
      <c r="AD51" s="834">
        <f>L40</f>
        <v>2.9080252743536095E-2</v>
      </c>
      <c r="AE51" s="834">
        <f>L40</f>
        <v>2.9080252743536095E-2</v>
      </c>
      <c r="AF51" s="834">
        <f t="shared" si="19"/>
        <v>2.9080252743536095E-2</v>
      </c>
      <c r="AG51" s="834">
        <f>M40</f>
        <v>4.6418730119377694E-2</v>
      </c>
      <c r="AH51" s="834">
        <f>M40</f>
        <v>4.6418730119377694E-2</v>
      </c>
      <c r="AI51" s="834">
        <f>M40</f>
        <v>4.6418730119377694E-2</v>
      </c>
      <c r="AJ51" s="834">
        <f>M40</f>
        <v>4.6418730119377694E-2</v>
      </c>
    </row>
    <row r="52" spans="4:41" ht="14.9" customHeight="1" x14ac:dyDescent="0.35">
      <c r="D52" s="773" t="s">
        <v>911</v>
      </c>
      <c r="E52" s="786"/>
      <c r="F52" s="797"/>
      <c r="G52" s="797"/>
      <c r="H52" s="770"/>
      <c r="I52" s="770"/>
      <c r="J52" s="770"/>
      <c r="K52" s="770"/>
      <c r="L52" s="770"/>
      <c r="M52" s="834">
        <f>H41</f>
        <v>6.8121590023382694E-2</v>
      </c>
      <c r="N52" s="834">
        <f>H41</f>
        <v>6.8121590023382694E-2</v>
      </c>
      <c r="O52" s="834">
        <f>H41</f>
        <v>6.8121590023382694E-2</v>
      </c>
      <c r="P52" s="834">
        <f t="shared" si="20"/>
        <v>6.8121590023382694E-2</v>
      </c>
      <c r="Q52" s="834">
        <f t="shared" si="20"/>
        <v>0.17534734384121431</v>
      </c>
      <c r="R52" s="834">
        <f>I41</f>
        <v>0.17534734384121431</v>
      </c>
      <c r="S52" s="834">
        <f>I41</f>
        <v>0.17534734384121431</v>
      </c>
      <c r="T52" s="834">
        <f t="shared" si="21"/>
        <v>0.17534734384121431</v>
      </c>
      <c r="U52" s="834">
        <f t="shared" si="21"/>
        <v>-0.16946808510638278</v>
      </c>
      <c r="V52" s="834">
        <f>J41</f>
        <v>-0.16946808510638278</v>
      </c>
      <c r="W52" s="834">
        <f>J41</f>
        <v>-0.16946808510638278</v>
      </c>
      <c r="X52" s="834">
        <f>J41</f>
        <v>-0.16946808510638278</v>
      </c>
      <c r="Y52" s="834">
        <f>K41</f>
        <v>-0.3303061355194058</v>
      </c>
      <c r="Z52" s="834">
        <f>K41</f>
        <v>-0.3303061355194058</v>
      </c>
      <c r="AA52" s="834">
        <f>K41</f>
        <v>-0.3303061355194058</v>
      </c>
      <c r="AB52" s="834">
        <f t="shared" si="18"/>
        <v>-0.3303061355194058</v>
      </c>
      <c r="AC52" s="834">
        <f t="shared" si="18"/>
        <v>-6.677122582866335E-2</v>
      </c>
      <c r="AD52" s="834">
        <f>L41</f>
        <v>-6.677122582866335E-2</v>
      </c>
      <c r="AE52" s="834">
        <f>L41</f>
        <v>-6.677122582866335E-2</v>
      </c>
      <c r="AF52" s="834">
        <f t="shared" si="19"/>
        <v>-6.677122582866335E-2</v>
      </c>
      <c r="AG52" s="834">
        <f t="shared" si="19"/>
        <v>7.3300950975569767E-2</v>
      </c>
      <c r="AH52" s="834">
        <f>M41</f>
        <v>7.3300950975569767E-2</v>
      </c>
      <c r="AI52" s="834">
        <f>M41</f>
        <v>7.3300950975569767E-2</v>
      </c>
      <c r="AJ52" s="834">
        <f>M41</f>
        <v>7.3300950975569767E-2</v>
      </c>
    </row>
    <row r="53" spans="4:41" ht="14.9" customHeight="1" x14ac:dyDescent="0.35">
      <c r="D53" s="787"/>
      <c r="E53" s="786"/>
      <c r="F53" s="797"/>
      <c r="G53" s="797"/>
      <c r="H53" s="770"/>
      <c r="I53" s="770"/>
      <c r="J53" s="770"/>
      <c r="K53" s="770"/>
      <c r="L53" s="770"/>
      <c r="M53" s="834">
        <f>H42</f>
        <v>0.39462341197822148</v>
      </c>
      <c r="N53" s="834">
        <f>H42</f>
        <v>0.39462341197822148</v>
      </c>
      <c r="O53" s="834">
        <f>H42</f>
        <v>0.39462341197822148</v>
      </c>
      <c r="P53" s="834">
        <f t="shared" si="20"/>
        <v>0.39462341197822148</v>
      </c>
      <c r="Q53" s="834">
        <f t="shared" si="20"/>
        <v>0.16320577470516473</v>
      </c>
      <c r="R53" s="834">
        <f>I42</f>
        <v>0.16320577470516473</v>
      </c>
      <c r="S53" s="834">
        <f>I42</f>
        <v>0.16320577470516473</v>
      </c>
      <c r="T53" s="834">
        <f t="shared" si="21"/>
        <v>0.16320577470516473</v>
      </c>
      <c r="U53" s="834">
        <f t="shared" si="21"/>
        <v>-1.2434479495936457E-2</v>
      </c>
      <c r="V53" s="834">
        <f>J42</f>
        <v>-1.2434479495936457E-2</v>
      </c>
      <c r="W53" s="834">
        <f>J42</f>
        <v>-1.2434479495936457E-2</v>
      </c>
      <c r="X53" s="834">
        <f>J42</f>
        <v>-1.2434479495936457E-2</v>
      </c>
      <c r="Y53" s="834">
        <f>K42</f>
        <v>0.11283890710799263</v>
      </c>
      <c r="Z53" s="834">
        <f>K42</f>
        <v>0.11283890710799263</v>
      </c>
      <c r="AA53" s="834">
        <f>K42</f>
        <v>0.11283890710799263</v>
      </c>
      <c r="AB53" s="834">
        <f t="shared" si="18"/>
        <v>0.11283890710799263</v>
      </c>
      <c r="AC53" s="834">
        <f t="shared" si="18"/>
        <v>0.13832537221604688</v>
      </c>
      <c r="AD53" s="834">
        <f>L42</f>
        <v>0.13832537221604688</v>
      </c>
      <c r="AE53" s="834">
        <f>L42</f>
        <v>0.13832537221604688</v>
      </c>
      <c r="AF53" s="834">
        <f t="shared" si="19"/>
        <v>0.13832537221604688</v>
      </c>
      <c r="AG53" s="834">
        <f t="shared" si="19"/>
        <v>-2.4487369219047511E-2</v>
      </c>
      <c r="AH53" s="834">
        <f>O42</f>
        <v>0</v>
      </c>
      <c r="AI53" s="834" t="e">
        <f>#REF!</f>
        <v>#REF!</v>
      </c>
      <c r="AJ53" s="834">
        <f>P42</f>
        <v>0</v>
      </c>
    </row>
    <row r="54" spans="4:41" ht="14.9" customHeight="1" x14ac:dyDescent="0.35">
      <c r="D54" s="787"/>
      <c r="E54" s="786"/>
      <c r="F54" s="797"/>
      <c r="G54" s="797"/>
      <c r="H54" s="770"/>
      <c r="I54" s="770"/>
      <c r="J54" s="871"/>
      <c r="K54" s="770"/>
      <c r="L54" s="770"/>
    </row>
    <row r="55" spans="4:41" ht="14.9" customHeight="1" x14ac:dyDescent="0.35">
      <c r="D55" s="787"/>
      <c r="E55" s="786"/>
      <c r="F55" s="797"/>
      <c r="G55" s="797"/>
      <c r="H55" s="770"/>
      <c r="I55" s="770"/>
      <c r="J55" s="770"/>
      <c r="K55" s="770"/>
      <c r="L55" s="770"/>
    </row>
    <row r="56" spans="4:41" ht="41.9" customHeight="1" x14ac:dyDescent="0.35">
      <c r="F56" s="249"/>
      <c r="G56" s="249"/>
      <c r="H56" s="744"/>
      <c r="I56" s="744"/>
      <c r="J56" s="744"/>
      <c r="K56" s="744"/>
      <c r="L56" s="744"/>
      <c r="M56" s="249" t="s">
        <v>1912</v>
      </c>
      <c r="N56" s="284"/>
      <c r="AF56" s="744"/>
      <c r="AG56" s="744"/>
      <c r="AH56" s="744"/>
      <c r="AI56" s="744"/>
      <c r="AJ56" s="744"/>
      <c r="AK56" s="744"/>
      <c r="AL56" s="744"/>
      <c r="AN56" s="744"/>
      <c r="AO56" s="744"/>
    </row>
    <row r="57" spans="4:41" ht="30.75" customHeight="1" x14ac:dyDescent="0.35">
      <c r="D57" s="752" t="s">
        <v>1966</v>
      </c>
      <c r="E57" s="666">
        <v>2018</v>
      </c>
      <c r="F57" s="754">
        <v>2019</v>
      </c>
      <c r="G57" s="754">
        <v>2020</v>
      </c>
      <c r="H57" s="754">
        <v>2021</v>
      </c>
      <c r="I57" s="754">
        <v>2022</v>
      </c>
      <c r="J57" s="825">
        <v>2023</v>
      </c>
      <c r="K57" s="828">
        <v>2024</v>
      </c>
      <c r="L57" s="844">
        <v>2025</v>
      </c>
      <c r="M57" s="822">
        <v>2026</v>
      </c>
      <c r="N57" s="828">
        <v>2027</v>
      </c>
      <c r="O57" s="844">
        <v>2028</v>
      </c>
      <c r="P57" s="822">
        <v>2029</v>
      </c>
      <c r="Q57" s="828">
        <v>2030</v>
      </c>
      <c r="R57" s="844">
        <v>2031</v>
      </c>
      <c r="S57" s="822">
        <v>2032</v>
      </c>
      <c r="T57" s="844">
        <v>2033</v>
      </c>
      <c r="U57" s="822">
        <v>2034</v>
      </c>
      <c r="V57" s="828">
        <v>2035</v>
      </c>
    </row>
    <row r="58" spans="4:41" ht="30.75" customHeight="1" x14ac:dyDescent="0.35">
      <c r="D58" s="738" t="s">
        <v>2002</v>
      </c>
      <c r="E58" s="755">
        <v>1683.5</v>
      </c>
      <c r="F58" s="755">
        <v>1717.9</v>
      </c>
      <c r="G58" s="755">
        <v>1609</v>
      </c>
      <c r="H58" s="378">
        <v>2044.377</v>
      </c>
      <c r="I58" s="478">
        <v>2632.145</v>
      </c>
      <c r="J58" s="478">
        <v>2176.4810000000002</v>
      </c>
      <c r="K58" s="478">
        <v>2426.067</v>
      </c>
      <c r="L58" s="823">
        <f>L59+L60</f>
        <v>2591.3420000000001</v>
      </c>
      <c r="M58" s="823">
        <f>M59+M60</f>
        <v>2652.4180000000001</v>
      </c>
      <c r="N58" s="823">
        <f>N59+N60</f>
        <v>2804.1840000000002</v>
      </c>
      <c r="O58" s="823">
        <f t="shared" ref="O58:Q58" si="22">O59+O60</f>
        <v>3355.3890000000001</v>
      </c>
      <c r="P58" s="823">
        <f t="shared" si="22"/>
        <v>3454.9960000000001</v>
      </c>
      <c r="Q58" s="823">
        <f t="shared" si="22"/>
        <v>3583.7379999999998</v>
      </c>
      <c r="R58" s="823">
        <f t="shared" ref="R58:U58" si="23">R59-R60</f>
        <v>3720.614</v>
      </c>
      <c r="S58" s="823">
        <f t="shared" si="23"/>
        <v>3869.8490000000002</v>
      </c>
      <c r="T58" s="823">
        <f t="shared" si="23"/>
        <v>4036.6990000000001</v>
      </c>
      <c r="U58" s="823">
        <f t="shared" si="23"/>
        <v>4220.3469999999998</v>
      </c>
      <c r="V58" s="441">
        <v>4412.8320000000003</v>
      </c>
    </row>
    <row r="59" spans="4:41" ht="30.75" customHeight="1" x14ac:dyDescent="0.35">
      <c r="D59" s="780" t="s">
        <v>2001</v>
      </c>
      <c r="E59" s="841">
        <v>1683.5</v>
      </c>
      <c r="F59" s="841">
        <v>1717.9</v>
      </c>
      <c r="G59" s="841">
        <v>1609</v>
      </c>
      <c r="H59" s="441">
        <v>2044.377</v>
      </c>
      <c r="I59" s="246">
        <v>2632.145</v>
      </c>
      <c r="J59" s="246">
        <v>2176.4810000000002</v>
      </c>
      <c r="K59" s="246">
        <v>2426.067</v>
      </c>
      <c r="L59" s="246">
        <v>2621.3420000000001</v>
      </c>
      <c r="M59" s="441">
        <v>2968.42</v>
      </c>
      <c r="N59" s="841">
        <v>3252.893</v>
      </c>
      <c r="O59" s="441">
        <v>3355.3890000000001</v>
      </c>
      <c r="P59" s="441">
        <v>3454.9960000000001</v>
      </c>
      <c r="Q59" s="441">
        <v>3583.7379999999998</v>
      </c>
      <c r="R59" s="441">
        <v>3720.614</v>
      </c>
      <c r="S59" s="441">
        <v>3869.8490000000002</v>
      </c>
      <c r="T59" s="441">
        <v>4036.6990000000001</v>
      </c>
      <c r="U59" s="441">
        <v>4220.3469999999998</v>
      </c>
      <c r="V59" s="441">
        <v>4412.8320000000003</v>
      </c>
    </row>
    <row r="60" spans="4:41" ht="30.75" customHeight="1" x14ac:dyDescent="0.35">
      <c r="D60" s="737" t="s">
        <v>2000</v>
      </c>
      <c r="E60" s="841"/>
      <c r="F60" s="841"/>
      <c r="G60" s="841"/>
      <c r="H60" s="441"/>
      <c r="I60" s="246"/>
      <c r="J60" s="246"/>
      <c r="K60" s="246"/>
      <c r="L60" s="246">
        <v>-30</v>
      </c>
      <c r="M60" s="441">
        <v>-316.00200000000001</v>
      </c>
      <c r="N60" s="841">
        <v>-448.709</v>
      </c>
      <c r="O60" s="441">
        <v>0</v>
      </c>
      <c r="P60" s="441">
        <v>0</v>
      </c>
      <c r="Q60" s="441">
        <v>0</v>
      </c>
      <c r="R60" s="441"/>
      <c r="S60" s="441"/>
      <c r="T60" s="441"/>
      <c r="U60" s="441"/>
      <c r="V60" s="441"/>
    </row>
    <row r="61" spans="4:41" ht="30.75" customHeight="1" x14ac:dyDescent="0.35">
      <c r="D61" s="780" t="s">
        <v>1975</v>
      </c>
      <c r="E61" s="841"/>
      <c r="F61" s="841"/>
      <c r="G61" s="841"/>
      <c r="H61" s="635">
        <f>((H58/G58)-1)*100</f>
        <v>27.058856432566802</v>
      </c>
      <c r="I61" s="635">
        <f t="shared" ref="I61:U61" si="24">((I58/H58)-1)*100</f>
        <v>28.750470192141677</v>
      </c>
      <c r="J61" s="635">
        <f t="shared" si="24"/>
        <v>-17.311508294565826</v>
      </c>
      <c r="K61" s="635">
        <f t="shared" si="24"/>
        <v>11.46741000725482</v>
      </c>
      <c r="L61" s="635">
        <f t="shared" si="24"/>
        <v>6.8124664322955608</v>
      </c>
      <c r="M61" s="635">
        <f t="shared" si="24"/>
        <v>2.3569254849417742</v>
      </c>
      <c r="N61" s="635">
        <f t="shared" si="24"/>
        <v>5.7217979971482702</v>
      </c>
      <c r="O61" s="635">
        <f t="shared" si="24"/>
        <v>19.656520399517284</v>
      </c>
      <c r="P61" s="635">
        <f t="shared" si="24"/>
        <v>2.9685678769287183</v>
      </c>
      <c r="Q61" s="635">
        <f t="shared" si="24"/>
        <v>3.726256123017202</v>
      </c>
      <c r="R61" s="635">
        <f t="shared" si="24"/>
        <v>3.8193640271694029</v>
      </c>
      <c r="S61" s="635">
        <f t="shared" si="24"/>
        <v>4.0110315125406748</v>
      </c>
      <c r="T61" s="635">
        <f t="shared" si="24"/>
        <v>4.3115377370021468</v>
      </c>
      <c r="U61" s="635">
        <f t="shared" si="24"/>
        <v>4.5494598433026612</v>
      </c>
      <c r="V61" s="441"/>
    </row>
    <row r="62" spans="4:41" ht="16.5" customHeight="1" x14ac:dyDescent="0.35">
      <c r="D62" s="820" t="s">
        <v>490</v>
      </c>
      <c r="E62" s="841">
        <v>1170.7</v>
      </c>
      <c r="F62" s="841">
        <v>1243.4000000000001</v>
      </c>
      <c r="G62" s="841">
        <v>1310</v>
      </c>
      <c r="H62" s="441">
        <v>1314.088</v>
      </c>
      <c r="I62" s="246">
        <v>1483.5260000000001</v>
      </c>
      <c r="J62" s="246">
        <v>1614.4559999999999</v>
      </c>
      <c r="K62" s="246">
        <v>1708.9259999999999</v>
      </c>
      <c r="L62" s="246">
        <v>1758.6220000000001</v>
      </c>
      <c r="M62" s="826">
        <v>1840.2550000000001</v>
      </c>
      <c r="N62" s="246">
        <v>1915.35</v>
      </c>
      <c r="O62" s="246">
        <v>1989.9770000000001</v>
      </c>
      <c r="P62" s="246">
        <v>2071.8760000000002</v>
      </c>
      <c r="Q62" s="246">
        <v>2155.48</v>
      </c>
      <c r="R62" s="246">
        <v>2241.7910000000002</v>
      </c>
      <c r="S62" s="246">
        <v>2329.39</v>
      </c>
      <c r="T62" s="246">
        <v>2418.5300000000002</v>
      </c>
      <c r="U62" s="246">
        <v>2510.3110000000001</v>
      </c>
      <c r="V62" s="246">
        <v>2605.1819999999998</v>
      </c>
    </row>
    <row r="63" spans="4:41" x14ac:dyDescent="0.35">
      <c r="D63" s="571" t="s">
        <v>491</v>
      </c>
      <c r="E63" s="441">
        <f>E64+E65</f>
        <v>136.30000000000001</v>
      </c>
      <c r="F63" s="441">
        <f t="shared" ref="F63:K63" si="25">F64+F65</f>
        <v>170.6</v>
      </c>
      <c r="G63" s="441">
        <f t="shared" si="25"/>
        <v>156</v>
      </c>
      <c r="H63" s="441">
        <f t="shared" si="25"/>
        <v>155.25900000000001</v>
      </c>
      <c r="I63" s="441">
        <f t="shared" si="25"/>
        <v>188</v>
      </c>
      <c r="J63" s="441">
        <f t="shared" si="25"/>
        <v>156.14000000000001</v>
      </c>
      <c r="K63" s="441">
        <f t="shared" si="25"/>
        <v>104.566</v>
      </c>
      <c r="L63" s="441">
        <f>L64+L65</f>
        <v>97.583999999999989</v>
      </c>
      <c r="M63" s="839">
        <f>M64+M65</f>
        <v>104.73699999999999</v>
      </c>
      <c r="N63" s="839">
        <f t="shared" ref="N63:V63" si="26">N64+N65</f>
        <v>105.59699999999999</v>
      </c>
      <c r="O63" s="839">
        <f t="shared" si="26"/>
        <v>105.84200000000001</v>
      </c>
      <c r="P63" s="839">
        <f t="shared" si="26"/>
        <v>109.229</v>
      </c>
      <c r="Q63" s="839">
        <f t="shared" si="26"/>
        <v>157.536</v>
      </c>
      <c r="R63" s="839">
        <f t="shared" si="26"/>
        <v>206.88</v>
      </c>
      <c r="S63" s="839">
        <f t="shared" si="26"/>
        <v>222.535</v>
      </c>
      <c r="T63" s="839">
        <f t="shared" si="26"/>
        <v>231.29900000000001</v>
      </c>
      <c r="U63" s="839">
        <f t="shared" si="26"/>
        <v>240.52500000000003</v>
      </c>
      <c r="V63" s="839">
        <f t="shared" si="26"/>
        <v>252.53300000000002</v>
      </c>
      <c r="W63" s="815"/>
    </row>
    <row r="64" spans="4:41" x14ac:dyDescent="0.35">
      <c r="D64" s="683" t="s">
        <v>1908</v>
      </c>
      <c r="E64" s="841">
        <v>95</v>
      </c>
      <c r="F64" s="841">
        <v>99.8</v>
      </c>
      <c r="G64" s="841">
        <v>87</v>
      </c>
      <c r="H64" s="441">
        <v>75.274000000000001</v>
      </c>
      <c r="I64" s="840">
        <v>88</v>
      </c>
      <c r="J64" s="824">
        <v>75.802000000000007</v>
      </c>
      <c r="K64" s="441">
        <v>101.435</v>
      </c>
      <c r="L64" s="441">
        <v>91.840999999999994</v>
      </c>
      <c r="M64" s="839">
        <v>97.257999999999996</v>
      </c>
      <c r="N64" s="441">
        <v>97.07</v>
      </c>
      <c r="O64" s="441">
        <v>95.424000000000007</v>
      </c>
      <c r="P64" s="441">
        <v>96.096000000000004</v>
      </c>
      <c r="Q64" s="441">
        <v>96.950999999999993</v>
      </c>
      <c r="R64" s="441">
        <v>95.209000000000003</v>
      </c>
      <c r="S64" s="441">
        <v>95.295000000000002</v>
      </c>
      <c r="T64" s="441">
        <v>95.778999999999996</v>
      </c>
      <c r="U64" s="441">
        <v>95.177000000000007</v>
      </c>
      <c r="V64" s="441">
        <v>97.59</v>
      </c>
      <c r="W64" s="441">
        <v>482.79899999999998</v>
      </c>
      <c r="X64" s="441">
        <v>961.84900000000005</v>
      </c>
    </row>
    <row r="65" spans="4:26" ht="16.5" customHeight="1" x14ac:dyDescent="0.35">
      <c r="D65" s="535" t="s">
        <v>1907</v>
      </c>
      <c r="E65" s="841">
        <v>41.3</v>
      </c>
      <c r="F65" s="841">
        <v>70.8</v>
      </c>
      <c r="G65" s="841">
        <v>69</v>
      </c>
      <c r="H65" s="441">
        <v>79.984999999999999</v>
      </c>
      <c r="I65" s="840">
        <v>100</v>
      </c>
      <c r="J65" s="824">
        <v>80.338000000000008</v>
      </c>
      <c r="K65" s="441">
        <v>3.1309999999999998</v>
      </c>
      <c r="L65" s="441">
        <v>5.7430000000000003</v>
      </c>
      <c r="M65" s="839">
        <v>7.4790000000000001</v>
      </c>
      <c r="N65" s="441">
        <v>8.5269999999999992</v>
      </c>
      <c r="O65" s="441">
        <v>10.417999999999999</v>
      </c>
      <c r="P65" s="441">
        <v>13.132999999999999</v>
      </c>
      <c r="Q65" s="441">
        <v>60.585000000000001</v>
      </c>
      <c r="R65" s="441">
        <v>111.67100000000001</v>
      </c>
      <c r="S65" s="441">
        <v>127.24</v>
      </c>
      <c r="T65" s="441">
        <v>135.52000000000001</v>
      </c>
      <c r="U65" s="441">
        <v>145.34800000000001</v>
      </c>
      <c r="V65" s="441">
        <v>154.94300000000001</v>
      </c>
      <c r="W65" s="441">
        <v>100.142</v>
      </c>
      <c r="X65" s="441">
        <v>774.86400000000003</v>
      </c>
      <c r="Y65" s="798"/>
      <c r="Z65" s="814"/>
    </row>
    <row r="66" spans="4:26" ht="16.5" customHeight="1" x14ac:dyDescent="0.35">
      <c r="D66" s="739" t="s">
        <v>2008</v>
      </c>
      <c r="E66" s="756">
        <v>204.7</v>
      </c>
      <c r="F66" s="756">
        <v>230.2</v>
      </c>
      <c r="G66" s="756">
        <v>212</v>
      </c>
      <c r="H66" s="783">
        <v>371.83100000000002</v>
      </c>
      <c r="I66" s="501">
        <v>424.86700000000002</v>
      </c>
      <c r="J66" s="501">
        <v>419.584</v>
      </c>
      <c r="K66" s="501">
        <v>529.86699999999996</v>
      </c>
      <c r="L66" s="501">
        <f>L67+L68</f>
        <v>523.68100000000004</v>
      </c>
      <c r="M66" s="501">
        <f t="shared" ref="M66:Q66" si="27">M67+M68</f>
        <v>495.14699999999999</v>
      </c>
      <c r="N66" s="501">
        <f t="shared" si="27"/>
        <v>468.97699999999998</v>
      </c>
      <c r="O66" s="501">
        <f t="shared" si="27"/>
        <v>462.33800000000002</v>
      </c>
      <c r="P66" s="501">
        <f t="shared" si="27"/>
        <v>452.81200000000001</v>
      </c>
      <c r="Q66" s="501">
        <f t="shared" si="27"/>
        <v>450.154</v>
      </c>
      <c r="R66" s="837">
        <v>455.77699999999999</v>
      </c>
      <c r="S66" s="837">
        <v>467.89699999999999</v>
      </c>
      <c r="T66" s="837">
        <v>493.13400000000001</v>
      </c>
      <c r="U66" s="837">
        <v>503.37799999999999</v>
      </c>
      <c r="V66" s="837">
        <v>517.11500000000001</v>
      </c>
      <c r="W66" s="813"/>
      <c r="X66" s="798"/>
      <c r="Y66" s="798"/>
      <c r="Z66" s="814"/>
    </row>
    <row r="67" spans="4:26" ht="16.5" customHeight="1" x14ac:dyDescent="0.35">
      <c r="D67" s="605" t="s">
        <v>106</v>
      </c>
      <c r="E67" s="841">
        <v>204.7</v>
      </c>
      <c r="F67" s="841">
        <v>230.2</v>
      </c>
      <c r="G67" s="841">
        <v>212</v>
      </c>
      <c r="H67" s="441">
        <v>371.83100000000002</v>
      </c>
      <c r="I67" s="246">
        <v>424.86700000000002</v>
      </c>
      <c r="J67" s="246">
        <v>419.584</v>
      </c>
      <c r="K67" s="246">
        <v>529.86699999999996</v>
      </c>
      <c r="L67" s="246">
        <v>523.68100000000004</v>
      </c>
      <c r="M67" s="837">
        <v>495.14699999999999</v>
      </c>
      <c r="N67" s="837">
        <v>468.97699999999998</v>
      </c>
      <c r="O67" s="827">
        <v>462.33800000000002</v>
      </c>
      <c r="P67" s="837">
        <v>452.81200000000001</v>
      </c>
      <c r="Q67" s="837">
        <v>450.154</v>
      </c>
      <c r="R67" s="837">
        <v>455.77699999999999</v>
      </c>
      <c r="S67" s="837">
        <v>467.89699999999999</v>
      </c>
      <c r="T67" s="837">
        <v>493.13400000000001</v>
      </c>
      <c r="U67" s="837">
        <v>503.37799999999999</v>
      </c>
      <c r="V67" s="837">
        <v>517.11500000000001</v>
      </c>
      <c r="W67" s="813"/>
      <c r="X67" s="798"/>
      <c r="Y67" s="798"/>
      <c r="Z67" s="814"/>
    </row>
    <row r="68" spans="4:26" ht="16.5" customHeight="1" x14ac:dyDescent="0.35">
      <c r="D68" s="740" t="s">
        <v>2007</v>
      </c>
      <c r="E68" s="841"/>
      <c r="F68" s="841"/>
      <c r="G68" s="841"/>
      <c r="H68" s="441"/>
      <c r="I68" s="246"/>
      <c r="J68" s="246"/>
      <c r="K68" s="246"/>
      <c r="L68" s="246"/>
      <c r="M68" s="837">
        <v>0</v>
      </c>
      <c r="N68" s="837">
        <v>0</v>
      </c>
      <c r="O68" s="827">
        <v>0</v>
      </c>
      <c r="P68" s="837">
        <v>0</v>
      </c>
      <c r="Q68" s="837">
        <v>0</v>
      </c>
      <c r="R68" s="837"/>
      <c r="S68" s="837"/>
      <c r="T68" s="837"/>
      <c r="U68" s="837"/>
      <c r="V68" s="837"/>
      <c r="W68" s="813"/>
      <c r="X68" s="798"/>
      <c r="Y68" s="798"/>
      <c r="Z68" s="814"/>
    </row>
    <row r="69" spans="4:26" ht="16.5" customHeight="1" x14ac:dyDescent="0.35">
      <c r="K69" s="74"/>
      <c r="L69" s="74"/>
      <c r="M69" s="74"/>
    </row>
    <row r="70" spans="4:26" x14ac:dyDescent="0.35">
      <c r="D70" s="617" t="s">
        <v>492</v>
      </c>
      <c r="E70" s="666">
        <v>2018</v>
      </c>
      <c r="F70" s="720">
        <v>2019</v>
      </c>
      <c r="G70" s="720">
        <v>2020</v>
      </c>
      <c r="H70" s="743">
        <v>2021</v>
      </c>
      <c r="I70" s="720">
        <v>2022</v>
      </c>
      <c r="J70" s="743">
        <v>2023</v>
      </c>
      <c r="K70" s="818">
        <v>2024</v>
      </c>
      <c r="L70" s="818">
        <v>2025</v>
      </c>
      <c r="M70" s="822">
        <v>2026</v>
      </c>
      <c r="O70" s="529" t="s">
        <v>493</v>
      </c>
    </row>
    <row r="71" spans="4:26" ht="14.9" customHeight="1" x14ac:dyDescent="0.35">
      <c r="D71" s="790" t="s">
        <v>489</v>
      </c>
      <c r="E71" s="320">
        <v>1622</v>
      </c>
      <c r="F71" s="320">
        <v>1687</v>
      </c>
      <c r="G71" s="846">
        <f t="shared" ref="G71:M71" si="28">G34</f>
        <v>1712.5250000000001</v>
      </c>
      <c r="H71" s="846">
        <f t="shared" si="28"/>
        <v>2025.3000000000002</v>
      </c>
      <c r="I71" s="846">
        <f t="shared" si="28"/>
        <v>2519.5</v>
      </c>
      <c r="J71" s="837">
        <f t="shared" si="28"/>
        <v>2083.336548518414</v>
      </c>
      <c r="K71" s="837">
        <f t="shared" si="28"/>
        <v>2322.2412923680117</v>
      </c>
      <c r="L71" s="837">
        <f t="shared" si="28"/>
        <v>2480.4432008874892</v>
      </c>
      <c r="M71" s="859">
        <f t="shared" si="28"/>
        <v>2538.9053988287119</v>
      </c>
    </row>
    <row r="72" spans="4:26" x14ac:dyDescent="0.35">
      <c r="D72" s="812" t="s">
        <v>494</v>
      </c>
      <c r="E72" s="233">
        <v>1332</v>
      </c>
      <c r="F72" s="233">
        <v>1388</v>
      </c>
      <c r="G72" s="837">
        <f t="shared" ref="G72:I74" si="29">G35</f>
        <v>1424.5250000000001</v>
      </c>
      <c r="H72" s="837">
        <f t="shared" si="29"/>
        <v>1509.7249999999999</v>
      </c>
      <c r="I72" s="837">
        <f t="shared" si="29"/>
        <v>1656.375</v>
      </c>
      <c r="J72" s="837">
        <f t="shared" ref="J72:M72" si="30">J35</f>
        <v>1802.5599531117082</v>
      </c>
      <c r="K72" s="837">
        <f t="shared" si="30"/>
        <v>1908.0368684134958</v>
      </c>
      <c r="L72" s="837">
        <f t="shared" si="30"/>
        <v>1963.5230627909452</v>
      </c>
      <c r="M72" s="859">
        <f t="shared" si="30"/>
        <v>2054.6673099258119</v>
      </c>
      <c r="N72" s="796"/>
    </row>
    <row r="73" spans="4:26" x14ac:dyDescent="0.35">
      <c r="D73" s="812" t="s">
        <v>105</v>
      </c>
      <c r="E73" s="233">
        <v>150</v>
      </c>
      <c r="F73" s="233">
        <v>175</v>
      </c>
      <c r="G73" s="837">
        <f t="shared" si="29"/>
        <v>160.375</v>
      </c>
      <c r="H73" s="837">
        <f t="shared" si="29"/>
        <v>171.3</v>
      </c>
      <c r="I73" s="837">
        <f t="shared" si="29"/>
        <v>203.05</v>
      </c>
      <c r="J73" s="837">
        <f t="shared" ref="J73:M73" si="31">J36</f>
        <v>168.63950531914898</v>
      </c>
      <c r="K73" s="837">
        <f t="shared" si="31"/>
        <v>112.9368420212766</v>
      </c>
      <c r="L73" s="837">
        <f t="shared" si="31"/>
        <v>105.39591063829786</v>
      </c>
      <c r="M73" s="859">
        <f t="shared" si="31"/>
        <v>113.12153111702128</v>
      </c>
      <c r="N73" s="796"/>
    </row>
    <row r="74" spans="4:26" x14ac:dyDescent="0.35">
      <c r="D74" s="773" t="s">
        <v>257</v>
      </c>
      <c r="E74" s="568">
        <v>208</v>
      </c>
      <c r="F74" s="568">
        <v>219</v>
      </c>
      <c r="G74" s="847">
        <f t="shared" si="29"/>
        <v>220.4</v>
      </c>
      <c r="H74" s="847">
        <f t="shared" si="29"/>
        <v>307.375</v>
      </c>
      <c r="I74" s="847">
        <f t="shared" si="29"/>
        <v>389.2</v>
      </c>
      <c r="J74" s="847">
        <f t="shared" ref="J74:M74" si="32">J37</f>
        <v>384.36050058018151</v>
      </c>
      <c r="K74" s="847">
        <f t="shared" si="32"/>
        <v>485.38539448815737</v>
      </c>
      <c r="L74" s="847">
        <f t="shared" si="32"/>
        <v>479.71870067574088</v>
      </c>
      <c r="M74" s="870">
        <f t="shared" si="32"/>
        <v>453.58009071074002</v>
      </c>
      <c r="O74" s="1301" t="s">
        <v>891</v>
      </c>
      <c r="P74" s="1301" t="s">
        <v>891</v>
      </c>
      <c r="Q74" s="1301" t="s">
        <v>891</v>
      </c>
      <c r="R74" s="1301" t="s">
        <v>891</v>
      </c>
      <c r="S74" s="1301" t="s">
        <v>891</v>
      </c>
      <c r="T74" s="1301" t="s">
        <v>891</v>
      </c>
      <c r="U74" s="1301" t="s">
        <v>891</v>
      </c>
      <c r="V74" s="1302" t="s">
        <v>891</v>
      </c>
    </row>
    <row r="75" spans="4:26" ht="14.9" customHeight="1" x14ac:dyDescent="0.35">
      <c r="D75" s="269"/>
      <c r="E75" s="233"/>
      <c r="F75" s="233"/>
      <c r="G75" s="233"/>
      <c r="P75" s="1303">
        <v>2022</v>
      </c>
      <c r="Q75" s="1304">
        <v>2022</v>
      </c>
      <c r="R75" s="1304">
        <v>2022</v>
      </c>
      <c r="S75" s="1305">
        <v>2022</v>
      </c>
    </row>
    <row r="76" spans="4:26" ht="17.25" customHeight="1" x14ac:dyDescent="0.35">
      <c r="D76" s="234" t="s">
        <v>496</v>
      </c>
      <c r="E76" s="233"/>
      <c r="F76" s="233"/>
      <c r="G76" s="233"/>
      <c r="P76" s="141" t="s">
        <v>892</v>
      </c>
      <c r="Q76" s="141" t="s">
        <v>893</v>
      </c>
      <c r="R76" s="141" t="s">
        <v>894</v>
      </c>
      <c r="S76" s="141" t="s">
        <v>895</v>
      </c>
      <c r="T76" s="117" t="s">
        <v>907</v>
      </c>
    </row>
    <row r="77" spans="4:26" ht="30" customHeight="1" x14ac:dyDescent="0.35">
      <c r="D77" s="854" t="s">
        <v>497</v>
      </c>
      <c r="E77" s="720">
        <v>2018</v>
      </c>
      <c r="F77" s="720">
        <v>2019</v>
      </c>
      <c r="G77" s="720">
        <v>2020</v>
      </c>
      <c r="H77" s="743">
        <v>2021</v>
      </c>
      <c r="I77" s="720">
        <v>2022</v>
      </c>
      <c r="J77" s="720">
        <v>2023</v>
      </c>
      <c r="K77" s="845">
        <v>2024</v>
      </c>
      <c r="L77" s="845">
        <v>2025</v>
      </c>
      <c r="M77" s="822">
        <v>2026</v>
      </c>
      <c r="O77" s="31" t="s">
        <v>495</v>
      </c>
      <c r="P77" s="145">
        <v>2973</v>
      </c>
      <c r="Q77" s="145">
        <v>3062.8</v>
      </c>
      <c r="R77" s="145">
        <v>3085.2</v>
      </c>
      <c r="S77" s="753">
        <v>2106.1999999999998</v>
      </c>
      <c r="T77" s="145">
        <v>3123.2</v>
      </c>
    </row>
    <row r="78" spans="4:26" x14ac:dyDescent="0.35">
      <c r="D78" s="790" t="s">
        <v>489</v>
      </c>
      <c r="E78" s="855">
        <f t="shared" ref="E78:M78" si="33">E71/E58</f>
        <v>0.96346896346896349</v>
      </c>
      <c r="F78" s="855">
        <f t="shared" si="33"/>
        <v>0.98201292275452579</v>
      </c>
      <c r="G78" s="855">
        <f t="shared" si="33"/>
        <v>1.0643412057178372</v>
      </c>
      <c r="H78" s="855">
        <f t="shared" si="33"/>
        <v>0.99066855085925942</v>
      </c>
      <c r="I78" s="855">
        <f t="shared" si="33"/>
        <v>0.95720410539692913</v>
      </c>
      <c r="J78" s="855">
        <f t="shared" si="33"/>
        <v>0.95720410539692913</v>
      </c>
      <c r="K78" s="855">
        <f t="shared" si="33"/>
        <v>0.95720410539692913</v>
      </c>
      <c r="L78" s="855">
        <f t="shared" si="33"/>
        <v>0.95720410539692913</v>
      </c>
      <c r="M78" s="838">
        <f t="shared" si="33"/>
        <v>0.95720410539692902</v>
      </c>
      <c r="T78" s="238"/>
    </row>
    <row r="79" spans="4:26" x14ac:dyDescent="0.35">
      <c r="D79" s="812" t="s">
        <v>494</v>
      </c>
      <c r="E79" s="635">
        <f t="shared" ref="E79:M79" si="34">E72/E62</f>
        <v>1.1377808148970701</v>
      </c>
      <c r="F79" s="635">
        <f t="shared" si="34"/>
        <v>1.1162940324915553</v>
      </c>
      <c r="G79" s="635">
        <f t="shared" si="34"/>
        <v>1.0874236641221375</v>
      </c>
      <c r="H79" s="635">
        <f t="shared" si="34"/>
        <v>1.1488766353547097</v>
      </c>
      <c r="I79" s="635">
        <f t="shared" si="34"/>
        <v>1.1165122822249154</v>
      </c>
      <c r="J79" s="635">
        <f t="shared" si="34"/>
        <v>1.1165122822249156</v>
      </c>
      <c r="K79" s="635">
        <f t="shared" si="34"/>
        <v>1.1165122822249154</v>
      </c>
      <c r="L79" s="635">
        <f t="shared" si="34"/>
        <v>1.1165122822249154</v>
      </c>
      <c r="M79" s="636">
        <f t="shared" si="34"/>
        <v>1.1165122822249154</v>
      </c>
    </row>
    <row r="80" spans="4:26" x14ac:dyDescent="0.35">
      <c r="D80" s="812" t="s">
        <v>105</v>
      </c>
      <c r="E80" s="635">
        <f t="shared" ref="E80:M80" si="35">E73/E63</f>
        <v>1.1005135730007336</v>
      </c>
      <c r="F80" s="635">
        <f t="shared" si="35"/>
        <v>1.0257913247362251</v>
      </c>
      <c r="G80" s="635">
        <f t="shared" si="35"/>
        <v>1.0280448717948718</v>
      </c>
      <c r="H80" s="635">
        <f t="shared" si="35"/>
        <v>1.1033176820667401</v>
      </c>
      <c r="I80" s="635">
        <f t="shared" si="35"/>
        <v>1.0800531914893619</v>
      </c>
      <c r="J80" s="635">
        <f t="shared" si="35"/>
        <v>1.0800531914893619</v>
      </c>
      <c r="K80" s="635">
        <f t="shared" si="35"/>
        <v>1.0800531914893619</v>
      </c>
      <c r="L80" s="635">
        <f t="shared" si="35"/>
        <v>1.0800531914893616</v>
      </c>
      <c r="M80" s="636">
        <f t="shared" si="35"/>
        <v>1.0800531914893619</v>
      </c>
    </row>
    <row r="81" spans="4:22" x14ac:dyDescent="0.35">
      <c r="D81" s="773" t="s">
        <v>257</v>
      </c>
      <c r="E81" s="775">
        <f t="shared" ref="E81:I81" si="36">E74/E66</f>
        <v>1.0161211529066927</v>
      </c>
      <c r="F81" s="775">
        <f t="shared" si="36"/>
        <v>0.95134665508253702</v>
      </c>
      <c r="G81" s="775">
        <f t="shared" si="36"/>
        <v>1.0396226415094341</v>
      </c>
      <c r="H81" s="775">
        <f t="shared" si="36"/>
        <v>0.82665243080862005</v>
      </c>
      <c r="I81" s="775">
        <f t="shared" si="36"/>
        <v>0.91605137607769016</v>
      </c>
      <c r="J81" s="775">
        <f t="shared" ref="J81:M81" si="37">J74/J64</f>
        <v>5.070585216487447</v>
      </c>
      <c r="K81" s="775">
        <f t="shared" si="37"/>
        <v>4.7851865183433464</v>
      </c>
      <c r="L81" s="775">
        <f t="shared" si="37"/>
        <v>5.2233610334789571</v>
      </c>
      <c r="M81" s="821">
        <f t="shared" si="37"/>
        <v>4.6636789848726075</v>
      </c>
    </row>
    <row r="83" spans="4:22" x14ac:dyDescent="0.35">
      <c r="D83" s="269"/>
      <c r="E83" s="233"/>
      <c r="F83" s="233"/>
      <c r="G83" s="233"/>
    </row>
    <row r="84" spans="4:22" x14ac:dyDescent="0.35">
      <c r="D84" s="249"/>
    </row>
    <row r="85" spans="4:22" ht="30" customHeight="1" x14ac:dyDescent="0.35">
      <c r="D85" s="829" t="s">
        <v>1967</v>
      </c>
      <c r="E85" s="666">
        <v>2018</v>
      </c>
      <c r="F85" s="754">
        <v>2019</v>
      </c>
      <c r="G85" s="754">
        <v>2020</v>
      </c>
      <c r="H85" s="825">
        <v>2021</v>
      </c>
      <c r="I85" s="754">
        <v>2022</v>
      </c>
      <c r="J85" s="754">
        <v>2023</v>
      </c>
      <c r="K85" s="757">
        <v>2024</v>
      </c>
      <c r="L85" s="757">
        <v>2025</v>
      </c>
      <c r="M85" s="822">
        <v>2026</v>
      </c>
    </row>
    <row r="86" spans="4:22" x14ac:dyDescent="0.35">
      <c r="D86" s="578" t="s">
        <v>1910</v>
      </c>
      <c r="E86" s="378">
        <v>14016.099999999999</v>
      </c>
      <c r="F86" s="378">
        <v>14604.2</v>
      </c>
      <c r="G86" s="378">
        <v>14711.300000000001</v>
      </c>
      <c r="H86" s="800">
        <v>21015.3</v>
      </c>
      <c r="I86" s="378">
        <v>21762.3</v>
      </c>
      <c r="J86" s="378">
        <v>23112</v>
      </c>
      <c r="K86" s="378">
        <v>24369</v>
      </c>
      <c r="L86" s="378">
        <v>25562.2</v>
      </c>
      <c r="M86" s="823">
        <v>26815.3</v>
      </c>
      <c r="N86" s="441">
        <v>28003.5</v>
      </c>
      <c r="O86" s="441">
        <v>29281.8</v>
      </c>
      <c r="P86" s="441">
        <v>30603</v>
      </c>
      <c r="Q86" s="441">
        <v>31928</v>
      </c>
      <c r="R86" s="441">
        <v>33261.4</v>
      </c>
      <c r="S86" s="441">
        <v>34629.4</v>
      </c>
      <c r="T86" s="441">
        <v>36043</v>
      </c>
      <c r="U86" s="441">
        <v>37506.6</v>
      </c>
      <c r="V86" s="441">
        <v>39046.400000000001</v>
      </c>
    </row>
    <row r="87" spans="4:22" x14ac:dyDescent="0.35">
      <c r="D87" s="812" t="s">
        <v>499</v>
      </c>
      <c r="E87" s="233">
        <v>8804</v>
      </c>
      <c r="F87" s="233">
        <v>9209</v>
      </c>
      <c r="G87" s="441">
        <v>9300</v>
      </c>
      <c r="H87" s="853">
        <v>10074.1</v>
      </c>
      <c r="I87" s="441">
        <v>10981.9</v>
      </c>
      <c r="J87" s="441">
        <v>11567.7</v>
      </c>
      <c r="K87" s="441">
        <v>12251.7</v>
      </c>
      <c r="L87" s="441">
        <v>12861.2</v>
      </c>
      <c r="M87" s="839">
        <v>13479</v>
      </c>
      <c r="N87" s="441">
        <v>14051.2</v>
      </c>
      <c r="O87" s="441">
        <v>14645.1</v>
      </c>
      <c r="P87" s="441">
        <v>15252.3</v>
      </c>
      <c r="Q87" s="441">
        <v>15861.9</v>
      </c>
      <c r="R87" s="441">
        <v>16483.3</v>
      </c>
      <c r="S87" s="441">
        <v>17122.599999999999</v>
      </c>
      <c r="T87" s="441">
        <v>17774.400000000001</v>
      </c>
      <c r="U87" s="441">
        <v>18450.599999999999</v>
      </c>
      <c r="V87" s="441">
        <v>19151.3</v>
      </c>
    </row>
    <row r="88" spans="4:22" x14ac:dyDescent="0.35">
      <c r="D88" s="812" t="s">
        <v>500</v>
      </c>
      <c r="E88" s="233">
        <v>13844</v>
      </c>
      <c r="F88" s="233">
        <v>14403</v>
      </c>
      <c r="G88" s="441">
        <v>14201</v>
      </c>
      <c r="H88" s="853">
        <v>15545.1</v>
      </c>
      <c r="I88" s="441">
        <v>17367.8</v>
      </c>
      <c r="J88" s="441">
        <v>18557.3</v>
      </c>
      <c r="K88" s="441">
        <v>19551.5</v>
      </c>
      <c r="L88" s="441">
        <v>20519.400000000001</v>
      </c>
      <c r="M88" s="839">
        <v>21319.200000000001</v>
      </c>
      <c r="N88" s="441">
        <v>22072.799999999999</v>
      </c>
      <c r="O88" s="441">
        <v>22860.5</v>
      </c>
      <c r="P88" s="441">
        <v>23741.7</v>
      </c>
      <c r="Q88" s="441">
        <v>24698.799999999999</v>
      </c>
      <c r="R88" s="441">
        <v>25739.1</v>
      </c>
      <c r="S88" s="441">
        <v>26824.9</v>
      </c>
      <c r="T88" s="441">
        <v>27957.200000000001</v>
      </c>
      <c r="U88" s="441">
        <v>29140.3</v>
      </c>
      <c r="V88" s="441">
        <v>30362.400000000001</v>
      </c>
    </row>
    <row r="89" spans="4:22" x14ac:dyDescent="0.35">
      <c r="D89" s="773" t="s">
        <v>1909</v>
      </c>
      <c r="E89" s="783">
        <v>2335</v>
      </c>
      <c r="F89" s="783">
        <v>2442</v>
      </c>
      <c r="G89" s="783">
        <v>2392</v>
      </c>
      <c r="H89" s="758">
        <v>2796</v>
      </c>
      <c r="I89" s="783">
        <v>3262.7</v>
      </c>
      <c r="J89" s="783">
        <v>3457.5</v>
      </c>
      <c r="K89" s="783">
        <v>3764.8</v>
      </c>
      <c r="L89" s="783">
        <v>3887.7</v>
      </c>
      <c r="M89" s="830">
        <v>3921.8</v>
      </c>
      <c r="N89" s="441">
        <v>3946.5</v>
      </c>
      <c r="O89" s="441">
        <v>3943.2</v>
      </c>
      <c r="P89" s="441">
        <v>3951.3</v>
      </c>
      <c r="Q89" s="441">
        <v>4036.5</v>
      </c>
      <c r="R89" s="441">
        <v>4193.8</v>
      </c>
      <c r="S89" s="441">
        <v>4390.6000000000004</v>
      </c>
      <c r="T89" s="441">
        <v>4585.7</v>
      </c>
      <c r="U89" s="441">
        <v>4776.3999999999996</v>
      </c>
      <c r="V89" s="441">
        <v>4969</v>
      </c>
    </row>
    <row r="91" spans="4:22" x14ac:dyDescent="0.35">
      <c r="D91" s="249" t="s">
        <v>501</v>
      </c>
    </row>
    <row r="92" spans="4:22" x14ac:dyDescent="0.35">
      <c r="D92" s="617" t="s">
        <v>502</v>
      </c>
      <c r="E92" s="720">
        <v>2018</v>
      </c>
      <c r="F92" s="754">
        <v>2019</v>
      </c>
      <c r="G92" s="754">
        <v>2020</v>
      </c>
      <c r="H92" s="825">
        <v>2021</v>
      </c>
      <c r="I92" s="754">
        <v>2022</v>
      </c>
      <c r="J92" s="754">
        <v>2023</v>
      </c>
      <c r="K92" s="757">
        <v>2024</v>
      </c>
      <c r="L92" s="757">
        <v>2025</v>
      </c>
      <c r="M92" s="822">
        <v>2026</v>
      </c>
    </row>
    <row r="93" spans="4:22" x14ac:dyDescent="0.35">
      <c r="D93" s="848" t="s">
        <v>489</v>
      </c>
      <c r="E93" s="849">
        <f t="shared" ref="E93:M93" si="38">E58/E86</f>
        <v>0.12011187134794987</v>
      </c>
      <c r="F93" s="849">
        <f t="shared" si="38"/>
        <v>0.11763054463784391</v>
      </c>
      <c r="G93" s="849">
        <f t="shared" si="38"/>
        <v>0.10937170746297063</v>
      </c>
      <c r="H93" s="849">
        <f t="shared" si="38"/>
        <v>9.7280409987009472E-2</v>
      </c>
      <c r="I93" s="849">
        <f t="shared" si="38"/>
        <v>0.12094976174393332</v>
      </c>
      <c r="J93" s="849">
        <f t="shared" si="38"/>
        <v>9.417103669089652E-2</v>
      </c>
      <c r="K93" s="849">
        <f t="shared" si="38"/>
        <v>9.9555459805490576E-2</v>
      </c>
      <c r="L93" s="849">
        <f t="shared" si="38"/>
        <v>0.10137398189514205</v>
      </c>
      <c r="M93" s="849">
        <f t="shared" si="38"/>
        <v>9.8914351135359305E-2</v>
      </c>
    </row>
    <row r="94" spans="4:22" x14ac:dyDescent="0.35">
      <c r="D94" s="860" t="s">
        <v>490</v>
      </c>
      <c r="E94" s="808">
        <f t="shared" ref="E94:M94" si="39">E62/E87</f>
        <v>0.13297364834166289</v>
      </c>
      <c r="F94" s="808">
        <f t="shared" si="39"/>
        <v>0.13502008904332718</v>
      </c>
      <c r="G94" s="808">
        <f t="shared" si="39"/>
        <v>0.14086021505376345</v>
      </c>
      <c r="H94" s="808">
        <f t="shared" si="39"/>
        <v>0.13044222312663165</v>
      </c>
      <c r="I94" s="808">
        <f t="shared" si="39"/>
        <v>0.13508828162704087</v>
      </c>
      <c r="J94" s="808">
        <f t="shared" si="39"/>
        <v>0.13956586011048003</v>
      </c>
      <c r="K94" s="808">
        <f t="shared" si="39"/>
        <v>0.13948480619016135</v>
      </c>
      <c r="L94" s="808">
        <f t="shared" si="39"/>
        <v>0.13673856249805616</v>
      </c>
      <c r="M94" s="808">
        <f t="shared" si="39"/>
        <v>0.13652756139179464</v>
      </c>
    </row>
    <row r="95" spans="4:22" x14ac:dyDescent="0.35">
      <c r="D95" s="812" t="s">
        <v>503</v>
      </c>
      <c r="E95" s="808">
        <f t="shared" ref="E95:M95" si="40">E63/E88</f>
        <v>9.8454203987286912E-3</v>
      </c>
      <c r="F95" s="808">
        <f t="shared" si="40"/>
        <v>1.1844754565021176E-2</v>
      </c>
      <c r="G95" s="808">
        <f t="shared" si="40"/>
        <v>1.0985141891416098E-2</v>
      </c>
      <c r="H95" s="808">
        <f t="shared" si="40"/>
        <v>9.9876488411139216E-3</v>
      </c>
      <c r="I95" s="808">
        <f t="shared" si="40"/>
        <v>1.0824629486751345E-2</v>
      </c>
      <c r="J95" s="808">
        <f t="shared" si="40"/>
        <v>8.4139395278407976E-3</v>
      </c>
      <c r="K95" s="808">
        <f t="shared" si="40"/>
        <v>5.3482341508324172E-3</v>
      </c>
      <c r="L95" s="808">
        <f t="shared" si="40"/>
        <v>4.7556946109535356E-3</v>
      </c>
      <c r="M95" s="808">
        <f t="shared" si="40"/>
        <v>4.9128016060640172E-3</v>
      </c>
    </row>
    <row r="96" spans="4:22" x14ac:dyDescent="0.35">
      <c r="D96" s="861" t="s">
        <v>106</v>
      </c>
      <c r="E96" s="777">
        <f t="shared" ref="E96:L96" si="41">E66/E89</f>
        <v>8.7665952890792292E-2</v>
      </c>
      <c r="F96" s="777">
        <f t="shared" si="41"/>
        <v>9.4266994266994267E-2</v>
      </c>
      <c r="G96" s="777">
        <f t="shared" si="41"/>
        <v>8.8628762541806017E-2</v>
      </c>
      <c r="H96" s="777">
        <f t="shared" si="41"/>
        <v>0.13298676680972818</v>
      </c>
      <c r="I96" s="777">
        <f t="shared" si="41"/>
        <v>0.13021945014864991</v>
      </c>
      <c r="J96" s="777">
        <f t="shared" si="41"/>
        <v>0.12135473608098336</v>
      </c>
      <c r="K96" s="777">
        <f t="shared" si="41"/>
        <v>0.14074240331491711</v>
      </c>
      <c r="L96" s="777">
        <f t="shared" si="41"/>
        <v>0.1347020088998637</v>
      </c>
      <c r="M96" s="777">
        <f t="shared" ref="M96" si="42">M66/M89</f>
        <v>0.12625503595287876</v>
      </c>
    </row>
    <row r="98" spans="4:72" x14ac:dyDescent="0.35">
      <c r="D98" s="249" t="s">
        <v>504</v>
      </c>
    </row>
    <row r="99" spans="4:72" x14ac:dyDescent="0.35">
      <c r="D99" s="865" t="s">
        <v>351</v>
      </c>
    </row>
    <row r="100" spans="4:72" x14ac:dyDescent="0.35">
      <c r="D100" s="617" t="s">
        <v>505</v>
      </c>
      <c r="E100" s="720">
        <v>2018</v>
      </c>
      <c r="F100" s="754">
        <v>2019</v>
      </c>
      <c r="G100" s="825">
        <v>2020</v>
      </c>
      <c r="H100" s="754">
        <v>2021</v>
      </c>
      <c r="I100" s="754">
        <v>2022</v>
      </c>
      <c r="J100" s="754">
        <v>2023</v>
      </c>
      <c r="K100" s="757">
        <v>2024</v>
      </c>
      <c r="L100" s="757">
        <v>2025</v>
      </c>
      <c r="M100" s="822">
        <v>2026</v>
      </c>
    </row>
    <row r="101" spans="4:72" ht="20.25" customHeight="1" x14ac:dyDescent="0.35">
      <c r="D101" s="848" t="s">
        <v>489</v>
      </c>
      <c r="E101" s="849">
        <f t="shared" ref="E101:G104" si="43">E93*E78</f>
        <v>0.11572406018792676</v>
      </c>
      <c r="F101" s="849">
        <f t="shared" si="43"/>
        <v>0.11551471494501581</v>
      </c>
      <c r="G101" s="849">
        <f t="shared" si="43"/>
        <v>0.11640881499255673</v>
      </c>
      <c r="H101" s="849">
        <f>N120</f>
        <v>0.13102202825485806</v>
      </c>
      <c r="I101" s="849">
        <f>H101</f>
        <v>0.13102202825485806</v>
      </c>
      <c r="J101" s="849">
        <f t="shared" ref="J101" si="44">I101</f>
        <v>0.13102202825485806</v>
      </c>
      <c r="K101" s="849">
        <f>J101</f>
        <v>0.13102202825485806</v>
      </c>
      <c r="L101" s="849">
        <f>K101</f>
        <v>0.13102202825485806</v>
      </c>
      <c r="M101" s="850"/>
      <c r="N101" s="862"/>
      <c r="O101" s="808"/>
      <c r="P101" s="808"/>
      <c r="Q101" s="808"/>
      <c r="R101" s="808"/>
      <c r="S101" s="808"/>
      <c r="T101" s="808"/>
      <c r="U101" s="808"/>
      <c r="V101" s="808"/>
      <c r="W101" s="808"/>
      <c r="X101" s="808"/>
      <c r="Y101" s="808"/>
    </row>
    <row r="102" spans="4:72" ht="18.75" customHeight="1" x14ac:dyDescent="0.35">
      <c r="D102" s="860" t="s">
        <v>490</v>
      </c>
      <c r="E102" s="808">
        <f t="shared" si="43"/>
        <v>0.15129486597001363</v>
      </c>
      <c r="F102" s="808">
        <f t="shared" si="43"/>
        <v>0.15072211966554458</v>
      </c>
      <c r="G102" s="808">
        <f t="shared" si="43"/>
        <v>0.15317473118279573</v>
      </c>
      <c r="H102" s="808">
        <f>N122</f>
        <v>0.14952123741713724</v>
      </c>
      <c r="I102" s="808">
        <f>H102</f>
        <v>0.14952123741713724</v>
      </c>
      <c r="J102" s="808">
        <f>I102</f>
        <v>0.14952123741713724</v>
      </c>
      <c r="K102" s="808">
        <f t="shared" ref="K102:L102" si="45">J102</f>
        <v>0.14952123741713724</v>
      </c>
      <c r="L102" s="808">
        <f t="shared" si="45"/>
        <v>0.14952123741713724</v>
      </c>
      <c r="M102" s="851"/>
      <c r="N102" s="862"/>
      <c r="O102" s="808"/>
      <c r="P102" s="808"/>
      <c r="Q102" s="808"/>
      <c r="R102" s="808"/>
      <c r="S102" s="808"/>
      <c r="T102" s="808"/>
      <c r="U102" s="808"/>
      <c r="V102" s="808"/>
      <c r="W102" s="808"/>
      <c r="X102" s="808"/>
      <c r="Y102" s="808"/>
    </row>
    <row r="103" spans="4:72" ht="19.399999999999999" customHeight="1" x14ac:dyDescent="0.35">
      <c r="D103" s="812" t="s">
        <v>105</v>
      </c>
      <c r="E103" s="808">
        <f t="shared" si="43"/>
        <v>1.0835018780699219E-2</v>
      </c>
      <c r="F103" s="808">
        <f t="shared" si="43"/>
        <v>1.2150246476428523E-2</v>
      </c>
      <c r="G103" s="808">
        <f t="shared" si="43"/>
        <v>1.1293218787409338E-2</v>
      </c>
      <c r="H103" s="808">
        <f>N123</f>
        <v>1.1269768922909786E-2</v>
      </c>
      <c r="I103" s="808">
        <f>AVERAGE($F80:$G80)*I95</f>
        <v>1.1116007926963869E-2</v>
      </c>
      <c r="J103" s="808">
        <f>AVERAGE($F80:$G80)*J95</f>
        <v>8.6404267788515975E-3</v>
      </c>
      <c r="K103" s="808">
        <f>J103</f>
        <v>8.6404267788515975E-3</v>
      </c>
      <c r="L103" s="808">
        <f>K103</f>
        <v>8.6404267788515975E-3</v>
      </c>
      <c r="M103" s="851"/>
      <c r="N103" s="862"/>
      <c r="O103" s="808"/>
      <c r="P103" s="808"/>
      <c r="Q103" s="808"/>
      <c r="R103" s="808"/>
      <c r="S103" s="808"/>
      <c r="T103" s="808"/>
      <c r="U103" s="808"/>
      <c r="V103" s="808"/>
      <c r="W103" s="808"/>
      <c r="X103" s="808"/>
      <c r="Y103" s="808"/>
    </row>
    <row r="104" spans="4:72" ht="19.399999999999999" customHeight="1" x14ac:dyDescent="0.35">
      <c r="D104" s="861" t="s">
        <v>106</v>
      </c>
      <c r="E104" s="777">
        <f t="shared" si="43"/>
        <v>8.9079229122055667E-2</v>
      </c>
      <c r="F104" s="777">
        <f t="shared" si="43"/>
        <v>8.9680589680589687E-2</v>
      </c>
      <c r="G104" s="777">
        <f t="shared" si="43"/>
        <v>9.2140468227424749E-2</v>
      </c>
      <c r="H104" s="777">
        <f>M124</f>
        <v>0.11887481034977652</v>
      </c>
      <c r="I104" s="777">
        <f>N124</f>
        <v>0.12443013242636948</v>
      </c>
      <c r="J104" s="777">
        <f>I104</f>
        <v>0.12443013242636948</v>
      </c>
      <c r="K104" s="777">
        <f>J104</f>
        <v>0.12443013242636948</v>
      </c>
      <c r="L104" s="777">
        <f>K104</f>
        <v>0.12443013242636948</v>
      </c>
      <c r="M104" s="852"/>
      <c r="N104" s="862"/>
      <c r="O104" s="808"/>
      <c r="P104" s="808"/>
      <c r="Q104" s="808"/>
      <c r="R104" s="808"/>
      <c r="S104" s="808"/>
      <c r="T104" s="808"/>
      <c r="U104" s="808"/>
      <c r="V104" s="808"/>
      <c r="W104" s="808"/>
      <c r="X104" s="808"/>
      <c r="Y104" s="808"/>
    </row>
    <row r="105" spans="4:72" x14ac:dyDescent="0.35">
      <c r="E105" s="693"/>
      <c r="F105" s="693"/>
      <c r="G105" s="693"/>
      <c r="H105" s="693"/>
      <c r="I105" s="693"/>
      <c r="J105" s="693"/>
      <c r="K105" s="693"/>
      <c r="L105" s="693"/>
    </row>
    <row r="106" spans="4:72" x14ac:dyDescent="0.35">
      <c r="D106" s="864" t="s">
        <v>364</v>
      </c>
      <c r="E106" s="808"/>
      <c r="F106" s="808"/>
      <c r="G106" s="808"/>
      <c r="H106" s="808"/>
      <c r="I106" s="808"/>
      <c r="J106" s="808"/>
      <c r="K106" s="808"/>
      <c r="L106" s="808"/>
      <c r="M106" s="808"/>
      <c r="N106" s="808"/>
      <c r="O106" s="808"/>
      <c r="P106" s="808"/>
      <c r="Q106" s="808"/>
      <c r="R106" s="808"/>
      <c r="S106" s="808"/>
      <c r="T106" s="808"/>
      <c r="U106" s="808"/>
      <c r="V106" s="808"/>
      <c r="W106" s="808"/>
      <c r="X106" s="808"/>
      <c r="Y106" s="808"/>
    </row>
    <row r="107" spans="4:72" x14ac:dyDescent="0.35">
      <c r="D107" s="1405" t="s">
        <v>1968</v>
      </c>
      <c r="E107" s="1420"/>
      <c r="F107" s="1338">
        <v>2019</v>
      </c>
      <c r="G107" s="1339"/>
      <c r="H107" s="1340"/>
      <c r="I107" s="1338">
        <v>2020</v>
      </c>
      <c r="J107" s="1339"/>
      <c r="K107" s="1339"/>
      <c r="L107" s="1340"/>
      <c r="M107" s="1338">
        <v>2021</v>
      </c>
      <c r="N107" s="1339"/>
      <c r="O107" s="1339"/>
      <c r="P107" s="1339"/>
      <c r="Q107" s="1338">
        <v>2022</v>
      </c>
      <c r="R107" s="1346"/>
      <c r="S107" s="1346"/>
      <c r="T107" s="1340"/>
      <c r="U107" s="302"/>
      <c r="V107" s="302">
        <v>2023</v>
      </c>
      <c r="W107" s="442"/>
      <c r="X107" s="309"/>
      <c r="Y107" s="460"/>
      <c r="Z107" s="442">
        <v>2024</v>
      </c>
      <c r="AA107" s="442"/>
      <c r="AB107" s="335"/>
      <c r="AC107" s="1325">
        <v>2025</v>
      </c>
      <c r="AD107" s="1331"/>
      <c r="AE107" s="1331"/>
      <c r="AF107" s="1330"/>
      <c r="AG107" s="1325">
        <v>2026</v>
      </c>
      <c r="AH107" s="1331"/>
      <c r="AI107" s="1331"/>
      <c r="AJ107" s="1330"/>
      <c r="AK107" s="1325">
        <v>2027</v>
      </c>
      <c r="AL107" s="1331"/>
      <c r="AM107" s="1331"/>
      <c r="AN107" s="1330"/>
    </row>
    <row r="108" spans="4:72" x14ac:dyDescent="0.35">
      <c r="D108" s="1421"/>
      <c r="E108" s="1422"/>
      <c r="F108" s="225" t="s">
        <v>283</v>
      </c>
      <c r="G108" s="226" t="s">
        <v>238</v>
      </c>
      <c r="H108" s="232" t="s">
        <v>281</v>
      </c>
      <c r="I108" s="225" t="s">
        <v>282</v>
      </c>
      <c r="J108" s="226" t="s">
        <v>283</v>
      </c>
      <c r="K108" s="226" t="s">
        <v>238</v>
      </c>
      <c r="L108" s="232" t="s">
        <v>281</v>
      </c>
      <c r="M108" s="225" t="s">
        <v>282</v>
      </c>
      <c r="N108" s="226" t="s">
        <v>283</v>
      </c>
      <c r="O108" s="226" t="s">
        <v>238</v>
      </c>
      <c r="P108" s="226" t="s">
        <v>281</v>
      </c>
      <c r="Q108" s="225" t="s">
        <v>282</v>
      </c>
      <c r="R108" s="226" t="s">
        <v>283</v>
      </c>
      <c r="S108" s="226" t="s">
        <v>238</v>
      </c>
      <c r="T108" s="232" t="s">
        <v>281</v>
      </c>
      <c r="U108" s="226" t="s">
        <v>282</v>
      </c>
      <c r="V108" s="287" t="s">
        <v>283</v>
      </c>
      <c r="W108" s="287" t="s">
        <v>238</v>
      </c>
      <c r="X108" s="285" t="s">
        <v>281</v>
      </c>
      <c r="Y108" s="286" t="s">
        <v>282</v>
      </c>
      <c r="Z108" s="292" t="s">
        <v>283</v>
      </c>
      <c r="AA108" s="287" t="s">
        <v>238</v>
      </c>
      <c r="AB108" s="273" t="s">
        <v>281</v>
      </c>
      <c r="AC108" s="299" t="s">
        <v>282</v>
      </c>
      <c r="AD108" s="271" t="s">
        <v>283</v>
      </c>
      <c r="AE108" s="273" t="s">
        <v>238</v>
      </c>
      <c r="AF108" s="273" t="s">
        <v>281</v>
      </c>
      <c r="AG108" s="299" t="s">
        <v>282</v>
      </c>
      <c r="AH108" s="271" t="s">
        <v>283</v>
      </c>
      <c r="AI108" s="273" t="s">
        <v>238</v>
      </c>
      <c r="AJ108" s="301" t="s">
        <v>281</v>
      </c>
      <c r="AK108" s="299" t="s">
        <v>282</v>
      </c>
      <c r="AL108" s="271" t="s">
        <v>283</v>
      </c>
      <c r="AM108" s="273" t="s">
        <v>238</v>
      </c>
      <c r="AN108" s="301" t="s">
        <v>281</v>
      </c>
    </row>
    <row r="109" spans="4:72" x14ac:dyDescent="0.35">
      <c r="D109" s="868" t="s">
        <v>498</v>
      </c>
      <c r="E109" s="759"/>
      <c r="F109" s="378">
        <f t="shared" ref="F109:AC109" si="46">F110+F111</f>
        <v>0</v>
      </c>
      <c r="G109" s="378">
        <f t="shared" si="46"/>
        <v>0</v>
      </c>
      <c r="H109" s="378">
        <f t="shared" si="46"/>
        <v>0</v>
      </c>
      <c r="I109" s="378">
        <f t="shared" si="46"/>
        <v>15134.800000000001</v>
      </c>
      <c r="J109" s="378">
        <f t="shared" si="46"/>
        <v>14265.5</v>
      </c>
      <c r="K109" s="378">
        <f t="shared" si="46"/>
        <v>14943.5</v>
      </c>
      <c r="L109" s="378">
        <f t="shared" si="46"/>
        <v>15319.300000000001</v>
      </c>
      <c r="M109" s="378">
        <f t="shared" si="46"/>
        <v>15399.800000000001</v>
      </c>
      <c r="N109" s="378">
        <f t="shared" si="46"/>
        <v>15959.6</v>
      </c>
      <c r="O109" s="378">
        <f t="shared" si="46"/>
        <v>16325.6</v>
      </c>
      <c r="P109" s="378">
        <f t="shared" si="46"/>
        <v>16677.3</v>
      </c>
      <c r="Q109" s="378">
        <f t="shared" si="46"/>
        <v>16874</v>
      </c>
      <c r="R109" s="378">
        <f t="shared" si="46"/>
        <v>17129</v>
      </c>
      <c r="S109" s="378">
        <f t="shared" si="46"/>
        <v>17573.3</v>
      </c>
      <c r="T109" s="884">
        <f t="shared" si="46"/>
        <v>17787.8</v>
      </c>
      <c r="U109" s="378">
        <f t="shared" si="46"/>
        <v>18108.900000000001</v>
      </c>
      <c r="V109" s="378">
        <f t="shared" si="46"/>
        <v>18368.099999999999</v>
      </c>
      <c r="W109" s="378">
        <f>W110+W111</f>
        <v>18609.7</v>
      </c>
      <c r="X109" s="378">
        <f t="shared" si="46"/>
        <v>18858.199999999997</v>
      </c>
      <c r="Y109" s="378">
        <f t="shared" si="46"/>
        <v>19208.2</v>
      </c>
      <c r="Z109" s="378">
        <f t="shared" si="46"/>
        <v>19348.900000000001</v>
      </c>
      <c r="AA109" s="378">
        <f>AA110+AA111</f>
        <v>19461.599999999999</v>
      </c>
      <c r="AB109" s="762">
        <f t="shared" si="46"/>
        <v>19750.7</v>
      </c>
      <c r="AC109" s="762">
        <f t="shared" si="46"/>
        <v>20062.900000000001</v>
      </c>
      <c r="AD109" s="762">
        <f t="shared" ref="AD109:AN109" si="47">AD110+AD111</f>
        <v>20347.099999999999</v>
      </c>
      <c r="AE109" s="762">
        <f t="shared" si="47"/>
        <v>20591.8</v>
      </c>
      <c r="AF109" s="762">
        <f t="shared" si="47"/>
        <v>20843.599999999999</v>
      </c>
      <c r="AG109" s="762">
        <f t="shared" si="47"/>
        <v>21079</v>
      </c>
      <c r="AH109" s="761">
        <f t="shared" si="47"/>
        <v>21305.200000000001</v>
      </c>
      <c r="AI109" s="761">
        <f t="shared" si="47"/>
        <v>21531.199999999997</v>
      </c>
      <c r="AJ109" s="761">
        <f t="shared" si="47"/>
        <v>21754.199999999997</v>
      </c>
      <c r="AK109" s="761">
        <f t="shared" si="47"/>
        <v>21986.5</v>
      </c>
      <c r="AL109" s="761">
        <f t="shared" si="47"/>
        <v>22217.4</v>
      </c>
      <c r="AM109" s="761">
        <f t="shared" si="47"/>
        <v>22453.9</v>
      </c>
      <c r="AN109" s="761">
        <f t="shared" si="47"/>
        <v>22696.2</v>
      </c>
    </row>
    <row r="110" spans="4:72" x14ac:dyDescent="0.35">
      <c r="D110" s="683" t="s">
        <v>499</v>
      </c>
      <c r="E110" s="613"/>
      <c r="F110" s="441"/>
      <c r="G110" s="441"/>
      <c r="H110" s="441"/>
      <c r="I110" s="238">
        <v>9624.7000000000007</v>
      </c>
      <c r="J110" s="462">
        <v>8995.7000000000007</v>
      </c>
      <c r="K110" s="462">
        <v>9425.4</v>
      </c>
      <c r="L110" s="462">
        <v>9783.7000000000007</v>
      </c>
      <c r="M110" s="462">
        <v>9878.7000000000007</v>
      </c>
      <c r="N110" s="462">
        <v>10170</v>
      </c>
      <c r="O110" s="462">
        <v>10447.700000000001</v>
      </c>
      <c r="P110" s="462">
        <v>10754.1</v>
      </c>
      <c r="Q110" s="462">
        <v>10892.8</v>
      </c>
      <c r="R110" s="462">
        <v>10995.9</v>
      </c>
      <c r="S110" s="462">
        <v>11278.9</v>
      </c>
      <c r="T110" s="462">
        <v>11325</v>
      </c>
      <c r="U110" s="462">
        <v>11480.7</v>
      </c>
      <c r="V110" s="462">
        <v>11641</v>
      </c>
      <c r="W110" s="462">
        <v>11824</v>
      </c>
      <c r="X110" s="462">
        <v>11955.3</v>
      </c>
      <c r="Y110" s="462">
        <v>12251</v>
      </c>
      <c r="Z110" s="462">
        <v>12343</v>
      </c>
      <c r="AA110" s="462">
        <v>12457.6</v>
      </c>
      <c r="AB110" s="674">
        <v>12613.1</v>
      </c>
      <c r="AC110" s="674">
        <v>12784.3</v>
      </c>
      <c r="AD110" s="674">
        <v>12944.6</v>
      </c>
      <c r="AE110" s="674">
        <v>13103</v>
      </c>
      <c r="AF110" s="674">
        <v>13259.9</v>
      </c>
      <c r="AG110" s="674">
        <v>13408.7</v>
      </c>
      <c r="AH110" s="229">
        <v>13552.4</v>
      </c>
      <c r="AI110" s="229">
        <v>13694.8</v>
      </c>
      <c r="AJ110" s="229">
        <v>13834.8</v>
      </c>
      <c r="AK110">
        <v>13978</v>
      </c>
      <c r="AL110">
        <v>14122.6</v>
      </c>
      <c r="AM110">
        <v>14269.5</v>
      </c>
      <c r="AN110">
        <v>14417.7</v>
      </c>
      <c r="AO110">
        <v>14568.8</v>
      </c>
      <c r="AP110">
        <v>14720.6</v>
      </c>
      <c r="AQ110">
        <v>14873.1</v>
      </c>
      <c r="AR110">
        <v>15023</v>
      </c>
      <c r="AS110">
        <v>15175.6</v>
      </c>
      <c r="AT110">
        <v>15328.8</v>
      </c>
      <c r="AU110">
        <v>15482.1</v>
      </c>
      <c r="AV110">
        <v>15630.6</v>
      </c>
      <c r="AW110">
        <v>15784.3</v>
      </c>
      <c r="AX110">
        <v>15938.8</v>
      </c>
      <c r="AY110">
        <v>16094.2</v>
      </c>
      <c r="AZ110">
        <v>16245.7</v>
      </c>
      <c r="BA110">
        <v>16403.3</v>
      </c>
      <c r="BB110">
        <v>16562.099999999999</v>
      </c>
      <c r="BC110">
        <v>16722.099999999999</v>
      </c>
      <c r="BD110">
        <v>16878.099999999999</v>
      </c>
      <c r="BE110">
        <v>17040.8</v>
      </c>
      <c r="BF110">
        <v>17203.900000000001</v>
      </c>
      <c r="BG110">
        <v>17367.599999999999</v>
      </c>
      <c r="BH110">
        <v>17525.2</v>
      </c>
      <c r="BI110">
        <v>17689.599999999999</v>
      </c>
      <c r="BJ110">
        <v>17856.900000000001</v>
      </c>
      <c r="BK110">
        <v>18026</v>
      </c>
      <c r="BL110">
        <v>18191.8</v>
      </c>
      <c r="BM110">
        <v>18363.7</v>
      </c>
      <c r="BN110">
        <v>18536.5</v>
      </c>
      <c r="BO110">
        <v>18710.3</v>
      </c>
      <c r="BP110">
        <v>18885.3</v>
      </c>
      <c r="BQ110">
        <v>19061.5</v>
      </c>
      <c r="BR110">
        <v>19239.3</v>
      </c>
      <c r="BS110">
        <v>19419.2</v>
      </c>
      <c r="BT110">
        <v>19601.3</v>
      </c>
    </row>
    <row r="111" spans="4:72" x14ac:dyDescent="0.35">
      <c r="D111" s="275" t="s">
        <v>890</v>
      </c>
      <c r="E111" s="576"/>
      <c r="F111" s="441"/>
      <c r="G111" s="441"/>
      <c r="H111" s="441"/>
      <c r="I111" s="462">
        <v>5510.1</v>
      </c>
      <c r="J111" s="462">
        <v>5269.8</v>
      </c>
      <c r="K111" s="462">
        <v>5518.1</v>
      </c>
      <c r="L111" s="462">
        <v>5535.6</v>
      </c>
      <c r="M111" s="462">
        <v>5521.1</v>
      </c>
      <c r="N111" s="462">
        <v>5789.6</v>
      </c>
      <c r="O111" s="462">
        <v>5877.9</v>
      </c>
      <c r="P111" s="462">
        <v>5923.2</v>
      </c>
      <c r="Q111" s="462">
        <v>5981.2</v>
      </c>
      <c r="R111" s="462">
        <v>6133.1</v>
      </c>
      <c r="S111" s="462">
        <v>6294.4</v>
      </c>
      <c r="T111" s="462">
        <v>6462.8</v>
      </c>
      <c r="U111" s="462">
        <v>6628.2</v>
      </c>
      <c r="V111" s="462">
        <v>6727.1</v>
      </c>
      <c r="W111" s="462">
        <v>6785.7</v>
      </c>
      <c r="X111" s="462">
        <v>6902.9</v>
      </c>
      <c r="Y111" s="462">
        <v>6957.2</v>
      </c>
      <c r="Z111" s="462">
        <v>7005.9</v>
      </c>
      <c r="AA111" s="462">
        <v>7004</v>
      </c>
      <c r="AB111" s="674">
        <v>7137.6</v>
      </c>
      <c r="AC111" s="674">
        <v>7278.6</v>
      </c>
      <c r="AD111" s="674">
        <v>7402.5</v>
      </c>
      <c r="AE111" s="674">
        <v>7488.8</v>
      </c>
      <c r="AF111" s="674">
        <v>7583.7</v>
      </c>
      <c r="AG111" s="674">
        <v>7670.3</v>
      </c>
      <c r="AH111" s="229">
        <v>7752.8</v>
      </c>
      <c r="AI111" s="229">
        <v>7836.4</v>
      </c>
      <c r="AJ111" s="229">
        <v>7919.4</v>
      </c>
      <c r="AK111">
        <v>8008.5</v>
      </c>
      <c r="AL111">
        <v>8094.8</v>
      </c>
      <c r="AM111">
        <v>8184.4</v>
      </c>
      <c r="AN111">
        <v>8278.5</v>
      </c>
      <c r="AO111">
        <v>8381</v>
      </c>
      <c r="AP111">
        <v>8484.2999999999993</v>
      </c>
      <c r="AQ111">
        <v>8587.9</v>
      </c>
      <c r="AR111">
        <v>8689.6</v>
      </c>
      <c r="AS111">
        <v>8790</v>
      </c>
      <c r="AT111">
        <v>8887.1</v>
      </c>
      <c r="AU111">
        <v>8983.2000000000007</v>
      </c>
      <c r="AV111">
        <v>9079.1</v>
      </c>
      <c r="AW111">
        <v>9175.2999999999993</v>
      </c>
      <c r="AX111">
        <v>9270.2999999999993</v>
      </c>
      <c r="AY111">
        <v>9364.2999999999993</v>
      </c>
      <c r="AZ111">
        <v>9459.7999999999993</v>
      </c>
      <c r="BA111">
        <v>9539.6</v>
      </c>
      <c r="BB111">
        <v>9624.2000000000007</v>
      </c>
      <c r="BC111">
        <v>9707.2999999999993</v>
      </c>
      <c r="BD111">
        <v>9809.1</v>
      </c>
      <c r="BE111">
        <v>9898.9</v>
      </c>
      <c r="BF111">
        <v>9994.7999999999993</v>
      </c>
      <c r="BG111">
        <v>10090.700000000001</v>
      </c>
      <c r="BH111">
        <v>10185.200000000001</v>
      </c>
      <c r="BI111">
        <v>10278.9</v>
      </c>
      <c r="BJ111">
        <v>10371</v>
      </c>
      <c r="BK111">
        <v>10463</v>
      </c>
      <c r="BL111">
        <v>10568.7</v>
      </c>
      <c r="BM111">
        <v>10678.3</v>
      </c>
      <c r="BN111">
        <v>10787.6</v>
      </c>
      <c r="BO111">
        <v>10896.9</v>
      </c>
      <c r="BP111">
        <v>11005</v>
      </c>
      <c r="BQ111">
        <v>11113.9</v>
      </c>
      <c r="BR111">
        <v>11223.1</v>
      </c>
      <c r="BS111">
        <v>11332.5</v>
      </c>
      <c r="BT111">
        <v>11442.4</v>
      </c>
    </row>
    <row r="112" spans="4:72" x14ac:dyDescent="0.35">
      <c r="D112" s="275" t="s">
        <v>500</v>
      </c>
      <c r="E112" s="576"/>
      <c r="F112" s="441"/>
      <c r="G112" s="441"/>
      <c r="H112" s="441"/>
      <c r="I112" s="462">
        <v>14440.2</v>
      </c>
      <c r="J112" s="462">
        <v>13049.8</v>
      </c>
      <c r="K112" s="462">
        <v>14388.7</v>
      </c>
      <c r="L112" s="462">
        <v>14586</v>
      </c>
      <c r="M112" s="462">
        <v>15217.7</v>
      </c>
      <c r="N112" s="462">
        <v>15950.9</v>
      </c>
      <c r="O112" s="462">
        <v>16285.1</v>
      </c>
      <c r="P112" s="462">
        <v>16718.2</v>
      </c>
      <c r="Q112" s="462">
        <v>17175.099999999999</v>
      </c>
      <c r="R112" s="462">
        <v>17603.8</v>
      </c>
      <c r="S112" s="462">
        <v>17876.2</v>
      </c>
      <c r="T112" s="462">
        <v>18108.3</v>
      </c>
      <c r="U112" s="462">
        <v>18506.2</v>
      </c>
      <c r="V112" s="462">
        <v>18685.7</v>
      </c>
      <c r="W112" s="462">
        <v>18929</v>
      </c>
      <c r="X112" s="462">
        <v>19170.2</v>
      </c>
      <c r="Y112" s="462">
        <v>19424.8</v>
      </c>
      <c r="Z112" s="462">
        <v>19682.7</v>
      </c>
      <c r="AA112" s="462">
        <v>19928.2</v>
      </c>
      <c r="AB112" s="674">
        <v>20185.7</v>
      </c>
      <c r="AC112" s="674">
        <v>20403.099999999999</v>
      </c>
      <c r="AD112" s="674">
        <v>20642.2</v>
      </c>
      <c r="AE112" s="674">
        <v>20846.8</v>
      </c>
      <c r="AF112" s="674">
        <v>21044.3</v>
      </c>
      <c r="AG112" s="674">
        <v>21224.400000000001</v>
      </c>
      <c r="AH112" s="229">
        <v>21419</v>
      </c>
      <c r="AI112" s="229">
        <v>21589.1</v>
      </c>
      <c r="AJ112" s="229">
        <v>21781.8</v>
      </c>
      <c r="AK112">
        <v>21986.799999999999</v>
      </c>
      <c r="AL112">
        <v>22169.7</v>
      </c>
      <c r="AM112">
        <v>22353.1</v>
      </c>
      <c r="AN112">
        <v>22549.7</v>
      </c>
      <c r="AO112">
        <v>22756.3</v>
      </c>
      <c r="AP112">
        <v>22960.5</v>
      </c>
      <c r="AQ112">
        <v>23175.7</v>
      </c>
      <c r="AR112">
        <v>23394.799999999999</v>
      </c>
      <c r="AS112">
        <v>23623.8</v>
      </c>
      <c r="AT112">
        <v>23858.3</v>
      </c>
      <c r="AU112">
        <v>24089.9</v>
      </c>
      <c r="AV112">
        <v>24324.3</v>
      </c>
      <c r="AW112">
        <v>24567.4</v>
      </c>
      <c r="AX112">
        <v>24824.5</v>
      </c>
      <c r="AY112">
        <v>25079.200000000001</v>
      </c>
      <c r="AZ112">
        <v>25340.7</v>
      </c>
      <c r="BA112">
        <v>25603</v>
      </c>
      <c r="BB112">
        <v>25871.9</v>
      </c>
      <c r="BC112">
        <v>26140.7</v>
      </c>
      <c r="BD112">
        <v>26411.5</v>
      </c>
      <c r="BE112">
        <v>26684.9</v>
      </c>
      <c r="BF112">
        <v>26961.599999999999</v>
      </c>
      <c r="BG112">
        <v>27241.4</v>
      </c>
      <c r="BH112">
        <v>27524.400000000001</v>
      </c>
      <c r="BI112">
        <v>27809.7</v>
      </c>
      <c r="BJ112">
        <v>28100.3</v>
      </c>
      <c r="BK112">
        <v>28394.3</v>
      </c>
      <c r="BL112">
        <v>28690.400000000001</v>
      </c>
      <c r="BM112">
        <v>28988.400000000001</v>
      </c>
      <c r="BN112">
        <v>29289</v>
      </c>
      <c r="BO112">
        <v>29593.3</v>
      </c>
      <c r="BP112">
        <v>29899.7</v>
      </c>
      <c r="BQ112">
        <v>30207</v>
      </c>
      <c r="BR112">
        <v>30516</v>
      </c>
      <c r="BS112">
        <v>30827</v>
      </c>
      <c r="BT112">
        <v>31138.6</v>
      </c>
    </row>
    <row r="113" spans="4:72" x14ac:dyDescent="0.35">
      <c r="D113" s="719" t="s">
        <v>1913</v>
      </c>
      <c r="E113" s="587"/>
      <c r="F113" s="587"/>
      <c r="G113" s="587"/>
      <c r="H113" s="783"/>
      <c r="I113" s="764">
        <v>1736.3</v>
      </c>
      <c r="J113" s="764">
        <v>1597.1</v>
      </c>
      <c r="K113" s="764">
        <v>2041.1</v>
      </c>
      <c r="L113" s="764">
        <v>1947.4</v>
      </c>
      <c r="M113" s="764">
        <v>2280.4</v>
      </c>
      <c r="N113" s="764">
        <v>2580</v>
      </c>
      <c r="O113" s="764">
        <v>2541.1</v>
      </c>
      <c r="P113" s="764">
        <v>2555</v>
      </c>
      <c r="Q113" s="764">
        <v>2738.7</v>
      </c>
      <c r="R113" s="764">
        <v>2876.9</v>
      </c>
      <c r="S113" s="764">
        <v>2950.7</v>
      </c>
      <c r="T113" s="764">
        <v>2921.1</v>
      </c>
      <c r="U113" s="764">
        <v>2941.2</v>
      </c>
      <c r="V113" s="764">
        <v>2953.4</v>
      </c>
      <c r="W113" s="764">
        <v>3079.7</v>
      </c>
      <c r="X113" s="764">
        <v>3253.6</v>
      </c>
      <c r="Y113" s="764">
        <v>3186.2</v>
      </c>
      <c r="Z113" s="764">
        <v>3337.4</v>
      </c>
      <c r="AA113" s="764">
        <v>3365.5</v>
      </c>
      <c r="AB113" s="765">
        <v>3380.3</v>
      </c>
      <c r="AC113" s="765">
        <v>3389.3</v>
      </c>
      <c r="AD113" s="765">
        <v>3387.9</v>
      </c>
      <c r="AE113" s="765">
        <v>3390.8</v>
      </c>
      <c r="AF113" s="765">
        <v>3389.1</v>
      </c>
      <c r="AG113" s="765">
        <v>3393.2</v>
      </c>
      <c r="AH113" s="229">
        <v>3399.9</v>
      </c>
      <c r="AI113" s="229">
        <v>3396.5</v>
      </c>
      <c r="AJ113" s="229">
        <v>3400.6</v>
      </c>
      <c r="AK113">
        <v>3394.1</v>
      </c>
      <c r="AL113">
        <v>3381.6</v>
      </c>
      <c r="AM113">
        <v>3366.9</v>
      </c>
      <c r="AN113">
        <v>3369.6</v>
      </c>
      <c r="AO113">
        <v>3361.6</v>
      </c>
      <c r="AP113">
        <v>3346.4</v>
      </c>
      <c r="AQ113">
        <v>3335.2</v>
      </c>
      <c r="AR113">
        <v>3336.1</v>
      </c>
      <c r="AS113">
        <v>3337.1</v>
      </c>
      <c r="AT113">
        <v>3344.5</v>
      </c>
      <c r="AU113">
        <v>3352.2</v>
      </c>
      <c r="AV113">
        <v>3375.5</v>
      </c>
      <c r="AW113">
        <v>3396.4</v>
      </c>
      <c r="AX113">
        <v>3426.8</v>
      </c>
      <c r="AY113">
        <v>3446.4</v>
      </c>
      <c r="AZ113">
        <v>3483.8</v>
      </c>
      <c r="BA113">
        <v>3528.1</v>
      </c>
      <c r="BB113">
        <v>3572.6</v>
      </c>
      <c r="BC113">
        <v>3617.2</v>
      </c>
      <c r="BD113">
        <v>3662.1</v>
      </c>
      <c r="BE113">
        <v>3706</v>
      </c>
      <c r="BF113">
        <v>3748</v>
      </c>
      <c r="BG113">
        <v>3786.8</v>
      </c>
      <c r="BH113">
        <v>3835.5</v>
      </c>
      <c r="BI113">
        <v>3873</v>
      </c>
      <c r="BJ113">
        <v>3914.5</v>
      </c>
      <c r="BK113">
        <v>3953.1</v>
      </c>
      <c r="BL113">
        <v>4000.1</v>
      </c>
      <c r="BM113">
        <v>4037.5</v>
      </c>
      <c r="BN113">
        <v>4076.8</v>
      </c>
      <c r="BO113">
        <v>4113.6000000000004</v>
      </c>
      <c r="BP113">
        <v>4158.3999999999996</v>
      </c>
      <c r="BQ113">
        <v>4198.7</v>
      </c>
      <c r="BR113">
        <v>4242.1000000000004</v>
      </c>
      <c r="BS113">
        <v>4282.6000000000004</v>
      </c>
      <c r="BT113">
        <v>4332.1000000000004</v>
      </c>
    </row>
    <row r="114" spans="4:72" ht="18.75" customHeight="1" x14ac:dyDescent="0.35"/>
    <row r="115" spans="4:72" x14ac:dyDescent="0.35">
      <c r="D115" s="869"/>
      <c r="E115" s="613"/>
      <c r="F115" s="613"/>
      <c r="G115" s="613"/>
      <c r="H115" s="441"/>
      <c r="I115" s="441"/>
      <c r="J115" s="441"/>
      <c r="K115" s="441"/>
      <c r="L115" s="441"/>
      <c r="M115" s="441"/>
      <c r="N115" s="441"/>
      <c r="O115" s="441"/>
      <c r="P115" s="441"/>
      <c r="Q115" s="441"/>
      <c r="R115" s="441"/>
      <c r="S115" s="441"/>
      <c r="T115" s="441"/>
      <c r="U115" s="441"/>
      <c r="V115" s="441"/>
      <c r="W115" s="441"/>
      <c r="X115" s="441"/>
      <c r="Y115" s="441"/>
      <c r="Z115" s="842"/>
      <c r="AA115" s="441"/>
      <c r="AB115" s="441"/>
      <c r="AC115" s="441"/>
    </row>
    <row r="116" spans="4:72" x14ac:dyDescent="0.35">
      <c r="D116" s="529"/>
      <c r="AC116" s="56"/>
    </row>
    <row r="117" spans="4:72" x14ac:dyDescent="0.35">
      <c r="D117" s="1405" t="s">
        <v>506</v>
      </c>
      <c r="E117" s="1420"/>
      <c r="F117" s="1338">
        <v>2019</v>
      </c>
      <c r="G117" s="1339"/>
      <c r="H117" s="1340"/>
      <c r="I117" s="1339">
        <v>2020</v>
      </c>
      <c r="J117" s="1339"/>
      <c r="K117" s="1339"/>
      <c r="L117" s="1340"/>
      <c r="M117" s="1338">
        <v>2021</v>
      </c>
      <c r="N117" s="1339"/>
      <c r="O117" s="1339"/>
      <c r="P117" s="1339"/>
      <c r="Q117" s="1338">
        <v>2022</v>
      </c>
      <c r="R117" s="1346"/>
      <c r="S117" s="1346"/>
      <c r="T117" s="1340"/>
      <c r="U117" s="302"/>
      <c r="V117" s="302">
        <v>2023</v>
      </c>
      <c r="W117" s="442"/>
      <c r="X117" s="309"/>
      <c r="Y117" s="1338">
        <v>2024</v>
      </c>
      <c r="Z117" s="1339"/>
      <c r="AA117" s="1339"/>
      <c r="AB117" s="1340"/>
      <c r="AC117" s="1325">
        <v>2025</v>
      </c>
      <c r="AD117" s="1331"/>
      <c r="AE117" s="1331"/>
      <c r="AF117" s="1330"/>
      <c r="AG117" s="1325">
        <v>2026</v>
      </c>
      <c r="AH117" s="1331"/>
      <c r="AI117" s="1331"/>
      <c r="AJ117" s="1330"/>
      <c r="AK117" s="1325">
        <v>2027</v>
      </c>
      <c r="AL117" s="1331"/>
      <c r="AM117" s="1331"/>
      <c r="AN117" s="1330"/>
    </row>
    <row r="118" spans="4:72" x14ac:dyDescent="0.35">
      <c r="D118" s="1421"/>
      <c r="E118" s="1422"/>
      <c r="F118" s="225" t="s">
        <v>283</v>
      </c>
      <c r="G118" s="226" t="s">
        <v>238</v>
      </c>
      <c r="H118" s="232" t="s">
        <v>281</v>
      </c>
      <c r="I118" s="226" t="s">
        <v>282</v>
      </c>
      <c r="J118" s="226" t="s">
        <v>283</v>
      </c>
      <c r="K118" s="226" t="s">
        <v>238</v>
      </c>
      <c r="L118" s="232" t="s">
        <v>281</v>
      </c>
      <c r="M118" s="225" t="s">
        <v>282</v>
      </c>
      <c r="N118" s="226" t="s">
        <v>283</v>
      </c>
      <c r="O118" s="226" t="s">
        <v>238</v>
      </c>
      <c r="P118" s="226" t="s">
        <v>281</v>
      </c>
      <c r="Q118" s="225" t="s">
        <v>282</v>
      </c>
      <c r="R118" s="226" t="s">
        <v>283</v>
      </c>
      <c r="S118" s="226" t="s">
        <v>238</v>
      </c>
      <c r="T118" s="232" t="s">
        <v>281</v>
      </c>
      <c r="U118" s="225" t="s">
        <v>282</v>
      </c>
      <c r="V118" s="287" t="s">
        <v>283</v>
      </c>
      <c r="W118" s="287" t="s">
        <v>238</v>
      </c>
      <c r="X118" s="285" t="s">
        <v>281</v>
      </c>
      <c r="Y118" s="286" t="s">
        <v>282</v>
      </c>
      <c r="Z118" s="292" t="s">
        <v>283</v>
      </c>
      <c r="AA118" s="287" t="s">
        <v>238</v>
      </c>
      <c r="AB118" s="287" t="s">
        <v>281</v>
      </c>
      <c r="AC118" s="286" t="s">
        <v>282</v>
      </c>
      <c r="AD118" s="271" t="s">
        <v>283</v>
      </c>
      <c r="AE118" s="273" t="s">
        <v>238</v>
      </c>
      <c r="AF118" s="273" t="s">
        <v>281</v>
      </c>
      <c r="AG118" s="299" t="s">
        <v>282</v>
      </c>
      <c r="AH118" s="271" t="s">
        <v>283</v>
      </c>
      <c r="AI118" s="273" t="s">
        <v>238</v>
      </c>
      <c r="AJ118" s="301" t="s">
        <v>281</v>
      </c>
      <c r="AK118" s="299" t="s">
        <v>282</v>
      </c>
      <c r="AL118" s="271" t="s">
        <v>283</v>
      </c>
      <c r="AM118" s="273" t="s">
        <v>238</v>
      </c>
      <c r="AN118" s="301" t="s">
        <v>281</v>
      </c>
    </row>
    <row r="119" spans="4:72" x14ac:dyDescent="0.35">
      <c r="D119" s="1418" t="s">
        <v>507</v>
      </c>
      <c r="E119" s="1419"/>
      <c r="F119" s="260"/>
      <c r="G119" s="320"/>
      <c r="H119" s="320"/>
      <c r="I119" s="320"/>
      <c r="J119" s="320"/>
      <c r="K119" s="320"/>
      <c r="L119" s="320"/>
      <c r="M119" s="320"/>
      <c r="N119" s="320"/>
      <c r="O119" s="320"/>
      <c r="P119" s="320"/>
      <c r="Q119" s="320"/>
      <c r="R119" s="320"/>
      <c r="S119" s="320"/>
      <c r="T119" s="288"/>
      <c r="U119" s="320"/>
      <c r="V119" s="320"/>
      <c r="W119" s="288"/>
      <c r="X119" s="288"/>
      <c r="Y119" s="288"/>
      <c r="Z119" s="288"/>
      <c r="AA119" s="288"/>
      <c r="AB119" s="288"/>
      <c r="AC119" s="320"/>
    </row>
    <row r="120" spans="4:72" x14ac:dyDescent="0.35">
      <c r="D120" s="535" t="s">
        <v>480</v>
      </c>
      <c r="F120" s="784"/>
      <c r="G120" s="808"/>
      <c r="H120" s="808">
        <f t="shared" ref="H120:AB120" si="48">H10/H127</f>
        <v>0.11784269540900824</v>
      </c>
      <c r="I120" s="808">
        <f t="shared" si="48"/>
        <v>0.11798949979497039</v>
      </c>
      <c r="J120" s="808">
        <f t="shared" si="48"/>
        <v>0.11557617083128487</v>
      </c>
      <c r="K120" s="808">
        <f t="shared" si="48"/>
        <v>0.11769489871298738</v>
      </c>
      <c r="L120" s="808">
        <f t="shared" si="48"/>
        <v>0.12162864264434113</v>
      </c>
      <c r="M120" s="808">
        <f t="shared" si="48"/>
        <v>0.12929672515912594</v>
      </c>
      <c r="N120" s="808">
        <f t="shared" si="48"/>
        <v>0.13102202825485806</v>
      </c>
      <c r="O120" s="808">
        <f t="shared" si="48"/>
        <v>0.13305175527193708</v>
      </c>
      <c r="P120" s="808">
        <f t="shared" si="48"/>
        <v>0.13449158829300981</v>
      </c>
      <c r="Q120" s="808">
        <f t="shared" si="48"/>
        <v>0.15377510967444011</v>
      </c>
      <c r="R120" s="808">
        <f t="shared" si="48"/>
        <v>0.15188876770810855</v>
      </c>
      <c r="S120" s="806">
        <f t="shared" si="48"/>
        <v>0.14941502848112062</v>
      </c>
      <c r="T120" s="806">
        <f t="shared" si="48"/>
        <v>0.14577752318051879</v>
      </c>
      <c r="U120" s="806">
        <f t="shared" si="48"/>
        <v>0.12446834919321474</v>
      </c>
      <c r="V120" s="806">
        <f t="shared" si="48"/>
        <v>0.12219170632222978</v>
      </c>
      <c r="W120" s="806">
        <f t="shared" si="48"/>
        <v>0.12134111319265888</v>
      </c>
      <c r="X120" s="806">
        <f t="shared" si="48"/>
        <v>0.1208907628905298</v>
      </c>
      <c r="Y120" s="806">
        <f t="shared" si="48"/>
        <v>0.12253611957686264</v>
      </c>
      <c r="Z120" s="806">
        <f t="shared" si="48"/>
        <v>0.12263673629539379</v>
      </c>
      <c r="AA120" s="806">
        <f t="shared" si="48"/>
        <v>0.12343372904991996</v>
      </c>
      <c r="AB120" s="806">
        <f t="shared" si="48"/>
        <v>0.12426245823558683</v>
      </c>
      <c r="AC120" s="806">
        <f>AC10/AC127</f>
        <v>0.12610950083745373</v>
      </c>
      <c r="AD120" s="806">
        <f>AD10/AD127</f>
        <v>0.12696999686690305</v>
      </c>
      <c r="AE120" s="807">
        <f t="shared" ref="AE120" si="49">AD120+AE121</f>
        <v>0.12696999686690305</v>
      </c>
      <c r="AF120" s="807">
        <f t="shared" ref="AF120" si="50">AE120+AF121</f>
        <v>0.12696999686690305</v>
      </c>
      <c r="AG120" s="807">
        <f>AF120+AG121</f>
        <v>0.12696999686690305</v>
      </c>
      <c r="AH120" s="807">
        <f t="shared" ref="AH120:AJ120" si="51">AG120+AH121</f>
        <v>0.12696999686690305</v>
      </c>
      <c r="AI120" s="807">
        <f t="shared" si="51"/>
        <v>0.12696999686690305</v>
      </c>
      <c r="AJ120" s="807">
        <f t="shared" si="51"/>
        <v>0.12696999686690305</v>
      </c>
      <c r="AK120" s="807">
        <f t="shared" ref="AK120" si="52">AJ120+AK121</f>
        <v>0.12696999686690305</v>
      </c>
      <c r="AL120" s="807">
        <f t="shared" ref="AL120" si="53">AK120+AL121</f>
        <v>0.12696999686690305</v>
      </c>
      <c r="AM120" s="807">
        <f t="shared" ref="AM120" si="54">AL120+AM121</f>
        <v>0.12696999686690305</v>
      </c>
      <c r="AN120" s="807">
        <f t="shared" ref="AN120" si="55">AM120+AN121</f>
        <v>0.12696999686690305</v>
      </c>
    </row>
    <row r="121" spans="4:72" x14ac:dyDescent="0.35">
      <c r="D121" s="535" t="s">
        <v>887</v>
      </c>
      <c r="F121" s="784"/>
      <c r="G121" s="808"/>
      <c r="H121" s="808"/>
      <c r="I121" s="808"/>
      <c r="J121" s="808"/>
      <c r="K121" s="808"/>
      <c r="L121" s="808"/>
      <c r="M121" s="808"/>
      <c r="N121" s="808"/>
      <c r="O121" s="808"/>
      <c r="P121" s="808"/>
      <c r="Q121" s="808"/>
      <c r="R121" s="808"/>
      <c r="S121" s="806"/>
      <c r="T121" s="806"/>
      <c r="U121" s="806"/>
      <c r="V121" s="806"/>
      <c r="W121" s="808"/>
      <c r="X121" s="808"/>
      <c r="Y121" s="807"/>
      <c r="Z121" s="807"/>
      <c r="AA121" s="807"/>
      <c r="AB121" s="807"/>
      <c r="AC121" s="807"/>
      <c r="AD121" s="807"/>
      <c r="AE121" s="807"/>
      <c r="AF121" s="807"/>
      <c r="AG121" s="807"/>
      <c r="AH121" s="807"/>
      <c r="AI121" s="807"/>
      <c r="AJ121" s="807"/>
      <c r="AK121" s="807"/>
      <c r="AL121" s="807"/>
      <c r="AM121" s="807"/>
      <c r="AN121" s="807"/>
    </row>
    <row r="122" spans="4:72" x14ac:dyDescent="0.35">
      <c r="D122" s="535" t="s">
        <v>481</v>
      </c>
      <c r="F122" s="784"/>
      <c r="G122" s="808"/>
      <c r="H122" s="808">
        <f t="shared" ref="H122:AB122" si="56">H13/H132</f>
        <v>0.15051429053199564</v>
      </c>
      <c r="I122" s="808">
        <f t="shared" si="56"/>
        <v>0.15080163959943962</v>
      </c>
      <c r="J122" s="808">
        <f t="shared" si="56"/>
        <v>0.15365395933505827</v>
      </c>
      <c r="K122" s="808">
        <f t="shared" si="56"/>
        <v>0.15177190789891759</v>
      </c>
      <c r="L122" s="808">
        <f t="shared" si="56"/>
        <v>0.14987512105611908</v>
      </c>
      <c r="M122" s="808">
        <f t="shared" si="56"/>
        <v>0.15037715626200734</v>
      </c>
      <c r="N122" s="808">
        <f t="shared" si="56"/>
        <v>0.14952123741713724</v>
      </c>
      <c r="O122" s="808">
        <f t="shared" si="56"/>
        <v>0.14900409068318232</v>
      </c>
      <c r="P122" s="808">
        <f t="shared" si="56"/>
        <v>0.14885815076123282</v>
      </c>
      <c r="Q122" s="808">
        <f t="shared" si="56"/>
        <v>0.15059075868264021</v>
      </c>
      <c r="R122" s="808">
        <f t="shared" si="56"/>
        <v>0.15126805836791402</v>
      </c>
      <c r="S122" s="806">
        <f t="shared" si="56"/>
        <v>0.1516602781441711</v>
      </c>
      <c r="T122" s="806">
        <f t="shared" si="56"/>
        <v>0.15250681030758786</v>
      </c>
      <c r="U122" s="806">
        <f t="shared" si="56"/>
        <v>0.15315714869600761</v>
      </c>
      <c r="V122" s="806">
        <f t="shared" si="56"/>
        <v>0.15350245274604646</v>
      </c>
      <c r="W122" s="806">
        <f t="shared" si="56"/>
        <v>0.15350192088487355</v>
      </c>
      <c r="X122" s="806">
        <f t="shared" si="56"/>
        <v>0.15333099520684071</v>
      </c>
      <c r="Y122" s="806">
        <f t="shared" si="56"/>
        <v>0.15191472369139494</v>
      </c>
      <c r="Z122" s="806">
        <f t="shared" si="56"/>
        <v>0.15120313826990739</v>
      </c>
      <c r="AA122" s="806">
        <f t="shared" si="56"/>
        <v>0.15101689322419939</v>
      </c>
      <c r="AB122" s="806">
        <f t="shared" si="56"/>
        <v>0.15071508893077179</v>
      </c>
      <c r="AC122" s="806">
        <f>AC13/AC132</f>
        <v>0.15127417172973015</v>
      </c>
      <c r="AD122" s="806">
        <f>AD13/AD132</f>
        <v>0.15104589254391049</v>
      </c>
      <c r="AE122" s="807">
        <f t="shared" ref="AE122:AE123" si="57">AD122</f>
        <v>0.15104589254391049</v>
      </c>
      <c r="AF122" s="807">
        <f t="shared" ref="AF122:AF123" si="58">AE122</f>
        <v>0.15104589254391049</v>
      </c>
      <c r="AG122" s="807">
        <f t="shared" ref="AG122:AG123" si="59">AF122</f>
        <v>0.15104589254391049</v>
      </c>
      <c r="AH122" s="807">
        <f t="shared" ref="AH122:AH123" si="60">AG122</f>
        <v>0.15104589254391049</v>
      </c>
      <c r="AI122" s="807">
        <f t="shared" ref="AI122:AI123" si="61">AH122</f>
        <v>0.15104589254391049</v>
      </c>
      <c r="AJ122" s="807">
        <f>AI122</f>
        <v>0.15104589254391049</v>
      </c>
      <c r="AK122" s="807">
        <f t="shared" ref="AK122:AN123" si="62">AJ122</f>
        <v>0.15104589254391049</v>
      </c>
      <c r="AL122" s="807">
        <f t="shared" si="62"/>
        <v>0.15104589254391049</v>
      </c>
      <c r="AM122" s="807">
        <f t="shared" si="62"/>
        <v>0.15104589254391049</v>
      </c>
      <c r="AN122" s="807">
        <f t="shared" si="62"/>
        <v>0.15104589254391049</v>
      </c>
    </row>
    <row r="123" spans="4:72" x14ac:dyDescent="0.35">
      <c r="D123" s="535" t="s">
        <v>482</v>
      </c>
      <c r="F123" s="784"/>
      <c r="G123" s="808"/>
      <c r="H123" s="808">
        <f t="shared" ref="H123:AB123" si="63">H15/H133</f>
        <v>1.2162437929392559E-2</v>
      </c>
      <c r="I123" s="808">
        <f t="shared" si="63"/>
        <v>1.2699879968543479E-2</v>
      </c>
      <c r="J123" s="808">
        <f t="shared" si="63"/>
        <v>9.8135948268010566E-3</v>
      </c>
      <c r="K123" s="808">
        <f t="shared" si="63"/>
        <v>1.0312197817378091E-2</v>
      </c>
      <c r="L123" s="808">
        <f t="shared" si="63"/>
        <v>1.0757352891335144E-2</v>
      </c>
      <c r="M123" s="808">
        <f t="shared" si="63"/>
        <v>1.0629513611282226E-2</v>
      </c>
      <c r="N123" s="808">
        <f t="shared" si="63"/>
        <v>1.1269768922909786E-2</v>
      </c>
      <c r="O123" s="808">
        <f t="shared" si="63"/>
        <v>1.1232041261557454E-2</v>
      </c>
      <c r="P123" s="808">
        <f t="shared" si="63"/>
        <v>1.1643603451454263E-2</v>
      </c>
      <c r="Q123" s="808">
        <f t="shared" si="63"/>
        <v>1.2058153955435486E-2</v>
      </c>
      <c r="R123" s="808">
        <f t="shared" si="63"/>
        <v>1.1872436632999694E-2</v>
      </c>
      <c r="S123" s="806">
        <f t="shared" si="63"/>
        <v>1.1204842192412258E-2</v>
      </c>
      <c r="T123" s="806">
        <f t="shared" si="63"/>
        <v>1.0492426125036586E-2</v>
      </c>
      <c r="U123" s="806">
        <f t="shared" si="63"/>
        <v>9.7102592644627197E-3</v>
      </c>
      <c r="V123" s="806">
        <f t="shared" si="63"/>
        <v>9.4082640735963872E-3</v>
      </c>
      <c r="W123" s="806">
        <f t="shared" si="63"/>
        <v>9.097152517301494E-3</v>
      </c>
      <c r="X123" s="806">
        <f t="shared" si="63"/>
        <v>8.8314154260258106E-3</v>
      </c>
      <c r="Y123" s="806">
        <f t="shared" si="63"/>
        <v>9.1223590461677849E-3</v>
      </c>
      <c r="Z123" s="806">
        <f t="shared" si="63"/>
        <v>8.7589609149151277E-3</v>
      </c>
      <c r="AA123" s="806">
        <f t="shared" si="63"/>
        <v>9.0980219074750235E-3</v>
      </c>
      <c r="AB123" s="806">
        <f t="shared" si="63"/>
        <v>9.0098985460739054E-3</v>
      </c>
      <c r="AC123" s="806">
        <f>AC15/AC133</f>
        <v>9.349220002345858E-3</v>
      </c>
      <c r="AD123" s="806">
        <f>AD15/AD133</f>
        <v>1.760582145158399E-2</v>
      </c>
      <c r="AE123" s="807">
        <f t="shared" si="57"/>
        <v>1.760582145158399E-2</v>
      </c>
      <c r="AF123" s="807">
        <f t="shared" si="58"/>
        <v>1.760582145158399E-2</v>
      </c>
      <c r="AG123" s="807">
        <f t="shared" si="59"/>
        <v>1.760582145158399E-2</v>
      </c>
      <c r="AH123" s="807">
        <f t="shared" si="60"/>
        <v>1.760582145158399E-2</v>
      </c>
      <c r="AI123" s="807">
        <f t="shared" si="61"/>
        <v>1.760582145158399E-2</v>
      </c>
      <c r="AJ123" s="807">
        <f t="shared" ref="AJ123" si="64">AI123</f>
        <v>1.760582145158399E-2</v>
      </c>
      <c r="AK123" s="807">
        <f t="shared" si="62"/>
        <v>1.760582145158399E-2</v>
      </c>
      <c r="AL123" s="807">
        <f t="shared" si="62"/>
        <v>1.760582145158399E-2</v>
      </c>
      <c r="AM123" s="807">
        <f t="shared" si="62"/>
        <v>1.760582145158399E-2</v>
      </c>
      <c r="AN123" s="807">
        <f t="shared" si="62"/>
        <v>1.760582145158399E-2</v>
      </c>
    </row>
    <row r="124" spans="4:72" x14ac:dyDescent="0.35">
      <c r="D124" s="431" t="s">
        <v>483</v>
      </c>
      <c r="F124" s="784"/>
      <c r="G124" s="808"/>
      <c r="H124" s="808">
        <f t="shared" ref="H124:AB124" si="65">H17/H134</f>
        <v>0.11576477635782748</v>
      </c>
      <c r="I124" s="808">
        <f t="shared" si="65"/>
        <v>0.10926623302521968</v>
      </c>
      <c r="J124" s="808">
        <f t="shared" si="65"/>
        <v>0.11837969278216001</v>
      </c>
      <c r="K124" s="808">
        <f t="shared" si="65"/>
        <v>0.11127845432247516</v>
      </c>
      <c r="L124" s="808">
        <f t="shared" si="65"/>
        <v>0.11953366642874137</v>
      </c>
      <c r="M124" s="808">
        <f t="shared" si="65"/>
        <v>0.11887481034977652</v>
      </c>
      <c r="N124" s="808">
        <f t="shared" si="65"/>
        <v>0.12443013242636948</v>
      </c>
      <c r="O124" s="808">
        <f t="shared" si="65"/>
        <v>0.12539127902744412</v>
      </c>
      <c r="P124" s="808">
        <f t="shared" si="65"/>
        <v>0.13006032415146448</v>
      </c>
      <c r="Q124" s="808">
        <f t="shared" si="65"/>
        <v>0.13860590791251326</v>
      </c>
      <c r="R124" s="806">
        <f t="shared" si="65"/>
        <v>0.14498244638325977</v>
      </c>
      <c r="S124" s="806">
        <f t="shared" si="65"/>
        <v>0.13630663910258584</v>
      </c>
      <c r="T124" s="806">
        <f t="shared" si="65"/>
        <v>0.13929684023141967</v>
      </c>
      <c r="U124" s="806">
        <f t="shared" si="65"/>
        <v>0.1476608187134503</v>
      </c>
      <c r="V124" s="806">
        <f t="shared" si="65"/>
        <v>0.14539175187919007</v>
      </c>
      <c r="W124" s="806">
        <f t="shared" si="65"/>
        <v>0.1467350715978829</v>
      </c>
      <c r="X124" s="806">
        <f t="shared" si="65"/>
        <v>0.14285714285714288</v>
      </c>
      <c r="Y124" s="806">
        <f t="shared" si="65"/>
        <v>0.14434122151779549</v>
      </c>
      <c r="Z124" s="806">
        <f t="shared" si="65"/>
        <v>0.14783963564451369</v>
      </c>
      <c r="AA124" s="806">
        <f t="shared" si="65"/>
        <v>0.14652482690993374</v>
      </c>
      <c r="AB124" s="806">
        <f t="shared" si="65"/>
        <v>0.14682607947703424</v>
      </c>
      <c r="AC124" s="806">
        <f>AC17/AC134</f>
        <v>0.15131578947368421</v>
      </c>
      <c r="AD124" s="806" t="e">
        <f>AD17/AD134</f>
        <v>#DIV/0!</v>
      </c>
      <c r="AE124" s="807" t="e">
        <f t="shared" ref="AE124" si="66">AD124+AE125</f>
        <v>#DIV/0!</v>
      </c>
      <c r="AF124" s="807" t="e">
        <f t="shared" ref="AF124" si="67">AE124+AF125</f>
        <v>#DIV/0!</v>
      </c>
      <c r="AG124" s="807" t="e">
        <f t="shared" ref="AG124" si="68">AF124+AG125</f>
        <v>#DIV/0!</v>
      </c>
      <c r="AH124" s="807" t="e">
        <f t="shared" ref="AH124" si="69">AG124+AH125</f>
        <v>#DIV/0!</v>
      </c>
      <c r="AI124" s="807" t="e">
        <f t="shared" ref="AI124" si="70">AH124+AI125</f>
        <v>#DIV/0!</v>
      </c>
      <c r="AJ124" s="807" t="e">
        <f t="shared" ref="AJ124" si="71">AI124+AJ125</f>
        <v>#DIV/0!</v>
      </c>
      <c r="AK124" s="807" t="e">
        <f t="shared" ref="AK124" si="72">AJ124+AK125</f>
        <v>#DIV/0!</v>
      </c>
      <c r="AL124" s="807" t="e">
        <f t="shared" ref="AL124" si="73">AK124+AL125</f>
        <v>#DIV/0!</v>
      </c>
      <c r="AM124" s="807" t="e">
        <f t="shared" ref="AM124" si="74">AL124+AM125</f>
        <v>#DIV/0!</v>
      </c>
      <c r="AN124" s="807" t="e">
        <f t="shared" ref="AN124" si="75">AM124+AN125</f>
        <v>#DIV/0!</v>
      </c>
    </row>
    <row r="125" spans="4:72" x14ac:dyDescent="0.35">
      <c r="D125" s="431" t="s">
        <v>1743</v>
      </c>
      <c r="F125" s="784"/>
      <c r="G125" s="808"/>
      <c r="H125" s="808"/>
      <c r="I125" s="808"/>
      <c r="J125" s="808"/>
      <c r="K125" s="808"/>
      <c r="L125" s="808"/>
      <c r="M125" s="808"/>
      <c r="N125" s="808"/>
      <c r="O125" s="808"/>
      <c r="P125" s="808"/>
      <c r="Q125" s="808"/>
      <c r="R125" s="808"/>
      <c r="S125" s="808"/>
      <c r="T125" s="808"/>
      <c r="U125" s="808">
        <v>-1.2E-2</v>
      </c>
      <c r="V125" s="808"/>
      <c r="W125" s="808"/>
      <c r="X125" s="808"/>
      <c r="Y125" s="807"/>
      <c r="Z125" s="807"/>
      <c r="AA125" s="807"/>
      <c r="AB125" s="807"/>
      <c r="AC125" s="807"/>
      <c r="AD125" s="807"/>
      <c r="AE125" s="807"/>
      <c r="AF125" s="807"/>
      <c r="AG125" s="807"/>
      <c r="AH125" s="807"/>
      <c r="AI125" s="807"/>
      <c r="AJ125" s="807"/>
      <c r="AK125" s="807"/>
      <c r="AL125" s="807"/>
      <c r="AM125" s="807"/>
      <c r="AN125" s="807"/>
    </row>
    <row r="126" spans="4:72" x14ac:dyDescent="0.35">
      <c r="D126" s="289" t="s">
        <v>508</v>
      </c>
      <c r="F126" s="276"/>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row>
    <row r="127" spans="4:72" ht="14.9" customHeight="1" x14ac:dyDescent="0.35">
      <c r="D127" s="683" t="s">
        <v>509</v>
      </c>
      <c r="F127" s="778">
        <f>SUM(F128:F131)</f>
        <v>14464.9</v>
      </c>
      <c r="G127" s="441">
        <f t="shared" ref="G127:O127" si="76">SUM(G128:G131)</f>
        <v>14564.8</v>
      </c>
      <c r="H127" s="441">
        <f t="shared" si="76"/>
        <v>14733.199999999999</v>
      </c>
      <c r="I127" s="441">
        <f t="shared" si="76"/>
        <v>14875.9</v>
      </c>
      <c r="J127" s="441">
        <f t="shared" si="76"/>
        <v>14034.9</v>
      </c>
      <c r="K127" s="441">
        <f t="shared" si="76"/>
        <v>14755.099999999999</v>
      </c>
      <c r="L127" s="441">
        <f t="shared" si="76"/>
        <v>15205.3</v>
      </c>
      <c r="M127" s="441">
        <f t="shared" si="76"/>
        <v>15380.9</v>
      </c>
      <c r="N127" s="441">
        <f t="shared" si="76"/>
        <v>15947.7</v>
      </c>
      <c r="O127" s="441">
        <f t="shared" si="76"/>
        <v>16336.5</v>
      </c>
      <c r="P127" s="441">
        <f t="shared" ref="P127:T127" si="77">SUM(P128:P131)</f>
        <v>16714.8</v>
      </c>
      <c r="Q127" s="441">
        <f t="shared" si="77"/>
        <v>16890.899999999998</v>
      </c>
      <c r="R127" s="441">
        <f t="shared" si="77"/>
        <v>17146.100000000002</v>
      </c>
      <c r="S127" s="354">
        <f t="shared" si="77"/>
        <v>17590.599999999999</v>
      </c>
      <c r="T127" s="354">
        <f t="shared" si="77"/>
        <v>17805.900000000001</v>
      </c>
      <c r="U127" s="354">
        <f t="shared" ref="U127:W127" si="78">SUM(U128:U131)</f>
        <v>18127.5</v>
      </c>
      <c r="V127" s="354">
        <f t="shared" si="78"/>
        <v>18387.5</v>
      </c>
      <c r="W127" s="354">
        <f t="shared" si="78"/>
        <v>18629.3</v>
      </c>
      <c r="X127" s="354">
        <f t="shared" ref="X127:Y127" si="79">SUM(X128:X131)</f>
        <v>18878.2</v>
      </c>
      <c r="Y127" s="354">
        <f t="shared" si="79"/>
        <v>19227.800000000003</v>
      </c>
      <c r="Z127" s="354">
        <f t="shared" ref="Z127" si="80">SUM(Z128:Z131)</f>
        <v>19369.399999999998</v>
      </c>
      <c r="AA127" s="354">
        <f>SUM(AA128:AA131)</f>
        <v>19433.100000000002</v>
      </c>
      <c r="AB127" s="354">
        <f>SUM(AB128:AB131)</f>
        <v>19693.8</v>
      </c>
      <c r="AC127" s="354">
        <f>SUM(AC128:AC131)</f>
        <v>19941.400000000001</v>
      </c>
      <c r="AD127" s="354">
        <f>SUM(AD128:AD131)</f>
        <v>20107.900000000001</v>
      </c>
      <c r="AE127" s="329"/>
      <c r="AF127" s="329"/>
      <c r="AG127" s="329"/>
      <c r="AH127" s="329"/>
      <c r="AI127" s="329"/>
      <c r="AJ127" s="329"/>
      <c r="AK127" s="329"/>
      <c r="AL127" s="329"/>
      <c r="AM127" s="329"/>
      <c r="AN127" s="329"/>
    </row>
    <row r="128" spans="4:72" x14ac:dyDescent="0.35">
      <c r="D128" s="863" t="s">
        <v>783</v>
      </c>
      <c r="E128" s="249" t="s">
        <v>779</v>
      </c>
      <c r="F128" s="778">
        <f>'Haver Pivoted'!GQ81</f>
        <v>9285</v>
      </c>
      <c r="G128" s="441">
        <f>'Haver Pivoted'!GR81</f>
        <v>9341</v>
      </c>
      <c r="H128" s="441">
        <f>'Haver Pivoted'!GS81</f>
        <v>9488.7999999999993</v>
      </c>
      <c r="I128" s="441">
        <f>'Haver Pivoted'!GT81</f>
        <v>9636.5</v>
      </c>
      <c r="J128" s="441">
        <f>'Haver Pivoted'!GU81</f>
        <v>9005.2999999999993</v>
      </c>
      <c r="K128" s="441">
        <f>'Haver Pivoted'!GV81</f>
        <v>9441.7999999999993</v>
      </c>
      <c r="L128" s="441">
        <f>'Haver Pivoted'!GW81</f>
        <v>9809.5</v>
      </c>
      <c r="M128" s="441">
        <f>'Haver Pivoted'!GX81</f>
        <v>9889.7999999999993</v>
      </c>
      <c r="N128" s="441">
        <f>'Haver Pivoted'!GY81</f>
        <v>10182.5</v>
      </c>
      <c r="O128" s="441">
        <f>'Haver Pivoted'!GZ81</f>
        <v>10462.799999999999</v>
      </c>
      <c r="P128" s="441">
        <f>'Haver Pivoted'!HA81</f>
        <v>10772</v>
      </c>
      <c r="Q128" s="441">
        <f>'Haver Pivoted'!HB81</f>
        <v>10909.7</v>
      </c>
      <c r="R128" s="441">
        <f>'Haver Pivoted'!HC81</f>
        <v>11012.9</v>
      </c>
      <c r="S128" s="354">
        <f>'Haver Pivoted'!HD81</f>
        <v>11296.3</v>
      </c>
      <c r="T128" s="354">
        <f>'Haver Pivoted'!HE81</f>
        <v>11343.1</v>
      </c>
      <c r="U128" s="354">
        <f>'Haver Pivoted'!HF81</f>
        <v>11499.3</v>
      </c>
      <c r="V128" s="354">
        <f>'Haver Pivoted'!HG81</f>
        <v>11660.4</v>
      </c>
      <c r="W128" s="354">
        <f>'Haver Pivoted'!HH81</f>
        <v>11843.5</v>
      </c>
      <c r="X128" s="354">
        <f>'Haver Pivoted'!HI81</f>
        <v>11975.4</v>
      </c>
      <c r="Y128" s="354">
        <f>'Haver Pivoted'!HJ81</f>
        <v>12270.7</v>
      </c>
      <c r="Z128" s="354">
        <f>'Haver Pivoted'!HK81</f>
        <v>12363.5</v>
      </c>
      <c r="AA128" s="354">
        <f>'Haver Pivoted'!HL81</f>
        <v>12425.1</v>
      </c>
      <c r="AB128" s="354">
        <f>'Haver Pivoted'!HM81</f>
        <v>12627.8</v>
      </c>
      <c r="AC128" s="354">
        <f>'Haver Pivoted'!HN81</f>
        <v>12788.7</v>
      </c>
      <c r="AD128" s="354">
        <f>'Haver Pivoted'!HO81</f>
        <v>12941.1</v>
      </c>
      <c r="AE128" s="329"/>
      <c r="AF128" s="329"/>
      <c r="AG128" s="329"/>
      <c r="AH128" s="329"/>
      <c r="AI128" s="329"/>
      <c r="AJ128" s="329"/>
      <c r="AK128" s="329"/>
      <c r="AL128" s="329"/>
      <c r="AM128" s="329"/>
      <c r="AN128" s="329"/>
    </row>
    <row r="129" spans="4:40" x14ac:dyDescent="0.35">
      <c r="D129" s="863" t="s">
        <v>510</v>
      </c>
      <c r="E129" s="249" t="s">
        <v>780</v>
      </c>
      <c r="F129" s="778">
        <f>'Haver Pivoted'!GQ82</f>
        <v>1535.6</v>
      </c>
      <c r="G129" s="441">
        <f>'Haver Pivoted'!GR82</f>
        <v>1570.9</v>
      </c>
      <c r="H129" s="441">
        <f>'Haver Pivoted'!GS82</f>
        <v>1582.7</v>
      </c>
      <c r="I129" s="441">
        <f>'Haver Pivoted'!GT82</f>
        <v>1577.7</v>
      </c>
      <c r="J129" s="441">
        <f>'Haver Pivoted'!GU82</f>
        <v>1424.4</v>
      </c>
      <c r="K129" s="441">
        <f>'Haver Pivoted'!GV82</f>
        <v>1705.8</v>
      </c>
      <c r="L129" s="441">
        <f>'Haver Pivoted'!GW82</f>
        <v>1668.1</v>
      </c>
      <c r="M129" s="441">
        <f>'Haver Pivoted'!GX82</f>
        <v>1697.5</v>
      </c>
      <c r="N129" s="441">
        <f>'Haver Pivoted'!GY82</f>
        <v>1845.5</v>
      </c>
      <c r="O129" s="441">
        <f>'Haver Pivoted'!GZ82</f>
        <v>1867.1</v>
      </c>
      <c r="P129" s="441">
        <f>'Haver Pivoted'!HA82</f>
        <v>1850.8</v>
      </c>
      <c r="Q129" s="441">
        <f>'Haver Pivoted'!HB82</f>
        <v>1833.3</v>
      </c>
      <c r="R129" s="441">
        <f>'Haver Pivoted'!HC82</f>
        <v>1850.1</v>
      </c>
      <c r="S129" s="354">
        <f>'Haver Pivoted'!HD82</f>
        <v>1895.3</v>
      </c>
      <c r="T129" s="354">
        <f>'Haver Pivoted'!HE82</f>
        <v>1915.5</v>
      </c>
      <c r="U129" s="354">
        <f>'Haver Pivoted'!HF82</f>
        <v>1934.7</v>
      </c>
      <c r="V129" s="354">
        <f>'Haver Pivoted'!HG82</f>
        <v>1936.6</v>
      </c>
      <c r="W129" s="354">
        <f>'Haver Pivoted'!HH82</f>
        <v>1954.6</v>
      </c>
      <c r="X129" s="354">
        <f>'Haver Pivoted'!HI82</f>
        <v>1970.1</v>
      </c>
      <c r="Y129" s="354">
        <f>'Haver Pivoted'!HJ82</f>
        <v>1972.1</v>
      </c>
      <c r="Z129" s="354">
        <f>'Haver Pivoted'!HK82</f>
        <v>2002.3</v>
      </c>
      <c r="AA129" s="354">
        <f>'Haver Pivoted'!HL82</f>
        <v>2013.5</v>
      </c>
      <c r="AB129" s="354">
        <f>'Haver Pivoted'!HM82</f>
        <v>2035.5</v>
      </c>
      <c r="AC129" s="354">
        <f>'Haver Pivoted'!HN82</f>
        <v>2053.1999999999998</v>
      </c>
      <c r="AD129" s="354">
        <f>'Haver Pivoted'!HO82</f>
        <v>2070.5</v>
      </c>
      <c r="AE129" s="329"/>
      <c r="AF129" s="329"/>
      <c r="AG129" s="329"/>
      <c r="AH129" s="329"/>
      <c r="AI129" s="329"/>
      <c r="AJ129" s="329"/>
      <c r="AK129" s="329"/>
      <c r="AL129" s="329"/>
      <c r="AM129" s="329"/>
      <c r="AN129" s="329"/>
    </row>
    <row r="130" spans="4:40" x14ac:dyDescent="0.35">
      <c r="D130" s="863" t="s">
        <v>511</v>
      </c>
      <c r="E130" s="249" t="s">
        <v>786</v>
      </c>
      <c r="F130" s="778">
        <f>'Haver Pivoted'!GQ83</f>
        <v>682.8</v>
      </c>
      <c r="G130" s="441">
        <f>'Haver Pivoted'!GR83</f>
        <v>690.2</v>
      </c>
      <c r="H130" s="441">
        <f>'Haver Pivoted'!GS83</f>
        <v>706.3</v>
      </c>
      <c r="I130" s="441">
        <f>'Haver Pivoted'!GT83</f>
        <v>729.3</v>
      </c>
      <c r="J130" s="441">
        <f>'Haver Pivoted'!GU83</f>
        <v>731.2</v>
      </c>
      <c r="K130" s="441">
        <f>'Haver Pivoted'!GV83</f>
        <v>744.6</v>
      </c>
      <c r="L130" s="441">
        <f>'Haver Pivoted'!GW83</f>
        <v>747.4</v>
      </c>
      <c r="M130" s="441">
        <f>'Haver Pivoted'!GX83</f>
        <v>745.6</v>
      </c>
      <c r="N130" s="441">
        <f>'Haver Pivoted'!GY83</f>
        <v>761.6</v>
      </c>
      <c r="O130" s="441">
        <f>'Haver Pivoted'!GZ83</f>
        <v>781.2</v>
      </c>
      <c r="P130" s="441">
        <f>'Haver Pivoted'!HA83</f>
        <v>800.7</v>
      </c>
      <c r="Q130" s="441">
        <f>'Haver Pivoted'!HB83</f>
        <v>814.3</v>
      </c>
      <c r="R130" s="441">
        <f>'Haver Pivoted'!HC83</f>
        <v>858.2</v>
      </c>
      <c r="S130" s="354">
        <f>'Haver Pivoted'!HD83</f>
        <v>889.5</v>
      </c>
      <c r="T130" s="354">
        <f>'Haver Pivoted'!HE83</f>
        <v>919.1</v>
      </c>
      <c r="U130" s="354">
        <f>'Haver Pivoted'!HF83</f>
        <v>963.6</v>
      </c>
      <c r="V130" s="354">
        <f>'Haver Pivoted'!HG83</f>
        <v>984.1</v>
      </c>
      <c r="W130" s="354">
        <f>'Haver Pivoted'!HH83</f>
        <v>995</v>
      </c>
      <c r="X130" s="354">
        <f>'Haver Pivoted'!HI83</f>
        <v>1013.6</v>
      </c>
      <c r="Y130" s="354">
        <f>'Haver Pivoted'!HJ83</f>
        <v>1046.0999999999999</v>
      </c>
      <c r="Z130" s="354">
        <f>'Haver Pivoted'!HK83</f>
        <v>1053.4000000000001</v>
      </c>
      <c r="AA130" s="354">
        <f>'Haver Pivoted'!HL83</f>
        <v>1055.7</v>
      </c>
      <c r="AB130" s="354">
        <f>'Haver Pivoted'!HM83</f>
        <v>1072.2</v>
      </c>
      <c r="AC130" s="354">
        <f>'Haver Pivoted'!HN83</f>
        <v>1091.8</v>
      </c>
      <c r="AD130" s="354">
        <f>'Haver Pivoted'!HO83</f>
        <v>1090.7</v>
      </c>
      <c r="AE130" s="329"/>
      <c r="AF130" s="329"/>
      <c r="AG130" s="329"/>
      <c r="AH130" s="329"/>
      <c r="AI130" s="329"/>
      <c r="AJ130" s="329"/>
      <c r="AK130" s="329"/>
      <c r="AL130" s="329"/>
      <c r="AM130" s="329"/>
      <c r="AN130" s="329"/>
    </row>
    <row r="131" spans="4:40" x14ac:dyDescent="0.35">
      <c r="D131" s="863" t="s">
        <v>512</v>
      </c>
      <c r="E131" s="249" t="s">
        <v>782</v>
      </c>
      <c r="F131" s="778">
        <f>'Haver Pivoted'!GQ84</f>
        <v>2961.5</v>
      </c>
      <c r="G131" s="441">
        <f>'Haver Pivoted'!GR84</f>
        <v>2962.7</v>
      </c>
      <c r="H131" s="441">
        <f>'Haver Pivoted'!GS84</f>
        <v>2955.4</v>
      </c>
      <c r="I131" s="441">
        <f>'Haver Pivoted'!GT84</f>
        <v>2932.4</v>
      </c>
      <c r="J131" s="441">
        <f>'Haver Pivoted'!GU84</f>
        <v>2874</v>
      </c>
      <c r="K131" s="441">
        <f>'Haver Pivoted'!GV84</f>
        <v>2862.9</v>
      </c>
      <c r="L131" s="441">
        <f>'Haver Pivoted'!GW84</f>
        <v>2980.3</v>
      </c>
      <c r="M131" s="441">
        <f>'Haver Pivoted'!GX84</f>
        <v>3048</v>
      </c>
      <c r="N131" s="441">
        <f>'Haver Pivoted'!GY84</f>
        <v>3158.1</v>
      </c>
      <c r="O131" s="441">
        <f>'Haver Pivoted'!GZ84</f>
        <v>3225.4</v>
      </c>
      <c r="P131" s="441">
        <f>'Haver Pivoted'!HA84</f>
        <v>3291.3</v>
      </c>
      <c r="Q131" s="441">
        <f>'Haver Pivoted'!HB84</f>
        <v>3333.6</v>
      </c>
      <c r="R131" s="441">
        <f>'Haver Pivoted'!HC84</f>
        <v>3424.9</v>
      </c>
      <c r="S131" s="354">
        <f>'Haver Pivoted'!HD84</f>
        <v>3509.5</v>
      </c>
      <c r="T131" s="354">
        <f>'Haver Pivoted'!HE84</f>
        <v>3628.2</v>
      </c>
      <c r="U131" s="354">
        <f>'Haver Pivoted'!HF84</f>
        <v>3729.9</v>
      </c>
      <c r="V131" s="354">
        <f>'Haver Pivoted'!HG84</f>
        <v>3806.4</v>
      </c>
      <c r="W131" s="354">
        <f>'Haver Pivoted'!HH84</f>
        <v>3836.2</v>
      </c>
      <c r="X131" s="354">
        <f>'Haver Pivoted'!HI84</f>
        <v>3919.1</v>
      </c>
      <c r="Y131" s="354">
        <f>'Haver Pivoted'!HJ84</f>
        <v>3938.9</v>
      </c>
      <c r="Z131" s="354">
        <f>'Haver Pivoted'!HK84</f>
        <v>3950.2</v>
      </c>
      <c r="AA131" s="354">
        <f>'Haver Pivoted'!HL84</f>
        <v>3938.8</v>
      </c>
      <c r="AB131" s="354">
        <f>'Haver Pivoted'!HM84</f>
        <v>3958.3</v>
      </c>
      <c r="AC131" s="354">
        <f>'Haver Pivoted'!HN84</f>
        <v>4007.7</v>
      </c>
      <c r="AD131" s="354">
        <f>'Haver Pivoted'!HO84</f>
        <v>4005.6</v>
      </c>
      <c r="AE131" s="329"/>
      <c r="AF131" s="329"/>
      <c r="AG131" s="329"/>
      <c r="AH131" s="329"/>
      <c r="AI131" s="329"/>
      <c r="AJ131" s="329"/>
      <c r="AK131" s="329"/>
      <c r="AL131" s="329"/>
      <c r="AM131" s="329"/>
      <c r="AN131" s="329"/>
    </row>
    <row r="132" spans="4:40" x14ac:dyDescent="0.35">
      <c r="D132" s="683" t="s">
        <v>499</v>
      </c>
      <c r="F132" s="778">
        <f>F128</f>
        <v>9285</v>
      </c>
      <c r="G132" s="441">
        <f t="shared" ref="G132:O132" si="81">G128</f>
        <v>9341</v>
      </c>
      <c r="H132" s="441">
        <f t="shared" si="81"/>
        <v>9488.7999999999993</v>
      </c>
      <c r="I132" s="441">
        <f t="shared" si="81"/>
        <v>9636.5</v>
      </c>
      <c r="J132" s="441">
        <f t="shared" si="81"/>
        <v>9005.2999999999993</v>
      </c>
      <c r="K132" s="441">
        <f t="shared" si="81"/>
        <v>9441.7999999999993</v>
      </c>
      <c r="L132" s="441">
        <f t="shared" si="81"/>
        <v>9809.5</v>
      </c>
      <c r="M132" s="441">
        <f t="shared" si="81"/>
        <v>9889.7999999999993</v>
      </c>
      <c r="N132" s="441">
        <f t="shared" si="81"/>
        <v>10182.5</v>
      </c>
      <c r="O132" s="441">
        <f t="shared" si="81"/>
        <v>10462.799999999999</v>
      </c>
      <c r="P132" s="441">
        <f t="shared" ref="P132:T132" si="82">P128</f>
        <v>10772</v>
      </c>
      <c r="Q132" s="441">
        <f t="shared" si="82"/>
        <v>10909.7</v>
      </c>
      <c r="R132" s="441">
        <f t="shared" si="82"/>
        <v>11012.9</v>
      </c>
      <c r="S132" s="354">
        <f t="shared" si="82"/>
        <v>11296.3</v>
      </c>
      <c r="T132" s="354">
        <f t="shared" si="82"/>
        <v>11343.1</v>
      </c>
      <c r="U132" s="354">
        <f t="shared" ref="U132:W132" si="83">U128</f>
        <v>11499.3</v>
      </c>
      <c r="V132" s="354">
        <f t="shared" si="83"/>
        <v>11660.4</v>
      </c>
      <c r="W132" s="354">
        <f t="shared" si="83"/>
        <v>11843.5</v>
      </c>
      <c r="X132" s="354">
        <f t="shared" ref="X132:Y132" si="84">X128</f>
        <v>11975.4</v>
      </c>
      <c r="Y132" s="354">
        <f t="shared" si="84"/>
        <v>12270.7</v>
      </c>
      <c r="Z132" s="354">
        <f t="shared" ref="Z132" si="85">Z128</f>
        <v>12363.5</v>
      </c>
      <c r="AA132" s="354">
        <f t="shared" ref="AA132:AB132" si="86">AA128</f>
        <v>12425.1</v>
      </c>
      <c r="AB132" s="354">
        <f t="shared" si="86"/>
        <v>12627.8</v>
      </c>
      <c r="AC132" s="354">
        <f>AC128</f>
        <v>12788.7</v>
      </c>
      <c r="AD132" s="354">
        <f>AD128</f>
        <v>12941.1</v>
      </c>
      <c r="AE132" s="329"/>
      <c r="AF132" s="329"/>
      <c r="AG132" s="329"/>
      <c r="AH132" s="329"/>
      <c r="AI132" s="329"/>
      <c r="AJ132" s="329"/>
      <c r="AK132" s="329"/>
      <c r="AL132" s="329"/>
      <c r="AM132" s="329"/>
      <c r="AN132" s="329"/>
    </row>
    <row r="133" spans="4:40" x14ac:dyDescent="0.35">
      <c r="D133" s="683" t="s">
        <v>500</v>
      </c>
      <c r="E133" s="249" t="s">
        <v>516</v>
      </c>
      <c r="F133" s="778">
        <f>'Haver Pivoted'!GQ5</f>
        <v>14350.7</v>
      </c>
      <c r="G133" s="441">
        <f>'Haver Pivoted'!GR5</f>
        <v>14548.3</v>
      </c>
      <c r="H133" s="441">
        <f>'Haver Pivoted'!GS5</f>
        <v>14701</v>
      </c>
      <c r="I133" s="441">
        <f>'Haver Pivoted'!GT5</f>
        <v>14496.2</v>
      </c>
      <c r="J133" s="441">
        <f>'Haver Pivoted'!GU5</f>
        <v>13175.6</v>
      </c>
      <c r="K133" s="441">
        <f>'Haver Pivoted'!GV5</f>
        <v>14478</v>
      </c>
      <c r="L133" s="441">
        <f>'Haver Pivoted'!GW5</f>
        <v>14752.7</v>
      </c>
      <c r="M133" s="441">
        <f>'Haver Pivoted'!GX5</f>
        <v>15259.4</v>
      </c>
      <c r="N133" s="441">
        <f>'Haver Pivoted'!GY5</f>
        <v>16016.3</v>
      </c>
      <c r="O133" s="441">
        <f>'Haver Pivoted'!GZ5</f>
        <v>16363.9</v>
      </c>
      <c r="P133" s="441">
        <f>'Haver Pivoted'!HA5</f>
        <v>16816.099999999999</v>
      </c>
      <c r="Q133" s="441">
        <f>'Haver Pivoted'!HB5</f>
        <v>17175.099999999999</v>
      </c>
      <c r="R133" s="441">
        <f>'Haver Pivoted'!HC5</f>
        <v>17603.8</v>
      </c>
      <c r="S133" s="354">
        <f>'Haver Pivoted'!HD5</f>
        <v>17876.2</v>
      </c>
      <c r="T133" s="354">
        <f>'Haver Pivoted'!HE5</f>
        <v>18108.3</v>
      </c>
      <c r="U133" s="354">
        <f>'Haver Pivoted'!HF5</f>
        <v>18506.2</v>
      </c>
      <c r="V133" s="354">
        <f>'Haver Pivoted'!HG5</f>
        <v>18685.7</v>
      </c>
      <c r="W133" s="354">
        <f>'Haver Pivoted'!HH5</f>
        <v>18929</v>
      </c>
      <c r="X133" s="354">
        <f>'Haver Pivoted'!HI5</f>
        <v>19170.2</v>
      </c>
      <c r="Y133" s="354">
        <f>'Haver Pivoted'!HJ5</f>
        <v>19424.8</v>
      </c>
      <c r="Z133" s="354">
        <f>'Haver Pivoted'!HK5</f>
        <v>19682.7</v>
      </c>
      <c r="AA133" s="354">
        <f>'Haver Pivoted'!HL5</f>
        <v>19938.400000000001</v>
      </c>
      <c r="AB133" s="354">
        <f>'Haver Pivoted'!HM5</f>
        <v>20255.5</v>
      </c>
      <c r="AC133" s="354">
        <f>'Haver Pivoted'!HN5</f>
        <v>20461.599999999999</v>
      </c>
      <c r="AD133" s="354">
        <f>'Haver Pivoted'!HO5</f>
        <v>20640.900000000001</v>
      </c>
      <c r="AE133" s="329"/>
      <c r="AF133" s="329"/>
      <c r="AG133" s="329"/>
      <c r="AH133" s="329"/>
      <c r="AI133" s="329"/>
      <c r="AJ133" s="329"/>
      <c r="AK133" s="329"/>
      <c r="AL133" s="329"/>
      <c r="AM133" s="329"/>
      <c r="AN133" s="329"/>
    </row>
    <row r="134" spans="4:40" x14ac:dyDescent="0.35">
      <c r="D134" s="683" t="s">
        <v>513</v>
      </c>
      <c r="E134" s="249" t="s">
        <v>781</v>
      </c>
      <c r="F134" s="778">
        <f>'Haver Pivoted'!GQ85</f>
        <v>1906.5</v>
      </c>
      <c r="G134" s="441">
        <f>'Haver Pivoted'!GR85</f>
        <v>1968.1</v>
      </c>
      <c r="H134" s="441">
        <f>'Haver Pivoted'!GS85</f>
        <v>2003.2</v>
      </c>
      <c r="I134" s="441">
        <f>'Haver Pivoted'!GT85</f>
        <v>1752.6</v>
      </c>
      <c r="J134" s="441">
        <f>'Haver Pivoted'!GU85</f>
        <v>1686.1</v>
      </c>
      <c r="K134" s="441">
        <f>'Haver Pivoted'!GV85</f>
        <v>2323.9</v>
      </c>
      <c r="L134" s="441">
        <f>'Haver Pivoted'!GW85</f>
        <v>2101.5</v>
      </c>
      <c r="M134" s="441">
        <f>'Haver Pivoted'!GX85</f>
        <v>2438.6999999999998</v>
      </c>
      <c r="N134" s="441">
        <f>'Haver Pivoted'!GY85</f>
        <v>2763.8</v>
      </c>
      <c r="O134" s="441">
        <f>'Haver Pivoted'!GZ85</f>
        <v>2747.4</v>
      </c>
      <c r="P134" s="441">
        <f>'Haver Pivoted'!HA85</f>
        <v>2751.8</v>
      </c>
      <c r="Q134" s="441">
        <f>'Haver Pivoted'!HB85</f>
        <v>2738.7</v>
      </c>
      <c r="R134" s="354">
        <f>'Haver Pivoted'!HC85</f>
        <v>2876.9</v>
      </c>
      <c r="S134" s="354">
        <f>'Haver Pivoted'!HD85</f>
        <v>2950.7</v>
      </c>
      <c r="T134" s="354">
        <f>'Haver Pivoted'!HE85</f>
        <v>2921.1</v>
      </c>
      <c r="U134" s="354">
        <f>'Haver Pivoted'!HF85</f>
        <v>2941.2</v>
      </c>
      <c r="V134" s="354">
        <f>'Haver Pivoted'!HG85</f>
        <v>2953.4</v>
      </c>
      <c r="W134" s="354">
        <f>'Haver Pivoted'!HH85</f>
        <v>3079.7</v>
      </c>
      <c r="X134" s="354">
        <f>'Haver Pivoted'!HI85</f>
        <v>3253.6</v>
      </c>
      <c r="Y134" s="354">
        <f>'Haver Pivoted'!HJ85</f>
        <v>3186.2</v>
      </c>
      <c r="Z134" s="354">
        <f>'Haver Pivoted'!HK85</f>
        <v>3337.4</v>
      </c>
      <c r="AA134" s="354">
        <f>'Haver Pivoted'!HL85</f>
        <v>3365.3</v>
      </c>
      <c r="AB134" s="354">
        <f>'Haver Pivoted'!HM85</f>
        <v>3487.8</v>
      </c>
      <c r="AC134" s="354">
        <f>'Haver Pivoted'!HN85</f>
        <v>3435.2</v>
      </c>
      <c r="AD134" s="354">
        <f>'Haver Pivoted'!HO85</f>
        <v>0</v>
      </c>
      <c r="AE134" s="329"/>
      <c r="AF134" s="329"/>
      <c r="AG134" s="329"/>
      <c r="AH134" s="329"/>
      <c r="AI134" s="329"/>
      <c r="AJ134" s="329"/>
      <c r="AK134" s="329"/>
      <c r="AL134" s="329"/>
      <c r="AM134" s="329"/>
      <c r="AN134" s="329"/>
    </row>
    <row r="135" spans="4:40" x14ac:dyDescent="0.35">
      <c r="D135" s="289" t="s">
        <v>514</v>
      </c>
      <c r="F135" s="276"/>
      <c r="G135" s="233"/>
      <c r="H135" s="233"/>
      <c r="I135" s="233"/>
      <c r="J135" s="233"/>
      <c r="K135" s="233"/>
      <c r="L135" s="233"/>
      <c r="M135" s="233"/>
      <c r="N135" s="233"/>
      <c r="O135" s="233"/>
      <c r="P135" s="233"/>
      <c r="Q135" s="233"/>
      <c r="R135" s="233"/>
      <c r="S135" s="233"/>
      <c r="T135" s="233"/>
      <c r="U135" s="233"/>
      <c r="V135" s="233"/>
      <c r="W135" s="233"/>
      <c r="X135" s="233"/>
      <c r="Y135" s="233"/>
      <c r="Z135" s="233"/>
      <c r="AA135" s="233"/>
      <c r="AB135" s="233"/>
      <c r="AC135" s="233"/>
      <c r="AD135" s="233"/>
      <c r="AE135" s="233"/>
      <c r="AF135" s="233"/>
      <c r="AG135" s="233"/>
      <c r="AH135" s="233"/>
      <c r="AI135" s="233"/>
      <c r="AJ135" s="233"/>
      <c r="AK135" s="233"/>
      <c r="AL135" s="233"/>
      <c r="AM135" s="233"/>
      <c r="AN135" s="233"/>
    </row>
    <row r="136" spans="4:40" x14ac:dyDescent="0.35">
      <c r="D136" s="812" t="s">
        <v>484</v>
      </c>
      <c r="F136" s="784">
        <f t="shared" ref="F136:AA136" si="87">F23/F127</f>
        <v>3.670955208815823E-2</v>
      </c>
      <c r="G136" s="808">
        <f t="shared" si="87"/>
        <v>3.4027243765791498E-2</v>
      </c>
      <c r="H136" s="808">
        <f t="shared" si="87"/>
        <v>3.3265006923139578E-2</v>
      </c>
      <c r="I136" s="808">
        <f t="shared" si="87"/>
        <v>3.3107240570318434E-2</v>
      </c>
      <c r="J136" s="808">
        <f t="shared" si="87"/>
        <v>3.4570962386621919E-2</v>
      </c>
      <c r="K136" s="808">
        <f t="shared" si="87"/>
        <v>3.4672757216149E-2</v>
      </c>
      <c r="L136" s="808">
        <f t="shared" si="87"/>
        <v>3.4751040755526034E-2</v>
      </c>
      <c r="M136" s="808">
        <f t="shared" si="87"/>
        <v>3.6343777022150851E-2</v>
      </c>
      <c r="N136" s="808">
        <f t="shared" si="87"/>
        <v>3.6751381076895101E-2</v>
      </c>
      <c r="O136" s="808">
        <f t="shared" si="87"/>
        <v>3.528295534539222E-2</v>
      </c>
      <c r="P136" s="808">
        <f t="shared" si="87"/>
        <v>3.5842486897839046E-2</v>
      </c>
      <c r="Q136" s="808">
        <f t="shared" si="87"/>
        <v>3.8878922970356826E-2</v>
      </c>
      <c r="R136" s="808">
        <f t="shared" si="87"/>
        <v>4.0423186613865542E-2</v>
      </c>
      <c r="S136" s="806">
        <f t="shared" si="87"/>
        <v>3.3915841415301358E-2</v>
      </c>
      <c r="T136" s="806">
        <f t="shared" si="87"/>
        <v>3.4123520855446787E-2</v>
      </c>
      <c r="U136" s="781">
        <f t="shared" si="87"/>
        <v>3.1885257205902635E-2</v>
      </c>
      <c r="V136" s="781">
        <f t="shared" si="87"/>
        <v>3.1630183548606389E-2</v>
      </c>
      <c r="W136" s="781">
        <f t="shared" si="87"/>
        <v>3.2502563166624622E-2</v>
      </c>
      <c r="X136" s="781">
        <f t="shared" si="87"/>
        <v>3.2423642084520768E-2</v>
      </c>
      <c r="Y136" s="781">
        <f t="shared" si="87"/>
        <v>3.1698894309281349E-2</v>
      </c>
      <c r="Z136" s="781">
        <f t="shared" si="87"/>
        <v>3.2525529959627042E-2</v>
      </c>
      <c r="AA136" s="781">
        <f t="shared" si="87"/>
        <v>3.3731108263735585E-2</v>
      </c>
      <c r="AB136" s="781">
        <f t="shared" ref="AB136" si="88">AB23/AB127</f>
        <v>3.4046248057764371E-2</v>
      </c>
      <c r="AC136" s="781">
        <f>AC23/AC127</f>
        <v>3.3979560111125594E-2</v>
      </c>
      <c r="AD136" s="781">
        <f>AD23/AD127</f>
        <v>3.4369576136742276E-2</v>
      </c>
      <c r="AE136" s="807">
        <f t="shared" ref="AE136:AE139" si="89">AD136</f>
        <v>3.4369576136742276E-2</v>
      </c>
      <c r="AF136" s="807">
        <f t="shared" ref="AF136:AF138" si="90">AE136</f>
        <v>3.4369576136742276E-2</v>
      </c>
      <c r="AG136" s="807">
        <f>AF136</f>
        <v>3.4369576136742276E-2</v>
      </c>
      <c r="AH136" s="807">
        <f t="shared" ref="AH136:AJ136" si="91">AG136</f>
        <v>3.4369576136742276E-2</v>
      </c>
      <c r="AI136" s="807">
        <f t="shared" si="91"/>
        <v>3.4369576136742276E-2</v>
      </c>
      <c r="AJ136" s="807">
        <f t="shared" si="91"/>
        <v>3.4369576136742276E-2</v>
      </c>
      <c r="AK136" s="807">
        <f t="shared" ref="AK136:AK139" si="92">AJ136</f>
        <v>3.4369576136742276E-2</v>
      </c>
      <c r="AL136" s="807">
        <f t="shared" ref="AL136:AL139" si="93">AK136</f>
        <v>3.4369576136742276E-2</v>
      </c>
      <c r="AM136" s="807">
        <f t="shared" ref="AM136:AM139" si="94">AL136</f>
        <v>3.4369576136742276E-2</v>
      </c>
      <c r="AN136" s="807">
        <f t="shared" ref="AN136:AN139" si="95">AM136</f>
        <v>3.4369576136742276E-2</v>
      </c>
    </row>
    <row r="137" spans="4:40" x14ac:dyDescent="0.35">
      <c r="D137" s="812" t="s">
        <v>481</v>
      </c>
      <c r="F137" s="784">
        <f t="shared" ref="F137:AA137" si="96">F25/F132</f>
        <v>2.2401723209477652E-3</v>
      </c>
      <c r="G137" s="808">
        <f t="shared" si="96"/>
        <v>2.2053313349748422E-3</v>
      </c>
      <c r="H137" s="808">
        <f t="shared" si="96"/>
        <v>2.1604417839979767E-3</v>
      </c>
      <c r="I137" s="808">
        <f t="shared" si="96"/>
        <v>2.1065739635759873E-3</v>
      </c>
      <c r="J137" s="808">
        <f t="shared" si="96"/>
        <v>2.1431823481727428E-3</v>
      </c>
      <c r="K137" s="808">
        <f t="shared" si="96"/>
        <v>2.1076489652396787E-3</v>
      </c>
      <c r="L137" s="808">
        <f t="shared" si="96"/>
        <v>2.1000050970997504E-3</v>
      </c>
      <c r="M137" s="808">
        <f t="shared" si="96"/>
        <v>2.153734150336711E-3</v>
      </c>
      <c r="N137" s="808">
        <f t="shared" si="96"/>
        <v>2.1605696047139701E-3</v>
      </c>
      <c r="O137" s="808">
        <f t="shared" si="96"/>
        <v>2.1600336430018735E-3</v>
      </c>
      <c r="P137" s="808">
        <f t="shared" si="96"/>
        <v>2.1444485703676201E-3</v>
      </c>
      <c r="Q137" s="808">
        <f t="shared" si="96"/>
        <v>2.1448802441863661E-3</v>
      </c>
      <c r="R137" s="808">
        <f t="shared" si="96"/>
        <v>2.0975401574517159E-3</v>
      </c>
      <c r="S137" s="806">
        <f t="shared" si="96"/>
        <v>2.009507537866381E-3</v>
      </c>
      <c r="T137" s="806">
        <f t="shared" si="96"/>
        <v>1.9218732092637816E-3</v>
      </c>
      <c r="U137" s="781">
        <f t="shared" si="96"/>
        <v>1.808805753393685E-3</v>
      </c>
      <c r="V137" s="781">
        <f t="shared" si="96"/>
        <v>1.7580872011251759E-3</v>
      </c>
      <c r="W137" s="781">
        <f t="shared" si="96"/>
        <v>1.7900113986574913E-3</v>
      </c>
      <c r="X137" s="781">
        <f t="shared" si="96"/>
        <v>1.9039030011523625E-3</v>
      </c>
      <c r="Y137" s="781">
        <f t="shared" si="96"/>
        <v>2.0373735809693008E-3</v>
      </c>
      <c r="Z137" s="781">
        <f t="shared" si="96"/>
        <v>2.1595826424556154E-3</v>
      </c>
      <c r="AA137" s="781">
        <f t="shared" si="96"/>
        <v>2.2132618650956529E-3</v>
      </c>
      <c r="AB137" s="781">
        <f t="shared" ref="AB137" si="97">AB25/AB132</f>
        <v>2.1856538747842065E-3</v>
      </c>
      <c r="AC137" s="781">
        <f>AC25/AC132</f>
        <v>2.1112388280278682E-3</v>
      </c>
      <c r="AD137" s="781">
        <f>AD25/AD132</f>
        <v>2.0941032833375834E-3</v>
      </c>
      <c r="AE137" s="807">
        <f t="shared" si="89"/>
        <v>2.0941032833375834E-3</v>
      </c>
      <c r="AF137" s="807">
        <f t="shared" si="90"/>
        <v>2.0941032833375834E-3</v>
      </c>
      <c r="AG137" s="807">
        <f>AF137</f>
        <v>2.0941032833375834E-3</v>
      </c>
      <c r="AH137" s="807">
        <f t="shared" ref="AH137:AJ138" si="98">AG137</f>
        <v>2.0941032833375834E-3</v>
      </c>
      <c r="AI137" s="807">
        <f t="shared" si="98"/>
        <v>2.0941032833375834E-3</v>
      </c>
      <c r="AJ137" s="807">
        <f t="shared" si="98"/>
        <v>2.0941032833375834E-3</v>
      </c>
      <c r="AK137" s="807">
        <f t="shared" si="92"/>
        <v>2.0941032833375834E-3</v>
      </c>
      <c r="AL137" s="807">
        <f t="shared" si="93"/>
        <v>2.0941032833375834E-3</v>
      </c>
      <c r="AM137" s="807">
        <f t="shared" si="94"/>
        <v>2.0941032833375834E-3</v>
      </c>
      <c r="AN137" s="807">
        <f t="shared" si="95"/>
        <v>2.0941032833375834E-3</v>
      </c>
    </row>
    <row r="138" spans="4:40" x14ac:dyDescent="0.35">
      <c r="D138" s="812" t="s">
        <v>482</v>
      </c>
      <c r="F138" s="784">
        <f t="shared" ref="F138:AA138" si="99">F26/F133</f>
        <v>9.414174918296668E-2</v>
      </c>
      <c r="G138" s="808">
        <f t="shared" si="99"/>
        <v>9.4636486737282019E-2</v>
      </c>
      <c r="H138" s="808">
        <f t="shared" si="99"/>
        <v>9.343582069246989E-2</v>
      </c>
      <c r="I138" s="808">
        <f t="shared" si="99"/>
        <v>9.4721375256963877E-2</v>
      </c>
      <c r="J138" s="808">
        <f t="shared" si="99"/>
        <v>9.7809587419168773E-2</v>
      </c>
      <c r="K138" s="808">
        <f t="shared" si="99"/>
        <v>9.6021549937836723E-2</v>
      </c>
      <c r="L138" s="808">
        <f t="shared" si="99"/>
        <v>9.569095826526669E-2</v>
      </c>
      <c r="M138" s="808">
        <f t="shared" si="99"/>
        <v>9.4119034824436093E-2</v>
      </c>
      <c r="N138" s="808">
        <f t="shared" si="99"/>
        <v>9.5171793735132335E-2</v>
      </c>
      <c r="O138" s="808">
        <f t="shared" si="99"/>
        <v>9.4005707685820616E-2</v>
      </c>
      <c r="P138" s="808">
        <f t="shared" si="99"/>
        <v>9.3915949595922962E-2</v>
      </c>
      <c r="Q138" s="808">
        <f t="shared" si="99"/>
        <v>9.3466704706231696E-2</v>
      </c>
      <c r="R138" s="808">
        <f t="shared" si="99"/>
        <v>9.3400288574057883E-2</v>
      </c>
      <c r="S138" s="806">
        <f t="shared" si="99"/>
        <v>9.3319609312941226E-2</v>
      </c>
      <c r="T138" s="806">
        <f t="shared" si="99"/>
        <v>9.2603944047757111E-2</v>
      </c>
      <c r="U138" s="781">
        <f t="shared" si="99"/>
        <v>9.1742226929353396E-2</v>
      </c>
      <c r="V138" s="781">
        <f t="shared" si="99"/>
        <v>9.1481721316300696E-2</v>
      </c>
      <c r="W138" s="781">
        <f t="shared" si="99"/>
        <v>9.1077183158117178E-2</v>
      </c>
      <c r="X138" s="781">
        <f t="shared" si="99"/>
        <v>9.0990182679366927E-2</v>
      </c>
      <c r="Y138" s="781">
        <f t="shared" si="99"/>
        <v>9.0647007948601782E-2</v>
      </c>
      <c r="Z138" s="781">
        <f t="shared" si="99"/>
        <v>9.0551601152280933E-2</v>
      </c>
      <c r="AA138" s="781">
        <f t="shared" si="99"/>
        <v>9.0002206796934547E-2</v>
      </c>
      <c r="AB138" s="781">
        <f t="shared" ref="AB138" si="100">AB26/AB133</f>
        <v>8.99360667473032E-2</v>
      </c>
      <c r="AC138" s="781">
        <f>AC26/AC133</f>
        <v>9.0212886577784743E-2</v>
      </c>
      <c r="AD138" s="781">
        <f>AD26/AD133</f>
        <v>9.0427258501325034E-2</v>
      </c>
      <c r="AE138" s="807">
        <f t="shared" si="89"/>
        <v>9.0427258501325034E-2</v>
      </c>
      <c r="AF138" s="807">
        <f t="shared" si="90"/>
        <v>9.0427258501325034E-2</v>
      </c>
      <c r="AG138" s="807">
        <f t="shared" ref="AG138" si="101">AF138</f>
        <v>9.0427258501325034E-2</v>
      </c>
      <c r="AH138" s="807">
        <f t="shared" si="98"/>
        <v>9.0427258501325034E-2</v>
      </c>
      <c r="AI138" s="807">
        <f t="shared" si="98"/>
        <v>9.0427258501325034E-2</v>
      </c>
      <c r="AJ138" s="807">
        <f t="shared" si="98"/>
        <v>9.0427258501325034E-2</v>
      </c>
      <c r="AK138" s="807">
        <f t="shared" si="92"/>
        <v>9.0427258501325034E-2</v>
      </c>
      <c r="AL138" s="807">
        <f t="shared" si="93"/>
        <v>9.0427258501325034E-2</v>
      </c>
      <c r="AM138" s="807">
        <f t="shared" si="94"/>
        <v>9.0427258501325034E-2</v>
      </c>
      <c r="AN138" s="807">
        <f t="shared" si="95"/>
        <v>9.0427258501325034E-2</v>
      </c>
    </row>
    <row r="139" spans="4:40" x14ac:dyDescent="0.35">
      <c r="D139" s="773" t="s">
        <v>515</v>
      </c>
      <c r="E139" s="370"/>
      <c r="F139" s="776">
        <f t="shared" ref="F139:AB139" si="102">F27/F134</f>
        <v>4.028324154209284E-2</v>
      </c>
      <c r="G139" s="777">
        <f t="shared" si="102"/>
        <v>3.7650525887912199E-2</v>
      </c>
      <c r="H139" s="777">
        <f t="shared" si="102"/>
        <v>3.5093849840255591E-2</v>
      </c>
      <c r="I139" s="777">
        <f t="shared" si="102"/>
        <v>3.6802464909277646E-2</v>
      </c>
      <c r="J139" s="777">
        <f t="shared" si="102"/>
        <v>3.9380819642963055E-2</v>
      </c>
      <c r="K139" s="777">
        <f t="shared" si="102"/>
        <v>3.5070355867292048E-2</v>
      </c>
      <c r="L139" s="777">
        <f t="shared" si="102"/>
        <v>3.9210088032357843E-2</v>
      </c>
      <c r="M139" s="777">
        <f t="shared" si="102"/>
        <v>3.4075532045762087E-2</v>
      </c>
      <c r="N139" s="777">
        <f t="shared" si="102"/>
        <v>3.3902597872494389E-2</v>
      </c>
      <c r="O139" s="777">
        <f t="shared" si="102"/>
        <v>4.3422872534032174E-2</v>
      </c>
      <c r="P139" s="777">
        <f t="shared" si="102"/>
        <v>6.1087288320372114E-2</v>
      </c>
      <c r="Q139" s="777">
        <f t="shared" si="102"/>
        <v>6.2365355825756752E-2</v>
      </c>
      <c r="R139" s="782">
        <f t="shared" si="102"/>
        <v>5.4781188084396394E-2</v>
      </c>
      <c r="S139" s="782">
        <f t="shared" si="102"/>
        <v>5.391940895380757E-2</v>
      </c>
      <c r="T139" s="885">
        <f t="shared" si="102"/>
        <v>5.5527027489644311E-2</v>
      </c>
      <c r="U139" s="809">
        <f t="shared" si="102"/>
        <v>5.3957568339453282E-2</v>
      </c>
      <c r="V139" s="809">
        <f t="shared" si="102"/>
        <v>5.4987472066093314E-2</v>
      </c>
      <c r="W139" s="809">
        <f t="shared" si="102"/>
        <v>5.3868883332792161E-2</v>
      </c>
      <c r="X139" s="809">
        <f t="shared" si="102"/>
        <v>5.1297024834030001E-2</v>
      </c>
      <c r="Y139" s="809">
        <f t="shared" si="102"/>
        <v>5.348063523947022E-2</v>
      </c>
      <c r="Z139" s="809">
        <f t="shared" si="102"/>
        <v>4.9140049140049137E-2</v>
      </c>
      <c r="AA139" s="809">
        <f t="shared" si="102"/>
        <v>4.8316643389890938E-2</v>
      </c>
      <c r="AB139" s="809">
        <f t="shared" si="102"/>
        <v>4.7078387522220308E-2</v>
      </c>
      <c r="AC139" s="809">
        <f>AC27/AC134</f>
        <v>5.0855845365626456E-2</v>
      </c>
      <c r="AD139" s="807">
        <f t="shared" ref="AD139" si="103">AC139</f>
        <v>5.0855845365626456E-2</v>
      </c>
      <c r="AE139" s="807">
        <f t="shared" si="89"/>
        <v>5.0855845365626456E-2</v>
      </c>
      <c r="AF139" s="807">
        <f>AE139</f>
        <v>5.0855845365626456E-2</v>
      </c>
      <c r="AG139" s="807">
        <f>AF139</f>
        <v>5.0855845365626456E-2</v>
      </c>
      <c r="AH139" s="807">
        <f t="shared" ref="AH139:AJ139" si="104">AG139</f>
        <v>5.0855845365626456E-2</v>
      </c>
      <c r="AI139" s="807">
        <f t="shared" si="104"/>
        <v>5.0855845365626456E-2</v>
      </c>
      <c r="AJ139" s="807">
        <f t="shared" si="104"/>
        <v>5.0855845365626456E-2</v>
      </c>
      <c r="AK139" s="807">
        <f t="shared" si="92"/>
        <v>5.0855845365626456E-2</v>
      </c>
      <c r="AL139" s="807">
        <f t="shared" si="93"/>
        <v>5.0855845365626456E-2</v>
      </c>
      <c r="AM139" s="807">
        <f t="shared" si="94"/>
        <v>5.0855845365626456E-2</v>
      </c>
      <c r="AN139" s="807">
        <f t="shared" si="95"/>
        <v>5.0855845365626456E-2</v>
      </c>
    </row>
    <row r="143" spans="4:40" x14ac:dyDescent="0.35">
      <c r="D143" s="1417" t="s">
        <v>1698</v>
      </c>
      <c r="E143" s="1417"/>
      <c r="F143" s="1417"/>
      <c r="G143" s="1417"/>
      <c r="H143" s="1417"/>
      <c r="I143" s="1417"/>
      <c r="J143" s="1417"/>
      <c r="K143" s="1417"/>
      <c r="L143" s="1417"/>
      <c r="M143" s="1417"/>
      <c r="N143" s="1417"/>
      <c r="O143" s="1417"/>
      <c r="P143" s="1417"/>
      <c r="Q143" s="1417"/>
      <c r="R143" s="1417"/>
      <c r="S143" s="1417"/>
      <c r="T143" s="1417"/>
      <c r="U143" s="1417"/>
      <c r="V143" s="1417"/>
      <c r="W143" s="1417"/>
      <c r="X143" s="1417"/>
      <c r="Y143" s="1417"/>
      <c r="Z143" s="1417"/>
      <c r="AA143" s="1417"/>
      <c r="AB143" s="1417"/>
      <c r="AC143" s="1417"/>
    </row>
    <row r="144" spans="4:40" x14ac:dyDescent="0.35">
      <c r="D144" s="751" t="s">
        <v>1691</v>
      </c>
      <c r="E144" s="746"/>
      <c r="F144" s="288"/>
      <c r="G144" s="288"/>
      <c r="H144" s="288"/>
      <c r="I144" s="288"/>
      <c r="J144" s="288"/>
      <c r="K144" s="288"/>
      <c r="L144" s="288"/>
      <c r="M144" s="288"/>
      <c r="N144" s="288"/>
      <c r="O144" s="288"/>
      <c r="P144" s="288"/>
      <c r="Q144" s="288"/>
      <c r="R144" s="288"/>
      <c r="S144" s="779"/>
      <c r="T144" s="288"/>
      <c r="U144" s="295"/>
      <c r="V144" s="295"/>
      <c r="W144" s="295"/>
      <c r="X144" s="295"/>
      <c r="Y144" s="295"/>
      <c r="Z144" s="295"/>
      <c r="AA144" s="295"/>
      <c r="AB144" s="295"/>
      <c r="AC144" s="228"/>
    </row>
    <row r="145" spans="4:29" x14ac:dyDescent="0.35">
      <c r="D145" s="886" t="s">
        <v>509</v>
      </c>
      <c r="E145" s="887"/>
      <c r="F145" s="888"/>
      <c r="G145" s="888">
        <f>(G127/F127)^4-1</f>
        <v>2.7913001349364253E-2</v>
      </c>
      <c r="H145" s="888">
        <f t="shared" ref="H145:S145" si="105">(H127/G127)^4-1</f>
        <v>4.7056786044947341E-2</v>
      </c>
      <c r="I145" s="888">
        <f t="shared" si="105"/>
        <v>3.9308941340777448E-2</v>
      </c>
      <c r="J145" s="888">
        <f t="shared" si="105"/>
        <v>-0.20767330318048161</v>
      </c>
      <c r="K145" s="888">
        <f t="shared" si="105"/>
        <v>0.22160650997768916</v>
      </c>
      <c r="L145" s="888">
        <f t="shared" si="105"/>
        <v>0.12774612606997193</v>
      </c>
      <c r="M145" s="888">
        <f t="shared" si="105"/>
        <v>4.7000819432919894E-2</v>
      </c>
      <c r="N145" s="888">
        <f t="shared" si="105"/>
        <v>0.15575354729693691</v>
      </c>
      <c r="O145" s="888">
        <f t="shared" si="105"/>
        <v>0.10114329593307891</v>
      </c>
      <c r="P145" s="888">
        <f t="shared" si="105"/>
        <v>9.5894303203679421E-2</v>
      </c>
      <c r="Q145" s="888">
        <f t="shared" si="105"/>
        <v>4.2812972925388104E-2</v>
      </c>
      <c r="R145" s="888">
        <f t="shared" si="105"/>
        <v>6.1818398365929728E-2</v>
      </c>
      <c r="S145" s="888">
        <f t="shared" si="105"/>
        <v>0.10779959808936046</v>
      </c>
      <c r="T145" s="889"/>
      <c r="U145" s="329"/>
      <c r="V145" s="329"/>
      <c r="W145" s="329"/>
      <c r="X145" s="329"/>
      <c r="Y145" s="329"/>
      <c r="Z145" s="329"/>
      <c r="AA145" s="329"/>
      <c r="AB145" s="329"/>
      <c r="AC145" s="438"/>
    </row>
    <row r="146" spans="4:29" x14ac:dyDescent="0.35">
      <c r="D146" s="890" t="s">
        <v>783</v>
      </c>
      <c r="E146" s="891"/>
      <c r="F146" s="888"/>
      <c r="G146" s="888">
        <f t="shared" ref="G146:S146" si="106">(G128/F128)^4-1</f>
        <v>2.4344066214849969E-2</v>
      </c>
      <c r="H146" s="888">
        <f t="shared" si="106"/>
        <v>6.4808926543423739E-2</v>
      </c>
      <c r="I146" s="888">
        <f t="shared" si="106"/>
        <v>6.3731772577288348E-2</v>
      </c>
      <c r="J146" s="888">
        <f t="shared" si="106"/>
        <v>-0.23736727268240676</v>
      </c>
      <c r="K146" s="888">
        <f t="shared" si="106"/>
        <v>0.20844376621817839</v>
      </c>
      <c r="L146" s="888">
        <f t="shared" si="106"/>
        <v>0.16511367309277247</v>
      </c>
      <c r="M146" s="888">
        <f t="shared" si="106"/>
        <v>3.314802533242589E-2</v>
      </c>
      <c r="N146" s="888">
        <f t="shared" si="106"/>
        <v>0.12374465481168762</v>
      </c>
      <c r="O146" s="888">
        <f t="shared" si="106"/>
        <v>0.11474111578039969</v>
      </c>
      <c r="P146" s="888">
        <f t="shared" si="106"/>
        <v>0.12355331155960547</v>
      </c>
      <c r="Q146" s="888">
        <f t="shared" si="106"/>
        <v>5.2121400356726078E-2</v>
      </c>
      <c r="R146" s="888">
        <f t="shared" si="106"/>
        <v>3.8378170832219727E-2</v>
      </c>
      <c r="S146" s="888">
        <f t="shared" si="106"/>
        <v>0.10697569974210452</v>
      </c>
      <c r="T146" s="889"/>
      <c r="U146" s="329"/>
      <c r="V146" s="329"/>
      <c r="W146" s="329"/>
      <c r="X146" s="329"/>
      <c r="Y146" s="329"/>
      <c r="Z146" s="329"/>
      <c r="AA146" s="329"/>
      <c r="AB146" s="329"/>
      <c r="AC146" s="438"/>
    </row>
    <row r="147" spans="4:29" x14ac:dyDescent="0.35">
      <c r="D147" s="890" t="s">
        <v>510</v>
      </c>
      <c r="E147" s="891"/>
      <c r="F147" s="888"/>
      <c r="G147" s="888">
        <f t="shared" ref="G147:S147" si="107">(G129/F129)^4-1</f>
        <v>9.5170520378034862E-2</v>
      </c>
      <c r="H147" s="888">
        <f t="shared" si="107"/>
        <v>3.0386715102811657E-2</v>
      </c>
      <c r="I147" s="888">
        <f t="shared" si="107"/>
        <v>-1.2576877927581664E-2</v>
      </c>
      <c r="J147" s="888">
        <f t="shared" si="107"/>
        <v>-0.33559918291781621</v>
      </c>
      <c r="K147" s="888">
        <f t="shared" si="107"/>
        <v>1.0567645594940451</v>
      </c>
      <c r="L147" s="888">
        <f t="shared" si="107"/>
        <v>-8.5516467937984397E-2</v>
      </c>
      <c r="M147" s="888">
        <f t="shared" si="107"/>
        <v>7.2385177080469099E-2</v>
      </c>
      <c r="N147" s="888">
        <f t="shared" si="107"/>
        <v>0.39706645948874297</v>
      </c>
      <c r="O147" s="888">
        <f t="shared" si="107"/>
        <v>4.7644934993231525E-2</v>
      </c>
      <c r="P147" s="888">
        <f t="shared" si="107"/>
        <v>-3.4465830968520295E-2</v>
      </c>
      <c r="Q147" s="888">
        <f t="shared" si="107"/>
        <v>-3.7288431797324884E-2</v>
      </c>
      <c r="R147" s="888">
        <f t="shared" si="107"/>
        <v>3.7162148806803685E-2</v>
      </c>
      <c r="S147" s="888">
        <f t="shared" si="107"/>
        <v>0.10136440863642315</v>
      </c>
      <c r="T147" s="889"/>
      <c r="U147" s="329"/>
      <c r="V147" s="329"/>
      <c r="W147" s="329"/>
      <c r="X147" s="329"/>
      <c r="Y147" s="329"/>
      <c r="Z147" s="329"/>
      <c r="AA147" s="329"/>
      <c r="AB147" s="329"/>
      <c r="AC147" s="438"/>
    </row>
    <row r="148" spans="4:29" x14ac:dyDescent="0.35">
      <c r="D148" s="890" t="s">
        <v>511</v>
      </c>
      <c r="E148" s="891"/>
      <c r="F148" s="888"/>
      <c r="G148" s="888">
        <f t="shared" ref="G148:S148" si="108">(G130/F130)^4-1</f>
        <v>4.4060751620176752E-2</v>
      </c>
      <c r="H148" s="888">
        <f t="shared" si="108"/>
        <v>9.6622128532301677E-2</v>
      </c>
      <c r="I148" s="888">
        <f t="shared" si="108"/>
        <v>0.13675802614067245</v>
      </c>
      <c r="J148" s="888">
        <f t="shared" si="108"/>
        <v>1.0461745960318236E-2</v>
      </c>
      <c r="K148" s="888">
        <f t="shared" si="108"/>
        <v>7.5343951398924913E-2</v>
      </c>
      <c r="L148" s="888">
        <f t="shared" si="108"/>
        <v>1.5126690012599919E-2</v>
      </c>
      <c r="M148" s="888">
        <f t="shared" si="108"/>
        <v>-9.5986507456689019E-3</v>
      </c>
      <c r="N148" s="888">
        <f t="shared" si="108"/>
        <v>8.8639640354544413E-2</v>
      </c>
      <c r="O148" s="888">
        <f t="shared" si="108"/>
        <v>0.10698362579219722</v>
      </c>
      <c r="P148" s="888">
        <f t="shared" si="108"/>
        <v>0.10364747893427251</v>
      </c>
      <c r="Q148" s="888">
        <f t="shared" si="108"/>
        <v>6.9691205228084696E-2</v>
      </c>
      <c r="R148" s="888">
        <f t="shared" si="108"/>
        <v>0.23371913760147933</v>
      </c>
      <c r="S148" s="888">
        <f t="shared" si="108"/>
        <v>0.15406366806084937</v>
      </c>
      <c r="T148" s="889"/>
      <c r="U148" s="329"/>
      <c r="V148" s="329"/>
      <c r="W148" s="329"/>
      <c r="X148" s="329"/>
      <c r="Y148" s="329"/>
      <c r="Z148" s="329"/>
      <c r="AA148" s="329"/>
      <c r="AB148" s="329"/>
      <c r="AC148" s="438"/>
    </row>
    <row r="149" spans="4:29" x14ac:dyDescent="0.35">
      <c r="D149" s="890" t="s">
        <v>512</v>
      </c>
      <c r="E149" s="891"/>
      <c r="F149" s="888"/>
      <c r="G149" s="888">
        <f t="shared" ref="G149:S149" si="109">(G131/F131)^4-1</f>
        <v>1.6217856588427448E-3</v>
      </c>
      <c r="H149" s="888">
        <f t="shared" si="109"/>
        <v>-9.8195076585786412E-3</v>
      </c>
      <c r="I149" s="888">
        <f t="shared" si="109"/>
        <v>-3.0767948453107596E-2</v>
      </c>
      <c r="J149" s="888">
        <f t="shared" si="109"/>
        <v>-7.7313403452727636E-2</v>
      </c>
      <c r="K149" s="888">
        <f t="shared" si="109"/>
        <v>-1.5359581864805461E-2</v>
      </c>
      <c r="L149" s="888">
        <f t="shared" si="109"/>
        <v>0.17439776752664971</v>
      </c>
      <c r="M149" s="888">
        <f t="shared" si="109"/>
        <v>9.4006543160045863E-2</v>
      </c>
      <c r="N149" s="888">
        <f t="shared" si="109"/>
        <v>0.15250723378892039</v>
      </c>
      <c r="O149" s="888">
        <f t="shared" si="109"/>
        <v>8.8004811201423561E-2</v>
      </c>
      <c r="P149" s="888">
        <f t="shared" si="109"/>
        <v>8.4265283746917774E-2</v>
      </c>
      <c r="Q149" s="888">
        <f t="shared" si="109"/>
        <v>5.2407830182700454E-2</v>
      </c>
      <c r="R149" s="888">
        <f t="shared" si="109"/>
        <v>0.11413452453651107</v>
      </c>
      <c r="S149" s="888">
        <f t="shared" si="109"/>
        <v>0.10252743449255797</v>
      </c>
      <c r="T149" s="889"/>
      <c r="U149" s="329"/>
      <c r="V149" s="329"/>
      <c r="W149" s="329"/>
      <c r="X149" s="329"/>
      <c r="Y149" s="329"/>
      <c r="Z149" s="329"/>
      <c r="AA149" s="329"/>
      <c r="AB149" s="329"/>
      <c r="AC149" s="438"/>
    </row>
    <row r="150" spans="4:29" x14ac:dyDescent="0.35">
      <c r="D150" s="886" t="s">
        <v>499</v>
      </c>
      <c r="E150" s="887"/>
      <c r="F150" s="888"/>
      <c r="G150" s="888">
        <f t="shared" ref="G150:S150" si="110">(G132/F132)^4-1</f>
        <v>2.4344066214849969E-2</v>
      </c>
      <c r="H150" s="888">
        <f t="shared" si="110"/>
        <v>6.4808926543423739E-2</v>
      </c>
      <c r="I150" s="888">
        <f t="shared" si="110"/>
        <v>6.3731772577288348E-2</v>
      </c>
      <c r="J150" s="888">
        <f t="shared" si="110"/>
        <v>-0.23736727268240676</v>
      </c>
      <c r="K150" s="888">
        <f t="shared" si="110"/>
        <v>0.20844376621817839</v>
      </c>
      <c r="L150" s="888">
        <f t="shared" si="110"/>
        <v>0.16511367309277247</v>
      </c>
      <c r="M150" s="888">
        <f t="shared" si="110"/>
        <v>3.314802533242589E-2</v>
      </c>
      <c r="N150" s="888">
        <f t="shared" si="110"/>
        <v>0.12374465481168762</v>
      </c>
      <c r="O150" s="888">
        <f t="shared" si="110"/>
        <v>0.11474111578039969</v>
      </c>
      <c r="P150" s="888">
        <f t="shared" si="110"/>
        <v>0.12355331155960547</v>
      </c>
      <c r="Q150" s="888">
        <f t="shared" si="110"/>
        <v>5.2121400356726078E-2</v>
      </c>
      <c r="R150" s="888">
        <f t="shared" si="110"/>
        <v>3.8378170832219727E-2</v>
      </c>
      <c r="S150" s="888">
        <f t="shared" si="110"/>
        <v>0.10697569974210452</v>
      </c>
      <c r="T150" s="889"/>
      <c r="U150" s="329"/>
      <c r="V150" s="329"/>
      <c r="W150" s="329"/>
      <c r="X150" s="329"/>
      <c r="Y150" s="329"/>
      <c r="Z150" s="329"/>
      <c r="AA150" s="329"/>
      <c r="AB150" s="329"/>
      <c r="AC150" s="438"/>
    </row>
    <row r="151" spans="4:29" x14ac:dyDescent="0.35">
      <c r="D151" s="886" t="s">
        <v>500</v>
      </c>
      <c r="E151" s="891"/>
      <c r="F151" s="888"/>
      <c r="G151" s="888">
        <f t="shared" ref="G151:S151" si="111">(G133/F133)^4-1</f>
        <v>5.6225503215933115E-2</v>
      </c>
      <c r="H151" s="888">
        <f t="shared" si="111"/>
        <v>4.2649929393125507E-2</v>
      </c>
      <c r="I151" s="888">
        <f t="shared" si="111"/>
        <v>-5.4570436543737832E-2</v>
      </c>
      <c r="J151" s="888">
        <f t="shared" si="111"/>
        <v>-0.31755930379794983</v>
      </c>
      <c r="K151" s="888">
        <f t="shared" si="111"/>
        <v>0.45798374797974395</v>
      </c>
      <c r="L151" s="888">
        <f t="shared" si="111"/>
        <v>7.8081900447835251E-2</v>
      </c>
      <c r="M151" s="888">
        <f t="shared" si="111"/>
        <v>0.14462647249539784</v>
      </c>
      <c r="N151" s="888">
        <f t="shared" si="111"/>
        <v>0.21366534100957191</v>
      </c>
      <c r="O151" s="888">
        <f t="shared" si="111"/>
        <v>8.9678764816876422E-2</v>
      </c>
      <c r="P151" s="888">
        <f t="shared" si="111"/>
        <v>0.1152028170216266</v>
      </c>
      <c r="Q151" s="888">
        <f t="shared" si="111"/>
        <v>8.8168054860614076E-2</v>
      </c>
      <c r="R151" s="888">
        <f t="shared" si="111"/>
        <v>0.10364298156306018</v>
      </c>
      <c r="S151" s="888">
        <f t="shared" si="111"/>
        <v>6.3347260248833859E-2</v>
      </c>
      <c r="T151" s="889"/>
      <c r="U151" s="329"/>
      <c r="V151" s="329"/>
      <c r="W151" s="329"/>
      <c r="X151" s="329"/>
      <c r="Y151" s="329"/>
      <c r="Z151" s="329"/>
      <c r="AA151" s="329"/>
      <c r="AB151" s="329"/>
      <c r="AC151" s="438"/>
    </row>
    <row r="152" spans="4:29" x14ac:dyDescent="0.35">
      <c r="D152" s="892" t="s">
        <v>513</v>
      </c>
      <c r="E152" s="748"/>
      <c r="F152" s="749"/>
      <c r="G152" s="749">
        <f t="shared" ref="G152:S152" si="112">(G134/F134)^4-1</f>
        <v>0.13564189817892713</v>
      </c>
      <c r="H152" s="749">
        <f t="shared" si="112"/>
        <v>7.3269037673770798E-2</v>
      </c>
      <c r="I152" s="749">
        <f t="shared" si="112"/>
        <v>-0.41408585427253519</v>
      </c>
      <c r="J152" s="749">
        <f t="shared" si="112"/>
        <v>-0.1433526334649271</v>
      </c>
      <c r="K152" s="749">
        <f t="shared" si="112"/>
        <v>2.6085807680777386</v>
      </c>
      <c r="L152" s="749">
        <f t="shared" si="112"/>
        <v>-0.33127457784416303</v>
      </c>
      <c r="M152" s="749">
        <f t="shared" si="112"/>
        <v>0.81349321781472628</v>
      </c>
      <c r="N152" s="749">
        <f t="shared" si="112"/>
        <v>0.64965427523107366</v>
      </c>
      <c r="O152" s="749">
        <f t="shared" si="112"/>
        <v>-2.3525007110185348E-2</v>
      </c>
      <c r="P152" s="749">
        <f t="shared" si="112"/>
        <v>6.4214621581073494E-3</v>
      </c>
      <c r="Q152" s="749">
        <f t="shared" si="112"/>
        <v>-1.8906537249130384E-2</v>
      </c>
      <c r="R152" s="749">
        <f t="shared" si="112"/>
        <v>0.2176464803225644</v>
      </c>
      <c r="S152" s="749">
        <f t="shared" si="112"/>
        <v>0.10662674433130115</v>
      </c>
      <c r="T152" s="750"/>
      <c r="U152" s="273"/>
      <c r="V152" s="273"/>
      <c r="W152" s="273"/>
      <c r="X152" s="273"/>
      <c r="Y152" s="273"/>
      <c r="Z152" s="273"/>
      <c r="AA152" s="273"/>
      <c r="AB152" s="273"/>
      <c r="AC152" s="301"/>
    </row>
    <row r="155" spans="4:29" ht="14.9" customHeight="1" x14ac:dyDescent="0.35"/>
  </sheetData>
  <mergeCells count="44">
    <mergeCell ref="D33:F33"/>
    <mergeCell ref="F45:V45"/>
    <mergeCell ref="D1:AC1"/>
    <mergeCell ref="D2:AC3"/>
    <mergeCell ref="AC6:AF6"/>
    <mergeCell ref="F6:H6"/>
    <mergeCell ref="I6:L6"/>
    <mergeCell ref="Q6:T6"/>
    <mergeCell ref="D5:E7"/>
    <mergeCell ref="M6:P6"/>
    <mergeCell ref="F5:AB5"/>
    <mergeCell ref="AC5:AN5"/>
    <mergeCell ref="AK6:AN6"/>
    <mergeCell ref="U6:X6"/>
    <mergeCell ref="AG6:AJ6"/>
    <mergeCell ref="W45:AH45"/>
    <mergeCell ref="D143:AC143"/>
    <mergeCell ref="D119:E119"/>
    <mergeCell ref="D117:E118"/>
    <mergeCell ref="Y46:AB46"/>
    <mergeCell ref="D107:E108"/>
    <mergeCell ref="F107:H107"/>
    <mergeCell ref="I107:L107"/>
    <mergeCell ref="M117:P117"/>
    <mergeCell ref="F117:H117"/>
    <mergeCell ref="I117:L117"/>
    <mergeCell ref="Q117:T117"/>
    <mergeCell ref="AC107:AF107"/>
    <mergeCell ref="AC117:AF117"/>
    <mergeCell ref="Y117:AB117"/>
    <mergeCell ref="O74:V74"/>
    <mergeCell ref="P75:S75"/>
    <mergeCell ref="F46:H46"/>
    <mergeCell ref="M46:P46"/>
    <mergeCell ref="Q46:T46"/>
    <mergeCell ref="I46:L46"/>
    <mergeCell ref="AK117:AN117"/>
    <mergeCell ref="AK107:AN107"/>
    <mergeCell ref="AG46:AJ46"/>
    <mergeCell ref="Q107:T107"/>
    <mergeCell ref="M107:P107"/>
    <mergeCell ref="AC46:AF46"/>
    <mergeCell ref="AG107:AJ107"/>
    <mergeCell ref="AG117:AJ117"/>
  </mergeCells>
  <pageMargins left="0.7" right="0.7" top="0.75" bottom="0.75" header="0.3" footer="0.3"/>
  <pageSetup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X34" activePane="bottomRight" state="frozen"/>
      <selection pane="topRight" activeCell="D1" sqref="D1"/>
      <selection pane="bottomLeft" activeCell="A5" sqref="A5"/>
      <selection pane="bottomRight" activeCell="AF51" sqref="AF51"/>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4" t="s">
        <v>1699</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x14ac:dyDescent="0.35">
      <c r="B2" s="1349" t="s">
        <v>1954</v>
      </c>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row>
    <row r="3" spans="2:40" x14ac:dyDescent="0.35">
      <c r="B3" s="1349"/>
      <c r="C3" s="1349"/>
      <c r="D3" s="1349"/>
      <c r="E3" s="1349"/>
      <c r="F3" s="1349"/>
      <c r="G3" s="1349"/>
      <c r="H3" s="1349"/>
      <c r="I3" s="1349"/>
      <c r="J3" s="1349"/>
      <c r="K3" s="1349"/>
      <c r="L3" s="1349"/>
      <c r="M3" s="1349"/>
      <c r="N3" s="1349"/>
      <c r="O3" s="1349"/>
      <c r="P3" s="1349"/>
      <c r="Q3" s="1349"/>
      <c r="R3" s="1349"/>
      <c r="S3" s="1349"/>
      <c r="T3" s="1349"/>
      <c r="U3" s="1349"/>
      <c r="V3" s="1349"/>
      <c r="W3" s="1349"/>
      <c r="X3" s="1349"/>
      <c r="Y3" s="1349"/>
      <c r="Z3" s="1349"/>
      <c r="AA3" s="1349"/>
      <c r="AB3" s="1349"/>
      <c r="AC3" s="1349"/>
    </row>
    <row r="4" spans="2:40" x14ac:dyDescent="0.35">
      <c r="B4" s="1349"/>
      <c r="C4" s="1349"/>
      <c r="D4" s="1349"/>
      <c r="E4" s="1349"/>
      <c r="F4" s="1349"/>
      <c r="G4" s="1349"/>
      <c r="H4" s="1349"/>
      <c r="I4" s="1349"/>
      <c r="J4" s="1349"/>
      <c r="K4" s="1349"/>
      <c r="L4" s="1349"/>
      <c r="M4" s="1349"/>
      <c r="N4" s="1349"/>
      <c r="O4" s="1349"/>
      <c r="P4" s="1349"/>
      <c r="Q4" s="1349"/>
      <c r="R4" s="1349"/>
      <c r="S4" s="1349"/>
      <c r="T4" s="1349"/>
      <c r="U4" s="1349"/>
      <c r="V4" s="1349"/>
      <c r="W4" s="1349"/>
      <c r="X4" s="1349"/>
      <c r="Y4" s="1349"/>
      <c r="Z4" s="1349"/>
      <c r="AA4" s="1349"/>
      <c r="AB4" s="1349"/>
      <c r="AC4" s="1349"/>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5"/>
      <c r="D6" s="906"/>
      <c r="E6" s="906"/>
      <c r="F6" s="906"/>
      <c r="G6" s="906"/>
      <c r="H6" s="906"/>
      <c r="I6" s="906"/>
      <c r="J6" s="906"/>
      <c r="K6" s="906"/>
      <c r="L6" s="906"/>
      <c r="M6" s="906"/>
      <c r="N6" s="906"/>
      <c r="O6" s="906"/>
      <c r="P6" s="906"/>
      <c r="Q6" s="906"/>
      <c r="R6" s="906"/>
      <c r="S6" s="906"/>
      <c r="T6" s="906"/>
      <c r="U6" s="906"/>
      <c r="V6" s="906"/>
      <c r="W6" s="906"/>
      <c r="X6" s="906"/>
      <c r="Y6" s="906"/>
      <c r="Z6" s="906"/>
      <c r="AA6" s="906"/>
      <c r="AB6" s="906"/>
      <c r="AC6" s="906"/>
      <c r="AD6" s="906"/>
      <c r="AE6" s="906"/>
      <c r="AF6" s="906"/>
    </row>
    <row r="7" spans="2:40" ht="14.5" customHeight="1" x14ac:dyDescent="0.35">
      <c r="B7" s="1429" t="s">
        <v>1724</v>
      </c>
      <c r="C7" s="1429"/>
      <c r="D7" s="1430"/>
      <c r="E7" s="1430"/>
      <c r="F7" s="1430"/>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19" t="s">
        <v>1713</v>
      </c>
      <c r="C8" s="1320"/>
      <c r="D8" s="1343" t="s">
        <v>279</v>
      </c>
      <c r="E8" s="1344"/>
      <c r="F8" s="1344"/>
      <c r="G8" s="1344"/>
      <c r="H8" s="1344"/>
      <c r="I8" s="1344"/>
      <c r="J8" s="1344"/>
      <c r="K8" s="1344"/>
      <c r="L8" s="1344"/>
      <c r="M8" s="1344"/>
      <c r="N8" s="1344"/>
      <c r="O8" s="1344"/>
      <c r="P8" s="1344"/>
      <c r="Q8" s="1344"/>
      <c r="R8" s="1344"/>
      <c r="S8" s="1344"/>
      <c r="T8" s="1344"/>
      <c r="U8" s="1344"/>
      <c r="V8" s="1345"/>
      <c r="W8" s="900"/>
      <c r="X8" s="895"/>
      <c r="Y8" s="895"/>
      <c r="Z8" s="895"/>
      <c r="AA8" s="895"/>
      <c r="AB8" s="1347" t="s">
        <v>1739</v>
      </c>
      <c r="AC8" s="1327"/>
      <c r="AD8" s="1327"/>
      <c r="AE8" s="1327"/>
      <c r="AF8" s="1327"/>
      <c r="AG8" s="1327"/>
      <c r="AH8" s="1327"/>
      <c r="AI8" s="1327"/>
      <c r="AJ8" s="1327"/>
      <c r="AK8" s="1327"/>
      <c r="AL8" s="1327"/>
      <c r="AM8" s="1327"/>
      <c r="AN8" s="1328"/>
    </row>
    <row r="9" spans="2:40" x14ac:dyDescent="0.35">
      <c r="B9" s="1321"/>
      <c r="C9" s="1322"/>
      <c r="D9" s="897">
        <v>2018</v>
      </c>
      <c r="E9" s="1338">
        <v>2019</v>
      </c>
      <c r="F9" s="1346"/>
      <c r="G9" s="1346"/>
      <c r="H9" s="1340"/>
      <c r="I9" s="1338">
        <v>2020</v>
      </c>
      <c r="J9" s="1346"/>
      <c r="K9" s="1346"/>
      <c r="L9" s="1340"/>
      <c r="M9" s="1338">
        <v>2021</v>
      </c>
      <c r="N9" s="1346"/>
      <c r="O9" s="1346"/>
      <c r="P9" s="1340"/>
      <c r="Q9" s="1341">
        <v>2022</v>
      </c>
      <c r="R9" s="1342"/>
      <c r="S9" s="302"/>
      <c r="T9" s="309"/>
      <c r="U9" s="460"/>
      <c r="V9" s="302">
        <v>2023</v>
      </c>
      <c r="W9" s="302"/>
      <c r="X9" s="309"/>
      <c r="Y9" s="460"/>
      <c r="Z9" s="302">
        <v>2024</v>
      </c>
      <c r="AA9" s="302"/>
      <c r="AB9" s="309"/>
      <c r="AC9" s="1358">
        <v>2025</v>
      </c>
      <c r="AD9" s="1359"/>
      <c r="AE9" s="1359"/>
      <c r="AF9" s="1416"/>
      <c r="AG9" s="1359">
        <v>2026</v>
      </c>
      <c r="AH9" s="1359"/>
      <c r="AI9" s="1359"/>
      <c r="AJ9" s="1416"/>
      <c r="AK9" s="1325">
        <v>2027</v>
      </c>
      <c r="AL9" s="1326"/>
      <c r="AM9" s="1326"/>
      <c r="AN9" s="1330"/>
    </row>
    <row r="10" spans="2:40" x14ac:dyDescent="0.35">
      <c r="B10" s="1323"/>
      <c r="C10" s="1324"/>
      <c r="D10" s="898"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4" t="s">
        <v>1723</v>
      </c>
      <c r="C11" s="1435"/>
      <c r="D11" s="1435"/>
      <c r="E11" s="1435"/>
      <c r="F11" s="1435"/>
      <c r="G11" s="1435"/>
      <c r="H11" s="1435"/>
      <c r="I11" s="1435"/>
      <c r="J11" s="1435"/>
      <c r="K11" s="1435"/>
      <c r="L11" s="1435"/>
      <c r="M11" s="1435"/>
      <c r="N11" s="1435"/>
      <c r="O11" s="1435"/>
      <c r="P11" s="1435"/>
      <c r="Q11" s="1435"/>
      <c r="R11" s="1435"/>
      <c r="S11" s="1435"/>
      <c r="T11" s="1435"/>
      <c r="U11" s="1435"/>
      <c r="V11" s="1435"/>
      <c r="W11" s="1435"/>
      <c r="X11" s="1435"/>
      <c r="Y11" s="1435"/>
      <c r="Z11" s="1435"/>
      <c r="AA11" s="1435"/>
      <c r="AB11" s="1435"/>
      <c r="AC11" s="1435"/>
      <c r="AD11" s="1435"/>
      <c r="AE11" s="1435"/>
      <c r="AF11" s="1435"/>
      <c r="AG11" s="1435"/>
      <c r="AH11" s="1435"/>
      <c r="AI11" s="1435"/>
      <c r="AJ11" s="1435"/>
      <c r="AK11" s="1435"/>
      <c r="AL11" s="1435"/>
      <c r="AM11" s="1435"/>
      <c r="AN11" s="1436"/>
    </row>
    <row r="12" spans="2:40" x14ac:dyDescent="0.35">
      <c r="B12" s="935" t="s">
        <v>1702</v>
      </c>
      <c r="C12" s="936"/>
      <c r="D12" s="930">
        <f t="shared" ref="D12:T12" si="0">D45</f>
        <v>1.5264497223703488E-2</v>
      </c>
      <c r="E12" s="930">
        <f t="shared" si="0"/>
        <v>8.1697245486058723E-3</v>
      </c>
      <c r="F12" s="930">
        <f t="shared" si="0"/>
        <v>2.2550676192391039E-2</v>
      </c>
      <c r="G12" s="930">
        <f t="shared" si="0"/>
        <v>9.6649063963889503E-3</v>
      </c>
      <c r="H12" s="930">
        <f t="shared" si="0"/>
        <v>1.5834666967584843E-2</v>
      </c>
      <c r="I12" s="930">
        <f t="shared" si="0"/>
        <v>1.239349514115573E-2</v>
      </c>
      <c r="J12" s="930">
        <f t="shared" si="0"/>
        <v>-1.5843080973497181E-2</v>
      </c>
      <c r="K12" s="930">
        <f t="shared" si="0"/>
        <v>3.2862675445769929E-2</v>
      </c>
      <c r="L12" s="930">
        <f t="shared" si="0"/>
        <v>1.9524743592179927E-2</v>
      </c>
      <c r="M12" s="930">
        <f t="shared" si="0"/>
        <v>4.5919222990944863E-2</v>
      </c>
      <c r="N12" s="930">
        <f t="shared" si="0"/>
        <v>6.3763215063124212E-2</v>
      </c>
      <c r="O12" s="930">
        <f t="shared" si="0"/>
        <v>5.6353404292981857E-2</v>
      </c>
      <c r="P12" s="930">
        <f t="shared" si="0"/>
        <v>6.7661635913466744E-2</v>
      </c>
      <c r="Q12" s="930">
        <f t="shared" si="0"/>
        <v>7.7270298955965933E-2</v>
      </c>
      <c r="R12" s="930">
        <f t="shared" si="0"/>
        <v>7.554614845470442E-2</v>
      </c>
      <c r="S12" s="930">
        <f t="shared" si="0"/>
        <v>4.7220953130670873E-2</v>
      </c>
      <c r="T12" s="951">
        <f t="shared" si="0"/>
        <v>4.0176508092810925E-2</v>
      </c>
      <c r="U12" s="930">
        <f t="shared" ref="U12:AF12" si="1">U45+U13</f>
        <v>3.9428535960380762E-2</v>
      </c>
      <c r="V12" s="930">
        <f t="shared" si="1"/>
        <v>2.9211734875661532E-2</v>
      </c>
      <c r="W12" s="930">
        <f t="shared" si="1"/>
        <v>2.6927277215065937E-2</v>
      </c>
      <c r="X12" s="930">
        <f t="shared" si="1"/>
        <v>1.6533593023621451E-2</v>
      </c>
      <c r="Y12" s="930">
        <f t="shared" si="1"/>
        <v>3.4247515494288061E-2</v>
      </c>
      <c r="Z12" s="930">
        <f t="shared" si="1"/>
        <v>2.5312909540798456E-2</v>
      </c>
      <c r="AA12" s="930">
        <f t="shared" si="1"/>
        <v>1.5403536594506217E-2</v>
      </c>
      <c r="AB12" s="930">
        <f>AB45+AB13</f>
        <v>2.3839052457011789E-2</v>
      </c>
      <c r="AC12" s="930">
        <f t="shared" si="1"/>
        <v>3.6577985459982365E-2</v>
      </c>
      <c r="AD12" s="930">
        <f>AD45+AD13</f>
        <v>2.0797032106222968E-2</v>
      </c>
      <c r="AE12" s="930">
        <f>AE45+AE13</f>
        <v>2.3874932014508632E-2</v>
      </c>
      <c r="AF12" s="930">
        <f t="shared" si="1"/>
        <v>2.4011392938697362E-2</v>
      </c>
      <c r="AG12" s="906">
        <f>AG45+AG13</f>
        <v>2.1469131944638509E-2</v>
      </c>
      <c r="AH12" s="906">
        <f>AH45+AH13</f>
        <v>2.037795778240481E-2</v>
      </c>
      <c r="AI12" s="930">
        <f t="shared" ref="AI12" si="2">AI45+AI13</f>
        <v>2.031319568771961E-2</v>
      </c>
      <c r="AJ12" s="930">
        <f>AJ45+AJ13</f>
        <v>2.0411174157790368E-2</v>
      </c>
      <c r="AK12" s="906">
        <f t="shared" ref="AK12:AN12" si="3">AK45+AK13</f>
        <v>2.0278651758323107E-2</v>
      </c>
      <c r="AL12" s="906">
        <f t="shared" si="3"/>
        <v>2.0181831515000193E-2</v>
      </c>
      <c r="AM12" s="906">
        <f t="shared" si="3"/>
        <v>2.008748904793789E-2</v>
      </c>
      <c r="AN12" s="906">
        <f t="shared" si="3"/>
        <v>2.0063466029726529E-2</v>
      </c>
    </row>
    <row r="13" spans="2:40" x14ac:dyDescent="0.35">
      <c r="B13" s="940" t="s">
        <v>1734</v>
      </c>
      <c r="C13" s="937"/>
      <c r="D13" s="938"/>
      <c r="E13" s="939"/>
      <c r="F13" s="939"/>
      <c r="G13" s="939"/>
      <c r="H13" s="939"/>
      <c r="I13" s="939"/>
      <c r="J13" s="939"/>
      <c r="K13" s="939"/>
      <c r="L13" s="939"/>
      <c r="M13" s="939"/>
      <c r="N13" s="939"/>
      <c r="O13" s="939"/>
      <c r="P13" s="939"/>
      <c r="Q13" s="939"/>
      <c r="R13" s="939"/>
      <c r="S13" s="939"/>
      <c r="T13" s="939"/>
      <c r="U13" s="939"/>
      <c r="V13" s="939"/>
      <c r="W13" s="939"/>
      <c r="X13" s="939"/>
      <c r="Y13" s="939"/>
      <c r="Z13" s="939"/>
      <c r="AA13" s="939"/>
      <c r="AB13" s="939"/>
      <c r="AC13" s="939"/>
      <c r="AD13" s="939"/>
      <c r="AE13" s="939"/>
      <c r="AF13" s="939">
        <v>2E-3</v>
      </c>
      <c r="AG13" s="906"/>
      <c r="AH13" s="906"/>
      <c r="AI13" s="939"/>
      <c r="AJ13" s="906"/>
    </row>
    <row r="14" spans="2:40" x14ac:dyDescent="0.35">
      <c r="B14" s="893" t="s">
        <v>1703</v>
      </c>
      <c r="C14" s="936"/>
      <c r="D14" s="906">
        <f t="shared" ref="D14:S14" si="4">D48</f>
        <v>2.9477765289275926E-2</v>
      </c>
      <c r="E14" s="906">
        <f t="shared" si="4"/>
        <v>3.7241332054374521E-2</v>
      </c>
      <c r="F14" s="906">
        <f t="shared" si="4"/>
        <v>-2.6356011696502479E-2</v>
      </c>
      <c r="G14" s="906">
        <f t="shared" si="4"/>
        <v>3.7347692764231333E-3</v>
      </c>
      <c r="H14" s="906">
        <f t="shared" si="4"/>
        <v>1.463826004028701E-2</v>
      </c>
      <c r="I14" s="906">
        <f t="shared" si="4"/>
        <v>1.2149501243322813E-2</v>
      </c>
      <c r="J14" s="906">
        <f t="shared" si="4"/>
        <v>2.5590697877679869E-3</v>
      </c>
      <c r="K14" s="906">
        <f t="shared" si="4"/>
        <v>2.2030538597398897E-2</v>
      </c>
      <c r="L14" s="906">
        <f t="shared" si="4"/>
        <v>3.0184246589695318E-2</v>
      </c>
      <c r="M14" s="906">
        <f t="shared" si="4"/>
        <v>3.1074822316861761E-2</v>
      </c>
      <c r="N14" s="906">
        <f t="shared" si="4"/>
        <v>4.3814411385844076E-2</v>
      </c>
      <c r="O14" s="906">
        <f t="shared" si="4"/>
        <v>4.8079114499886888E-2</v>
      </c>
      <c r="P14" s="906">
        <f t="shared" si="4"/>
        <v>5.0423609727379137E-2</v>
      </c>
      <c r="Q14" s="906">
        <f t="shared" si="4"/>
        <v>6.5677487260019429E-2</v>
      </c>
      <c r="R14" s="906">
        <f t="shared" si="4"/>
        <v>7.488961890096113E-2</v>
      </c>
      <c r="S14" s="906">
        <f t="shared" si="4"/>
        <v>5.3316340788000627E-2</v>
      </c>
      <c r="T14" s="906">
        <f>T48</f>
        <v>4.1496756379381328E-2</v>
      </c>
      <c r="U14" s="906">
        <f>U48+U15</f>
        <v>4.2898407970302532E-2</v>
      </c>
      <c r="V14" s="906">
        <f t="shared" ref="V14:AF14" si="5">V48+V15</f>
        <v>3.5017736429978852E-2</v>
      </c>
      <c r="W14" s="906">
        <f t="shared" si="5"/>
        <v>3.8113924198168725E-2</v>
      </c>
      <c r="X14" s="906">
        <f t="shared" si="5"/>
        <v>3.8299248311242984E-2</v>
      </c>
      <c r="Y14" s="906">
        <f t="shared" si="5"/>
        <v>3.5508670157945676E-2</v>
      </c>
      <c r="Z14" s="906">
        <f t="shared" si="5"/>
        <v>2.8203399736230539E-2</v>
      </c>
      <c r="AA14" s="906">
        <f t="shared" si="5"/>
        <v>2.4481644318991469E-2</v>
      </c>
      <c r="AB14" s="906">
        <f t="shared" si="5"/>
        <v>2.665590972416565E-2</v>
      </c>
      <c r="AC14" s="906">
        <f t="shared" si="5"/>
        <v>5.6768969247473322E-2</v>
      </c>
      <c r="AD14" s="906">
        <f t="shared" si="5"/>
        <v>6.1030824179235887E-2</v>
      </c>
      <c r="AE14" s="906">
        <f>AE48+AE15</f>
        <v>2.4729668703095779E-2</v>
      </c>
      <c r="AF14" s="906">
        <f t="shared" si="5"/>
        <v>2.4119603614899725E-2</v>
      </c>
      <c r="AG14" s="899">
        <f t="shared" ref="AG14:AH14" si="6">AG48+AG15</f>
        <v>2.1515602617293128E-2</v>
      </c>
      <c r="AH14" s="899">
        <f t="shared" si="6"/>
        <v>2.2790850007197161E-2</v>
      </c>
      <c r="AI14" s="906">
        <f t="shared" ref="AI14:AN14" si="7">AI48+AI15</f>
        <v>2.3263295207157642E-2</v>
      </c>
      <c r="AJ14" s="899">
        <f t="shared" si="7"/>
        <v>2.3889685874715294E-2</v>
      </c>
      <c r="AK14" s="899">
        <f t="shared" si="7"/>
        <v>2.2412555601408091E-2</v>
      </c>
      <c r="AL14" s="899">
        <f t="shared" si="7"/>
        <v>2.2147320108405477E-2</v>
      </c>
      <c r="AM14" s="899">
        <f t="shared" si="7"/>
        <v>2.2772302614111117E-2</v>
      </c>
      <c r="AN14" s="899">
        <f t="shared" si="7"/>
        <v>2.3247045836330082E-2</v>
      </c>
    </row>
    <row r="15" spans="2:40" x14ac:dyDescent="0.35">
      <c r="B15" s="344" t="s">
        <v>1735</v>
      </c>
      <c r="C15" s="937"/>
      <c r="D15" s="938"/>
      <c r="E15" s="939"/>
      <c r="F15" s="939"/>
      <c r="G15" s="939"/>
      <c r="H15" s="939"/>
      <c r="I15" s="939"/>
      <c r="J15" s="939"/>
      <c r="K15" s="939"/>
      <c r="L15" s="939"/>
      <c r="M15" s="939"/>
      <c r="N15" s="939"/>
      <c r="O15" s="939"/>
      <c r="P15" s="939"/>
      <c r="Q15" s="939"/>
      <c r="R15" s="939"/>
      <c r="S15" s="939"/>
      <c r="T15" s="939"/>
      <c r="U15" s="939"/>
      <c r="V15" s="939"/>
      <c r="W15" s="939"/>
      <c r="X15" s="939"/>
      <c r="Y15" s="939"/>
      <c r="Z15" s="939"/>
      <c r="AA15" s="939"/>
      <c r="AB15" s="939"/>
      <c r="AC15" s="939"/>
      <c r="AD15" s="939"/>
      <c r="AE15" s="939"/>
      <c r="AF15" s="939"/>
      <c r="AG15" s="906"/>
      <c r="AH15" s="906"/>
      <c r="AI15" s="906"/>
      <c r="AJ15" s="906"/>
    </row>
    <row r="16" spans="2:40" x14ac:dyDescent="0.35">
      <c r="B16" s="893" t="s">
        <v>1704</v>
      </c>
      <c r="C16" s="936"/>
      <c r="D16" s="906">
        <f t="shared" ref="D16:T16" si="8">D49</f>
        <v>1.7606158659444704E-2</v>
      </c>
      <c r="E16" s="906">
        <f t="shared" si="8"/>
        <v>-1.9289094877951052E-2</v>
      </c>
      <c r="F16" s="906">
        <f t="shared" si="8"/>
        <v>3.0411677963670725E-2</v>
      </c>
      <c r="G16" s="906">
        <f t="shared" si="8"/>
        <v>1.5793384791695786E-2</v>
      </c>
      <c r="H16" s="906">
        <f t="shared" si="8"/>
        <v>2.3589262537388134E-2</v>
      </c>
      <c r="I16" s="906">
        <f t="shared" si="8"/>
        <v>5.264893740513088E-2</v>
      </c>
      <c r="J16" s="906">
        <f t="shared" si="8"/>
        <v>-5.217742186237273E-3</v>
      </c>
      <c r="K16" s="906">
        <f t="shared" si="8"/>
        <v>4.8875550231923137E-2</v>
      </c>
      <c r="L16" s="906">
        <f t="shared" si="8"/>
        <v>4.9958958569866319E-2</v>
      </c>
      <c r="M16" s="906">
        <f t="shared" si="8"/>
        <v>9.1754054615137415E-2</v>
      </c>
      <c r="N16" s="906">
        <f t="shared" si="8"/>
        <v>8.1251965588764241E-2</v>
      </c>
      <c r="O16" s="906">
        <f t="shared" si="8"/>
        <v>6.5854996027893797E-2</v>
      </c>
      <c r="P16" s="906">
        <f t="shared" si="8"/>
        <v>8.1420811365759738E-2</v>
      </c>
      <c r="Q16" s="906">
        <f t="shared" si="8"/>
        <v>9.5809760841454095E-2</v>
      </c>
      <c r="R16" s="906">
        <f t="shared" si="8"/>
        <v>0.14288883985037359</v>
      </c>
      <c r="S16" s="906">
        <f t="shared" si="8"/>
        <v>5.753757100426693E-3</v>
      </c>
      <c r="T16" s="906">
        <f t="shared" si="8"/>
        <v>1.1355976812321922E-2</v>
      </c>
      <c r="U16" s="924">
        <f>U49+U17</f>
        <v>-2.087064600501487E-2</v>
      </c>
      <c r="V16" s="906">
        <f t="shared" ref="V16:AF16" si="9">V49+V17</f>
        <v>-3.6759658065968148E-2</v>
      </c>
      <c r="W16" s="906">
        <f t="shared" si="9"/>
        <v>4.0372871979416969E-2</v>
      </c>
      <c r="X16" s="906">
        <f t="shared" si="9"/>
        <v>-1.1102871005200798E-3</v>
      </c>
      <c r="Y16" s="906">
        <f t="shared" si="9"/>
        <v>3.8608393322818291E-2</v>
      </c>
      <c r="Z16" s="906">
        <f t="shared" si="9"/>
        <v>1.6292943839810503E-2</v>
      </c>
      <c r="AA16" s="906">
        <f t="shared" si="9"/>
        <v>2.3887845221117976E-2</v>
      </c>
      <c r="AB16" s="906">
        <f t="shared" si="9"/>
        <v>1.7801857364531548E-2</v>
      </c>
      <c r="AC16" s="906">
        <f t="shared" si="9"/>
        <v>3.9281195609842667E-2</v>
      </c>
      <c r="AD16" s="906">
        <f t="shared" si="9"/>
        <v>6.6477162008220514E-3</v>
      </c>
      <c r="AE16" s="906">
        <f t="shared" si="9"/>
        <v>3.1343868352262882E-2</v>
      </c>
      <c r="AF16" s="906">
        <f t="shared" si="9"/>
        <v>3.2394354805230341E-2</v>
      </c>
      <c r="AG16" s="899">
        <f t="shared" ref="AG16:AH16" si="10">AG49+AG17</f>
        <v>3.3164637629816696E-2</v>
      </c>
      <c r="AH16" s="899">
        <f t="shared" si="10"/>
        <v>3.1425713898589613E-2</v>
      </c>
      <c r="AI16" s="899">
        <f t="shared" ref="AI16:AM16" si="11">AI49+AI17</f>
        <v>3.1013053419121528E-2</v>
      </c>
      <c r="AJ16" s="899">
        <f t="shared" si="11"/>
        <v>3.1015398756455648E-2</v>
      </c>
      <c r="AK16" s="899">
        <f t="shared" si="11"/>
        <v>3.0542269425562596E-2</v>
      </c>
      <c r="AL16" s="899">
        <f t="shared" si="11"/>
        <v>3.0334679878840642E-2</v>
      </c>
      <c r="AM16" s="899">
        <f t="shared" si="11"/>
        <v>2.9994558057691467E-2</v>
      </c>
      <c r="AN16" s="899">
        <f>AN49+AN17</f>
        <v>2.9803649988641601E-2</v>
      </c>
    </row>
    <row r="17" spans="2:40" x14ac:dyDescent="0.35">
      <c r="B17" s="344" t="s">
        <v>1736</v>
      </c>
      <c r="C17" s="937"/>
      <c r="D17" s="938"/>
      <c r="E17" s="939"/>
      <c r="F17" s="939"/>
      <c r="G17" s="939"/>
      <c r="H17" s="939"/>
      <c r="I17" s="939"/>
      <c r="J17" s="939"/>
      <c r="K17" s="939"/>
      <c r="L17" s="939"/>
      <c r="M17" s="939"/>
      <c r="N17" s="939"/>
      <c r="O17" s="939"/>
      <c r="P17" s="939"/>
      <c r="Q17" s="939"/>
      <c r="R17" s="939"/>
      <c r="S17" s="939"/>
      <c r="T17" s="939"/>
      <c r="U17" s="939"/>
      <c r="V17" s="939"/>
      <c r="W17" s="939"/>
      <c r="X17" s="939"/>
      <c r="Y17" s="939"/>
      <c r="Z17" s="939"/>
      <c r="AA17" s="939"/>
      <c r="AB17" s="939"/>
      <c r="AC17" s="939"/>
      <c r="AD17" s="939"/>
      <c r="AE17" s="939"/>
      <c r="AF17" s="939"/>
      <c r="AG17" s="906"/>
      <c r="AH17" s="906"/>
      <c r="AI17" s="906"/>
      <c r="AJ17" s="939"/>
    </row>
    <row r="18" spans="2:40" x14ac:dyDescent="0.35">
      <c r="B18" s="893" t="s">
        <v>1705</v>
      </c>
      <c r="C18" s="936"/>
      <c r="D18" s="906">
        <f t="shared" ref="D18:T18" si="12">D51</f>
        <v>1.2331231439726587E-2</v>
      </c>
      <c r="E18" s="906">
        <f t="shared" si="12"/>
        <v>-2.700843667145636E-2</v>
      </c>
      <c r="F18" s="906">
        <f t="shared" si="12"/>
        <v>2.7562863533678428E-2</v>
      </c>
      <c r="G18" s="906">
        <f t="shared" si="12"/>
        <v>1.5442696812244527E-2</v>
      </c>
      <c r="H18" s="906">
        <f t="shared" si="12"/>
        <v>2.7307145143274258E-2</v>
      </c>
      <c r="I18" s="906">
        <f t="shared" si="12"/>
        <v>6.2563226282339235E-2</v>
      </c>
      <c r="J18" s="906">
        <f t="shared" si="12"/>
        <v>-3.1076845521187391E-3</v>
      </c>
      <c r="K18" s="906">
        <f t="shared" si="12"/>
        <v>5.0835204325521355E-2</v>
      </c>
      <c r="L18" s="906">
        <f t="shared" si="12"/>
        <v>5.6516511024412575E-2</v>
      </c>
      <c r="M18" s="906">
        <f t="shared" si="12"/>
        <v>9.8643019696944334E-2</v>
      </c>
      <c r="N18" s="906">
        <f t="shared" si="12"/>
        <v>7.7982454628441111E-2</v>
      </c>
      <c r="O18" s="906">
        <f t="shared" si="12"/>
        <v>6.0955299775054206E-2</v>
      </c>
      <c r="P18" s="906">
        <f t="shared" si="12"/>
        <v>7.2782919540383961E-2</v>
      </c>
      <c r="Q18" s="906">
        <f t="shared" si="12"/>
        <v>9.0061872181369962E-2</v>
      </c>
      <c r="R18" s="906">
        <f t="shared" si="12"/>
        <v>0.1436965164831121</v>
      </c>
      <c r="S18" s="906">
        <f t="shared" si="12"/>
        <v>-1.1746560973159292E-2</v>
      </c>
      <c r="T18" s="906">
        <f t="shared" si="12"/>
        <v>2.1967430570584145E-3</v>
      </c>
      <c r="U18" s="924">
        <f>U51+U19</f>
        <v>-3.5599925493891349E-2</v>
      </c>
      <c r="V18" s="906">
        <f t="shared" ref="V18:AF18" si="13">V51+V19</f>
        <v>-4.5280831786954745E-2</v>
      </c>
      <c r="W18" s="906">
        <f t="shared" si="13"/>
        <v>4.8134298648978557E-2</v>
      </c>
      <c r="X18" s="906">
        <f t="shared" si="13"/>
        <v>-4.2594526301267255E-3</v>
      </c>
      <c r="Y18" s="906">
        <f t="shared" si="13"/>
        <v>4.217111451589628E-2</v>
      </c>
      <c r="Z18" s="906">
        <f t="shared" si="13"/>
        <v>1.9463682308167529E-2</v>
      </c>
      <c r="AA18" s="906">
        <f t="shared" si="13"/>
        <v>2.1874539845902152E-2</v>
      </c>
      <c r="AB18" s="906">
        <f t="shared" si="13"/>
        <v>1.9072730382637015E-2</v>
      </c>
      <c r="AC18" s="906">
        <f t="shared" si="13"/>
        <v>4.161891556378583E-2</v>
      </c>
      <c r="AD18" s="906">
        <f t="shared" si="13"/>
        <v>7.0538517269098655E-3</v>
      </c>
      <c r="AE18" s="906">
        <f t="shared" si="13"/>
        <v>3.1343868352262882E-2</v>
      </c>
      <c r="AF18" s="906">
        <f t="shared" si="13"/>
        <v>3.2394354805230341E-2</v>
      </c>
      <c r="AG18" s="899">
        <f t="shared" ref="AG18:AH18" si="14">AG51+AG19</f>
        <v>3.3164637629816696E-2</v>
      </c>
      <c r="AH18" s="899">
        <f t="shared" si="14"/>
        <v>3.1425713898589613E-2</v>
      </c>
      <c r="AI18" s="899">
        <f t="shared" ref="AI18:AN18" si="15">AI51+AI19</f>
        <v>3.1013053419121528E-2</v>
      </c>
      <c r="AJ18" s="899">
        <f t="shared" si="15"/>
        <v>3.1015398756455648E-2</v>
      </c>
      <c r="AK18" s="899">
        <f t="shared" si="15"/>
        <v>3.0542269425562596E-2</v>
      </c>
      <c r="AL18" s="899">
        <f t="shared" si="15"/>
        <v>3.0334679878840642E-2</v>
      </c>
      <c r="AM18" s="899">
        <f t="shared" si="15"/>
        <v>2.9994558057691467E-2</v>
      </c>
      <c r="AN18" s="899">
        <f t="shared" si="15"/>
        <v>2.9803649988641601E-2</v>
      </c>
    </row>
    <row r="19" spans="2:40" x14ac:dyDescent="0.35">
      <c r="B19" s="344" t="s">
        <v>1737</v>
      </c>
      <c r="C19" s="937"/>
      <c r="D19" s="938"/>
      <c r="E19" s="939"/>
      <c r="F19" s="939"/>
      <c r="G19" s="939"/>
      <c r="H19" s="939"/>
      <c r="I19" s="939"/>
      <c r="J19" s="939"/>
      <c r="K19" s="939"/>
      <c r="L19" s="939"/>
      <c r="M19" s="939"/>
      <c r="N19" s="939"/>
      <c r="O19" s="939"/>
      <c r="P19" s="939"/>
      <c r="Q19" s="939"/>
      <c r="R19" s="939"/>
      <c r="S19" s="939"/>
      <c r="T19" s="939"/>
      <c r="U19" s="939"/>
      <c r="V19" s="939"/>
      <c r="W19" s="939"/>
      <c r="X19" s="939"/>
      <c r="Y19" s="939"/>
      <c r="Z19" s="939"/>
      <c r="AA19" s="939"/>
      <c r="AB19" s="939"/>
      <c r="AC19" s="939"/>
      <c r="AD19" s="939"/>
      <c r="AE19" s="939"/>
      <c r="AF19" s="939"/>
      <c r="AG19" s="906"/>
      <c r="AH19" s="906"/>
      <c r="AI19" s="906"/>
      <c r="AJ19" s="906"/>
    </row>
    <row r="20" spans="2:40" x14ac:dyDescent="0.35">
      <c r="B20" s="893" t="s">
        <v>1706</v>
      </c>
      <c r="C20" s="936"/>
      <c r="D20" s="906">
        <f t="shared" ref="D20:T20" si="16">D52</f>
        <v>4.0962242441666019E-2</v>
      </c>
      <c r="E20" s="906">
        <f t="shared" si="16"/>
        <v>1.51792670994777E-2</v>
      </c>
      <c r="F20" s="906">
        <f t="shared" si="16"/>
        <v>4.2702169718882965E-2</v>
      </c>
      <c r="G20" s="906">
        <f t="shared" si="16"/>
        <v>1.755007684826615E-2</v>
      </c>
      <c r="H20" s="906">
        <f t="shared" si="16"/>
        <v>7.6166905113348449E-3</v>
      </c>
      <c r="I20" s="906">
        <f t="shared" si="16"/>
        <v>1.0120807804920418E-2</v>
      </c>
      <c r="J20" s="906">
        <f t="shared" si="16"/>
        <v>-1.4337681566159555E-2</v>
      </c>
      <c r="K20" s="906">
        <f t="shared" si="16"/>
        <v>3.9796166071044636E-2</v>
      </c>
      <c r="L20" s="906">
        <f t="shared" si="16"/>
        <v>2.0329576447674524E-2</v>
      </c>
      <c r="M20" s="906">
        <f t="shared" si="16"/>
        <v>5.9674403216350091E-2</v>
      </c>
      <c r="N20" s="906">
        <f t="shared" si="16"/>
        <v>9.5803328528480503E-2</v>
      </c>
      <c r="O20" s="906">
        <f t="shared" si="16"/>
        <v>8.9244367976453631E-2</v>
      </c>
      <c r="P20" s="906">
        <f t="shared" si="16"/>
        <v>0.12456668920888303</v>
      </c>
      <c r="Q20" s="906">
        <f t="shared" si="16"/>
        <v>0.12433979312392585</v>
      </c>
      <c r="R20" s="906">
        <f t="shared" si="16"/>
        <v>0.13846732874655276</v>
      </c>
      <c r="S20" s="906">
        <f t="shared" si="16"/>
        <v>9.552027198699542E-2</v>
      </c>
      <c r="T20" s="906">
        <f t="shared" si="16"/>
        <v>5.5161829119105388E-2</v>
      </c>
      <c r="U20" s="906">
        <f>U52+U21</f>
        <v>5.0122233379745529E-2</v>
      </c>
      <c r="V20" s="906">
        <f t="shared" ref="V20:AF20" si="17">V52+V21</f>
        <v>2.1164173736800684E-3</v>
      </c>
      <c r="W20" s="906">
        <f t="shared" si="17"/>
        <v>5.8706332638096548E-3</v>
      </c>
      <c r="X20" s="906">
        <f t="shared" si="17"/>
        <v>1.2084409350409553E-2</v>
      </c>
      <c r="Y20" s="906">
        <f t="shared" si="17"/>
        <v>2.380676700323181E-2</v>
      </c>
      <c r="Z20" s="906">
        <f t="shared" si="17"/>
        <v>3.3212249496941126E-3</v>
      </c>
      <c r="AA20" s="906">
        <f t="shared" si="17"/>
        <v>3.2150473499066079E-2</v>
      </c>
      <c r="AB20" s="906">
        <f t="shared" si="17"/>
        <v>1.2769263183438628E-2</v>
      </c>
      <c r="AC20" s="906">
        <f t="shared" si="17"/>
        <v>2.9707566513271333E-2</v>
      </c>
      <c r="AD20" s="906">
        <f t="shared" si="17"/>
        <v>5.0810704617254565E-3</v>
      </c>
      <c r="AE20" s="906">
        <f t="shared" si="17"/>
        <v>3.1343868352262882E-2</v>
      </c>
      <c r="AF20" s="906">
        <f t="shared" si="17"/>
        <v>3.2394354805230341E-2</v>
      </c>
      <c r="AG20" s="899">
        <f t="shared" ref="AG20:AH20" si="18">AG52+AG21</f>
        <v>3.3164637629816696E-2</v>
      </c>
      <c r="AH20" s="899">
        <f t="shared" si="18"/>
        <v>3.1425713898589613E-2</v>
      </c>
      <c r="AI20" s="899">
        <f t="shared" ref="AI20:AN20" si="19">AI52+AI21</f>
        <v>3.1013053419121528E-2</v>
      </c>
      <c r="AJ20" s="899">
        <f t="shared" si="19"/>
        <v>3.1015398756455648E-2</v>
      </c>
      <c r="AK20" s="899">
        <f t="shared" si="19"/>
        <v>3.0542269425562596E-2</v>
      </c>
      <c r="AL20" s="899">
        <f t="shared" si="19"/>
        <v>3.0334679878840642E-2</v>
      </c>
      <c r="AM20" s="899">
        <f t="shared" si="19"/>
        <v>2.9994558057691467E-2</v>
      </c>
      <c r="AN20" s="899">
        <f t="shared" si="19"/>
        <v>2.9803649988641601E-2</v>
      </c>
    </row>
    <row r="21" spans="2:40" x14ac:dyDescent="0.35">
      <c r="B21" s="344" t="s">
        <v>1738</v>
      </c>
      <c r="C21" s="937"/>
      <c r="D21" s="910"/>
      <c r="E21" s="910"/>
      <c r="F21" s="910"/>
      <c r="G21" s="910"/>
      <c r="H21" s="910"/>
      <c r="I21" s="910"/>
      <c r="J21" s="910"/>
      <c r="K21" s="910"/>
      <c r="L21" s="910"/>
      <c r="M21" s="910"/>
      <c r="N21" s="910"/>
      <c r="O21" s="910"/>
      <c r="P21" s="910"/>
      <c r="Q21" s="910"/>
      <c r="R21" s="910"/>
      <c r="S21" s="910"/>
      <c r="T21" s="910"/>
      <c r="U21" s="910"/>
      <c r="V21" s="910"/>
      <c r="W21" s="910"/>
      <c r="X21" s="910"/>
      <c r="Y21" s="910"/>
      <c r="Z21" s="910"/>
      <c r="AA21" s="910"/>
      <c r="AB21" s="910"/>
      <c r="AC21" s="910"/>
      <c r="AD21" s="910"/>
      <c r="AE21" s="910"/>
      <c r="AF21" s="910"/>
      <c r="AG21" s="35"/>
      <c r="AH21" s="35"/>
      <c r="AI21" s="35"/>
      <c r="AJ21" s="35"/>
      <c r="AK21" s="35"/>
      <c r="AL21" s="35"/>
      <c r="AM21" s="35"/>
      <c r="AN21" s="35"/>
    </row>
    <row r="22" spans="2:40" x14ac:dyDescent="0.35">
      <c r="B22" s="1431" t="s">
        <v>1727</v>
      </c>
      <c r="C22" s="1432"/>
      <c r="D22" s="1432"/>
      <c r="E22" s="1432"/>
      <c r="F22" s="1432"/>
      <c r="G22" s="1432"/>
      <c r="H22" s="1432"/>
      <c r="I22" s="1432"/>
      <c r="J22" s="1432"/>
      <c r="K22" s="1432"/>
      <c r="L22" s="1432"/>
      <c r="M22" s="1432"/>
      <c r="N22" s="1432"/>
      <c r="O22" s="1432"/>
      <c r="P22" s="1432"/>
      <c r="Q22" s="1432"/>
      <c r="R22" s="1432"/>
      <c r="S22" s="1432"/>
      <c r="T22" s="1432"/>
      <c r="U22" s="1432"/>
      <c r="V22" s="1432"/>
      <c r="W22" s="1432"/>
      <c r="X22" s="1432"/>
      <c r="Y22" s="1432"/>
      <c r="Z22" s="1432"/>
      <c r="AA22" s="1432"/>
      <c r="AB22" s="1432"/>
      <c r="AC22" s="1432"/>
      <c r="AD22" s="1432"/>
      <c r="AE22" s="1432"/>
      <c r="AF22" s="1432"/>
      <c r="AG22" s="1432"/>
      <c r="AH22" s="1432"/>
      <c r="AI22" s="1432"/>
      <c r="AJ22" s="1432"/>
      <c r="AK22" s="1432"/>
      <c r="AL22" s="1432"/>
      <c r="AM22" s="1432"/>
      <c r="AN22" s="1433"/>
    </row>
    <row r="23" spans="2:40" x14ac:dyDescent="0.35">
      <c r="B23" s="923" t="s">
        <v>1702</v>
      </c>
      <c r="C23" s="931"/>
      <c r="D23" s="921">
        <f t="shared" ref="D23:AF23" si="20">(D12+1)^0.25-1</f>
        <v>3.7944725878693575E-3</v>
      </c>
      <c r="E23" s="921">
        <f t="shared" si="20"/>
        <v>2.0362035034391379E-3</v>
      </c>
      <c r="F23" s="921">
        <f t="shared" si="20"/>
        <v>5.590611661529854E-3</v>
      </c>
      <c r="G23" s="921">
        <f t="shared" si="20"/>
        <v>2.407518418966248E-3</v>
      </c>
      <c r="H23" s="921">
        <f t="shared" si="20"/>
        <v>3.9353749698576301E-3</v>
      </c>
      <c r="I23" s="921">
        <f t="shared" si="20"/>
        <v>3.0840771307514281E-3</v>
      </c>
      <c r="J23" s="921">
        <f t="shared" si="20"/>
        <v>-3.9845216658365157E-3</v>
      </c>
      <c r="K23" s="921">
        <f t="shared" si="20"/>
        <v>8.1163211139745339E-3</v>
      </c>
      <c r="L23" s="921">
        <f t="shared" si="20"/>
        <v>4.8458485958486897E-3</v>
      </c>
      <c r="M23" s="921">
        <f t="shared" si="20"/>
        <v>1.128726029998095E-2</v>
      </c>
      <c r="N23" s="921">
        <f t="shared" si="20"/>
        <v>1.5573224192473534E-2</v>
      </c>
      <c r="O23" s="921">
        <f t="shared" si="20"/>
        <v>1.3800051761748033E-2</v>
      </c>
      <c r="P23" s="921">
        <f t="shared" si="20"/>
        <v>1.6502402421568085E-2</v>
      </c>
      <c r="Q23" s="921">
        <f t="shared" si="20"/>
        <v>1.8781785076822377E-2</v>
      </c>
      <c r="R23" s="921">
        <f t="shared" si="20"/>
        <v>1.8373905005062419E-2</v>
      </c>
      <c r="S23" s="922">
        <f t="shared" si="20"/>
        <v>1.1601770523549382E-2</v>
      </c>
      <c r="T23" s="921">
        <f t="shared" si="20"/>
        <v>9.8962517305620779E-3</v>
      </c>
      <c r="U23" s="921">
        <f t="shared" si="20"/>
        <v>9.7146532173442157E-3</v>
      </c>
      <c r="V23" s="921">
        <f t="shared" si="20"/>
        <v>7.2242708682535017E-3</v>
      </c>
      <c r="W23" s="921">
        <f t="shared" si="20"/>
        <v>6.6648915811020615E-3</v>
      </c>
      <c r="X23" s="921">
        <f t="shared" si="20"/>
        <v>4.1080151756858196E-3</v>
      </c>
      <c r="Y23" s="921">
        <f t="shared" si="20"/>
        <v>8.4540665130061754E-3</v>
      </c>
      <c r="Z23" s="921">
        <f t="shared" si="20"/>
        <v>6.269029524843539E-3</v>
      </c>
      <c r="AA23" s="921">
        <f t="shared" si="20"/>
        <v>3.8288379639017656E-3</v>
      </c>
      <c r="AB23" s="921">
        <f t="shared" si="20"/>
        <v>5.9072139122564593E-3</v>
      </c>
      <c r="AC23" s="921">
        <f t="shared" si="20"/>
        <v>9.0216745127653653E-3</v>
      </c>
      <c r="AD23" s="921">
        <f>(AD12+1)^0.25-1</f>
        <v>5.1591945923996629E-3</v>
      </c>
      <c r="AE23" s="921">
        <f t="shared" si="20"/>
        <v>5.9160265843611892E-3</v>
      </c>
      <c r="AF23" s="922">
        <f t="shared" si="20"/>
        <v>5.9495417545925022E-3</v>
      </c>
      <c r="AG23" s="922">
        <f t="shared" ref="AG23" si="21">(AG12+1)^0.25-1</f>
        <v>5.3246047022768028E-3</v>
      </c>
      <c r="AH23" s="922">
        <f>(AH12+1)^0.25-1</f>
        <v>5.0560151008076648E-3</v>
      </c>
      <c r="AI23" s="922">
        <f>(AI12+1)^0.25-1</f>
        <v>5.0400673136283825E-3</v>
      </c>
      <c r="AJ23" s="922">
        <f>(AJ12+1)^0.25-1</f>
        <v>5.0641944009628403E-3</v>
      </c>
      <c r="AK23" s="922">
        <f>(AK12+1)^0.25-1</f>
        <v>5.0315604958042215E-3</v>
      </c>
      <c r="AL23" s="922">
        <f t="shared" ref="AL23:AN23" si="22">(AL12+1)^0.25-1</f>
        <v>5.0077163079846887E-3</v>
      </c>
      <c r="AM23" s="922">
        <f t="shared" si="22"/>
        <v>4.9844806962866528E-3</v>
      </c>
      <c r="AN23" s="922">
        <f t="shared" si="22"/>
        <v>4.9785638082857631E-3</v>
      </c>
    </row>
    <row r="24" spans="2:40" x14ac:dyDescent="0.35">
      <c r="B24" s="907" t="s">
        <v>1703</v>
      </c>
      <c r="C24" s="931"/>
      <c r="D24" s="921">
        <f t="shared" ref="D24:AF24" si="23">(D14+1)^0.25-1</f>
        <v>7.2893513350869021E-3</v>
      </c>
      <c r="E24" s="921">
        <f t="shared" si="23"/>
        <v>9.183063847828965E-3</v>
      </c>
      <c r="F24" s="921">
        <f t="shared" si="23"/>
        <v>-6.6551450859820838E-3</v>
      </c>
      <c r="G24" s="921">
        <f t="shared" si="23"/>
        <v>9.3238748870549948E-4</v>
      </c>
      <c r="H24" s="921">
        <f t="shared" si="23"/>
        <v>3.6396462148640119E-3</v>
      </c>
      <c r="I24" s="921">
        <f t="shared" si="23"/>
        <v>3.0236341019997948E-3</v>
      </c>
      <c r="J24" s="921">
        <f t="shared" si="23"/>
        <v>6.3915440825756953E-4</v>
      </c>
      <c r="K24" s="921">
        <f t="shared" si="23"/>
        <v>5.4627096183730295E-3</v>
      </c>
      <c r="L24" s="921">
        <f t="shared" si="23"/>
        <v>7.4621204938085661E-3</v>
      </c>
      <c r="M24" s="921">
        <f t="shared" si="23"/>
        <v>7.6797831590638133E-3</v>
      </c>
      <c r="N24" s="921">
        <f t="shared" si="23"/>
        <v>1.0778096367762835E-2</v>
      </c>
      <c r="O24" s="921">
        <f t="shared" si="23"/>
        <v>1.1808950038346699E-2</v>
      </c>
      <c r="P24" s="921">
        <f t="shared" si="23"/>
        <v>1.2374316216290149E-2</v>
      </c>
      <c r="Q24" s="921">
        <f t="shared" si="23"/>
        <v>1.602980443097346E-2</v>
      </c>
      <c r="R24" s="921">
        <f t="shared" si="23"/>
        <v>1.8218461729688551E-2</v>
      </c>
      <c r="S24" s="922">
        <f t="shared" si="23"/>
        <v>1.3070584644896854E-2</v>
      </c>
      <c r="T24" s="921">
        <f t="shared" si="23"/>
        <v>1.0216553053776778E-2</v>
      </c>
      <c r="U24" s="921">
        <f t="shared" si="23"/>
        <v>1.0556270288231362E-2</v>
      </c>
      <c r="V24" s="921">
        <f t="shared" si="23"/>
        <v>8.6417671359919623E-3</v>
      </c>
      <c r="W24" s="921">
        <f t="shared" si="23"/>
        <v>9.3952438667612714E-3</v>
      </c>
      <c r="X24" s="921">
        <f t="shared" si="23"/>
        <v>9.4402901647081539E-3</v>
      </c>
      <c r="Y24" s="921">
        <f t="shared" si="23"/>
        <v>8.7613516107596379E-3</v>
      </c>
      <c r="Z24" s="921">
        <f t="shared" si="23"/>
        <v>6.977481763400073E-3</v>
      </c>
      <c r="AA24" s="921">
        <f t="shared" si="23"/>
        <v>6.0650111043811794E-3</v>
      </c>
      <c r="AB24" s="921">
        <f t="shared" si="23"/>
        <v>6.5983817107628795E-3</v>
      </c>
      <c r="AC24" s="921">
        <f t="shared" si="23"/>
        <v>1.3899743217595351E-2</v>
      </c>
      <c r="AD24" s="921">
        <f t="shared" si="23"/>
        <v>1.4920442658151289E-2</v>
      </c>
      <c r="AE24" s="921">
        <f t="shared" si="23"/>
        <v>6.1258970181228278E-3</v>
      </c>
      <c r="AF24" s="922">
        <f t="shared" si="23"/>
        <v>5.9761162066749307E-3</v>
      </c>
      <c r="AG24" s="922">
        <f t="shared" ref="AG24" si="24">(AG14+1)^0.25-1</f>
        <v>5.3360385557714718E-3</v>
      </c>
      <c r="AH24" s="922">
        <f>(AH14+1)^0.25-1</f>
        <v>5.6496540320822852E-3</v>
      </c>
      <c r="AI24" s="922">
        <f>(AI14+1)^0.25-1</f>
        <v>5.7657657657657069E-3</v>
      </c>
      <c r="AJ24" s="922">
        <f>(AJ14+1)^0.25-1</f>
        <v>5.9196503336531592E-3</v>
      </c>
      <c r="AK24" s="922">
        <f t="shared" ref="AK24:AN24" si="25">(AK14+1)^0.25-1</f>
        <v>5.5566525119521426E-3</v>
      </c>
      <c r="AL24" s="922">
        <f t="shared" si="25"/>
        <v>5.4914304880231413E-3</v>
      </c>
      <c r="AM24" s="922">
        <f t="shared" si="25"/>
        <v>5.6450948628539166E-3</v>
      </c>
      <c r="AN24" s="922">
        <f t="shared" si="25"/>
        <v>5.7617728642578303E-3</v>
      </c>
    </row>
    <row r="25" spans="2:40" x14ac:dyDescent="0.35">
      <c r="B25" s="907" t="s">
        <v>1704</v>
      </c>
      <c r="C25" s="931"/>
      <c r="D25" s="921">
        <f t="shared" ref="D25:AF25" si="26">(D16+1)^0.25-1</f>
        <v>4.372774229274734E-3</v>
      </c>
      <c r="E25" s="921">
        <f t="shared" si="26"/>
        <v>-4.8575529720429333E-3</v>
      </c>
      <c r="F25" s="921">
        <f t="shared" si="26"/>
        <v>7.5177196568785298E-3</v>
      </c>
      <c r="G25" s="921">
        <f t="shared" si="26"/>
        <v>3.9251751633120335E-3</v>
      </c>
      <c r="H25" s="921">
        <f t="shared" si="26"/>
        <v>5.8458545430506437E-3</v>
      </c>
      <c r="I25" s="921">
        <f t="shared" si="26"/>
        <v>1.2910070794133643E-2</v>
      </c>
      <c r="J25" s="921">
        <f t="shared" si="26"/>
        <v>-1.3069956711562192E-3</v>
      </c>
      <c r="K25" s="921">
        <f t="shared" si="26"/>
        <v>1.200111379246338E-2</v>
      </c>
      <c r="L25" s="921">
        <f t="shared" si="26"/>
        <v>1.2262342593526654E-2</v>
      </c>
      <c r="M25" s="921">
        <f t="shared" si="26"/>
        <v>2.2189000634230238E-2</v>
      </c>
      <c r="N25" s="921">
        <f t="shared" si="26"/>
        <v>1.972185536124238E-2</v>
      </c>
      <c r="O25" s="921">
        <f t="shared" si="26"/>
        <v>1.6072111539932488E-2</v>
      </c>
      <c r="P25" s="921">
        <f t="shared" si="26"/>
        <v>1.976166237499255E-2</v>
      </c>
      <c r="Q25" s="921">
        <f t="shared" si="26"/>
        <v>2.3137001585530559E-2</v>
      </c>
      <c r="R25" s="921">
        <f t="shared" si="26"/>
        <v>3.395347693115025E-2</v>
      </c>
      <c r="S25" s="922">
        <f t="shared" si="26"/>
        <v>1.4353459897542553E-3</v>
      </c>
      <c r="T25" s="921">
        <f t="shared" si="26"/>
        <v>2.8269838378878198E-3</v>
      </c>
      <c r="U25" s="921">
        <f t="shared" si="26"/>
        <v>-5.2590018951358397E-3</v>
      </c>
      <c r="V25" s="921">
        <f t="shared" si="26"/>
        <v>-9.3193833648214097E-3</v>
      </c>
      <c r="W25" s="921">
        <f t="shared" si="26"/>
        <v>9.9439102564102821E-3</v>
      </c>
      <c r="X25" s="921">
        <f t="shared" si="26"/>
        <v>-2.7768741917311157E-4</v>
      </c>
      <c r="Y25" s="921">
        <f t="shared" si="26"/>
        <v>9.5154199006395324E-3</v>
      </c>
      <c r="Z25" s="921">
        <f t="shared" si="26"/>
        <v>4.0485829959513442E-3</v>
      </c>
      <c r="AA25" s="921">
        <f t="shared" si="26"/>
        <v>5.9191982461634929E-3</v>
      </c>
      <c r="AB25" s="921">
        <f t="shared" si="26"/>
        <v>4.4210591861515436E-3</v>
      </c>
      <c r="AC25" s="921">
        <f t="shared" si="26"/>
        <v>9.6788692229006212E-3</v>
      </c>
      <c r="AD25" s="921">
        <f t="shared" si="26"/>
        <v>1.6578020308073427E-3</v>
      </c>
      <c r="AE25" s="921">
        <f t="shared" si="26"/>
        <v>7.7455120761196206E-3</v>
      </c>
      <c r="AF25" s="922">
        <f t="shared" si="26"/>
        <v>8.0020266414988495E-3</v>
      </c>
      <c r="AG25" s="922">
        <f t="shared" ref="AG25" si="27">(AG16+1)^0.25-1</f>
        <v>8.189994905591913E-3</v>
      </c>
      <c r="AH25" s="922">
        <f>(AH16+1)^0.25-1</f>
        <v>7.7655046872424638E-3</v>
      </c>
      <c r="AI25" s="922">
        <f>(AI16+1)^0.25-1</f>
        <v>7.6646909789201967E-3</v>
      </c>
      <c r="AJ25" s="922">
        <f>(AJ16+1)^0.25-1</f>
        <v>7.6652640346144274E-3</v>
      </c>
      <c r="AK25" s="922">
        <f t="shared" ref="AK25:AN25" si="28">(AK16+1)^0.25-1</f>
        <v>7.549640626419496E-3</v>
      </c>
      <c r="AL25" s="922">
        <f t="shared" si="28"/>
        <v>7.4988972991580916E-3</v>
      </c>
      <c r="AM25" s="922">
        <f t="shared" si="28"/>
        <v>7.4157411184010424E-3</v>
      </c>
      <c r="AN25" s="922">
        <f t="shared" si="28"/>
        <v>7.3690570943414357E-3</v>
      </c>
    </row>
    <row r="26" spans="2:40" x14ac:dyDescent="0.35">
      <c r="B26" s="907" t="s">
        <v>1705</v>
      </c>
      <c r="C26" s="931"/>
      <c r="D26" s="921">
        <f t="shared" ref="D26:AF26" si="29">(D18+1)^0.25-1</f>
        <v>3.0686539854383188E-3</v>
      </c>
      <c r="E26" s="921">
        <f t="shared" si="29"/>
        <v>-6.8215934786326482E-3</v>
      </c>
      <c r="F26" s="921">
        <f t="shared" si="29"/>
        <v>6.8206168209994367E-3</v>
      </c>
      <c r="G26" s="921">
        <f t="shared" si="29"/>
        <v>3.838516280439741E-3</v>
      </c>
      <c r="H26" s="921">
        <f t="shared" si="29"/>
        <v>6.757971851248934E-3</v>
      </c>
      <c r="I26" s="921">
        <f t="shared" si="29"/>
        <v>1.5286696061748373E-2</v>
      </c>
      <c r="J26" s="921">
        <f t="shared" si="29"/>
        <v>-7.7782819256788649E-4</v>
      </c>
      <c r="K26" s="921">
        <f t="shared" si="29"/>
        <v>1.2473473018932424E-2</v>
      </c>
      <c r="L26" s="921">
        <f t="shared" si="29"/>
        <v>1.3839183561393131E-2</v>
      </c>
      <c r="M26" s="921">
        <f t="shared" si="29"/>
        <v>2.3797701481488298E-2</v>
      </c>
      <c r="N26" s="921">
        <f t="shared" si="29"/>
        <v>1.8950115958131564E-2</v>
      </c>
      <c r="O26" s="921">
        <f t="shared" si="29"/>
        <v>1.4902381611741955E-2</v>
      </c>
      <c r="P26" s="921">
        <f t="shared" si="29"/>
        <v>1.7719187543701054E-2</v>
      </c>
      <c r="Q26" s="921">
        <f t="shared" si="29"/>
        <v>2.1792680474562731E-2</v>
      </c>
      <c r="R26" s="921">
        <f t="shared" si="29"/>
        <v>3.413610161291647E-2</v>
      </c>
      <c r="S26" s="922">
        <f t="shared" si="29"/>
        <v>-2.9496653874211409E-3</v>
      </c>
      <c r="T26" s="921">
        <f t="shared" si="29"/>
        <v>5.4873393561516437E-4</v>
      </c>
      <c r="U26" s="921">
        <f t="shared" si="29"/>
        <v>-9.0213253002472404E-3</v>
      </c>
      <c r="V26" s="921">
        <f t="shared" si="29"/>
        <v>-1.1517669516674878E-2</v>
      </c>
      <c r="W26" s="921">
        <f t="shared" si="29"/>
        <v>1.1822268382531975E-2</v>
      </c>
      <c r="X26" s="921">
        <f t="shared" si="29"/>
        <v>-1.0665682964577927E-3</v>
      </c>
      <c r="Y26" s="921">
        <f t="shared" si="29"/>
        <v>1.0380039497134064E-2</v>
      </c>
      <c r="Z26" s="921">
        <f t="shared" si="29"/>
        <v>4.8308027236829698E-3</v>
      </c>
      <c r="AA26" s="921">
        <f t="shared" si="29"/>
        <v>5.424339946389134E-3</v>
      </c>
      <c r="AB26" s="921">
        <f t="shared" si="29"/>
        <v>4.734453768294733E-3</v>
      </c>
      <c r="AC26" s="921">
        <f t="shared" si="29"/>
        <v>1.0246174318030654E-2</v>
      </c>
      <c r="AD26" s="921">
        <f t="shared" si="29"/>
        <v>1.7588173309366351E-3</v>
      </c>
      <c r="AE26" s="921">
        <f t="shared" si="29"/>
        <v>7.7455120761196206E-3</v>
      </c>
      <c r="AF26" s="922">
        <f t="shared" si="29"/>
        <v>8.0020266414988495E-3</v>
      </c>
      <c r="AG26" s="922">
        <f t="shared" ref="AG26" si="30">(AG18+1)^0.25-1</f>
        <v>8.189994905591913E-3</v>
      </c>
      <c r="AH26" s="922">
        <f>(AH18+1)^0.25-1</f>
        <v>7.7655046872424638E-3</v>
      </c>
      <c r="AI26" s="922">
        <f>(AI18+1)^0.25-1</f>
        <v>7.6646909789201967E-3</v>
      </c>
      <c r="AJ26" s="922">
        <f>(AJ18+1)^0.25-1</f>
        <v>7.6652640346144274E-3</v>
      </c>
      <c r="AK26" s="922">
        <f t="shared" ref="AK26:AN26" si="31">(AK18+1)^0.25-1</f>
        <v>7.549640626419496E-3</v>
      </c>
      <c r="AL26" s="922">
        <f t="shared" si="31"/>
        <v>7.4988972991580916E-3</v>
      </c>
      <c r="AM26" s="922">
        <f t="shared" si="31"/>
        <v>7.4157411184010424E-3</v>
      </c>
      <c r="AN26" s="922">
        <f t="shared" si="31"/>
        <v>7.3690570943414357E-3</v>
      </c>
    </row>
    <row r="27" spans="2:40" x14ac:dyDescent="0.35">
      <c r="B27" s="908" t="s">
        <v>1706</v>
      </c>
      <c r="C27" s="932"/>
      <c r="D27" s="933">
        <f t="shared" ref="D27:AF27" si="32">(D20+1)^0.25-1</f>
        <v>1.0086913000375342E-2</v>
      </c>
      <c r="E27" s="933">
        <f t="shared" si="32"/>
        <v>3.7734051169659999E-3</v>
      </c>
      <c r="F27" s="933">
        <f t="shared" si="32"/>
        <v>1.0508728795056044E-2</v>
      </c>
      <c r="G27" s="933">
        <f t="shared" si="32"/>
        <v>4.3589358184279448E-3</v>
      </c>
      <c r="H27" s="933">
        <f t="shared" si="32"/>
        <v>1.8987578569289454E-3</v>
      </c>
      <c r="I27" s="933">
        <f t="shared" si="32"/>
        <v>2.520655370396474E-3</v>
      </c>
      <c r="J27" s="933">
        <f t="shared" si="32"/>
        <v>-3.6038552870513163E-3</v>
      </c>
      <c r="K27" s="933">
        <f t="shared" si="32"/>
        <v>9.8039215686274161E-3</v>
      </c>
      <c r="L27" s="933">
        <f t="shared" si="32"/>
        <v>5.044101178190985E-3</v>
      </c>
      <c r="M27" s="933">
        <f t="shared" si="32"/>
        <v>1.4595918668041996E-2</v>
      </c>
      <c r="N27" s="933">
        <f t="shared" si="32"/>
        <v>2.3135500149758847E-2</v>
      </c>
      <c r="O27" s="933">
        <f t="shared" si="32"/>
        <v>2.1601050334439265E-2</v>
      </c>
      <c r="P27" s="933">
        <f t="shared" si="32"/>
        <v>2.9784388812184703E-2</v>
      </c>
      <c r="Q27" s="933">
        <f t="shared" si="32"/>
        <v>2.9732441753590244E-2</v>
      </c>
      <c r="R27" s="933">
        <f t="shared" si="32"/>
        <v>3.2952005044342814E-2</v>
      </c>
      <c r="S27" s="934">
        <f t="shared" si="32"/>
        <v>2.3069422313125587E-2</v>
      </c>
      <c r="T27" s="933">
        <f t="shared" si="32"/>
        <v>1.3514037086113317E-2</v>
      </c>
      <c r="U27" s="933">
        <f t="shared" si="32"/>
        <v>1.230169348981236E-2</v>
      </c>
      <c r="V27" s="933">
        <f t="shared" si="32"/>
        <v>5.2868493398983141E-4</v>
      </c>
      <c r="W27" s="933">
        <f t="shared" si="32"/>
        <v>1.464438304874971E-3</v>
      </c>
      <c r="X27" s="933">
        <f t="shared" si="32"/>
        <v>3.0075074622366582E-3</v>
      </c>
      <c r="Y27" s="933">
        <f t="shared" si="32"/>
        <v>5.8992838194293906E-3</v>
      </c>
      <c r="Z27" s="933">
        <f t="shared" si="32"/>
        <v>8.2927412365885189E-4</v>
      </c>
      <c r="AA27" s="933">
        <f t="shared" si="32"/>
        <v>7.9424915834969134E-3</v>
      </c>
      <c r="AB27" s="933">
        <f t="shared" si="32"/>
        <v>3.1771423493078821E-3</v>
      </c>
      <c r="AC27" s="933">
        <f t="shared" si="32"/>
        <v>7.3455587054098714E-3</v>
      </c>
      <c r="AD27" s="933">
        <f t="shared" si="32"/>
        <v>1.2678543946178511E-3</v>
      </c>
      <c r="AE27" s="933">
        <f t="shared" si="32"/>
        <v>7.7455120761196206E-3</v>
      </c>
      <c r="AF27" s="934">
        <f t="shared" si="32"/>
        <v>8.0020266414988495E-3</v>
      </c>
      <c r="AG27" s="934">
        <f t="shared" ref="AG27" si="33">(AG20+1)^0.25-1</f>
        <v>8.189994905591913E-3</v>
      </c>
      <c r="AH27" s="934">
        <f>(AH20+1)^0.25-1</f>
        <v>7.7655046872424638E-3</v>
      </c>
      <c r="AI27" s="934">
        <f>(AI20+1)^0.25-1</f>
        <v>7.6646909789201967E-3</v>
      </c>
      <c r="AJ27" s="934">
        <f>(AJ20+1)^0.25-1</f>
        <v>7.6652640346144274E-3</v>
      </c>
      <c r="AK27" s="934">
        <f t="shared" ref="AK27:AN27" si="34">(AK20+1)^0.25-1</f>
        <v>7.549640626419496E-3</v>
      </c>
      <c r="AL27" s="934">
        <f t="shared" si="34"/>
        <v>7.4988972991580916E-3</v>
      </c>
      <c r="AM27" s="934">
        <f t="shared" si="34"/>
        <v>7.4157411184010424E-3</v>
      </c>
      <c r="AN27" s="934">
        <f t="shared" si="34"/>
        <v>7.3690570943414357E-3</v>
      </c>
    </row>
    <row r="28" spans="2:40" x14ac:dyDescent="0.35">
      <c r="B28" s="56"/>
      <c r="C28" s="925"/>
      <c r="D28" s="906"/>
      <c r="E28" s="906"/>
      <c r="F28" s="906"/>
      <c r="G28" s="906"/>
      <c r="H28" s="906"/>
      <c r="I28" s="906"/>
      <c r="J28" s="906"/>
      <c r="K28" s="906"/>
      <c r="L28" s="906"/>
      <c r="M28" s="906"/>
      <c r="N28" s="906"/>
      <c r="O28" s="906"/>
      <c r="P28" s="906"/>
      <c r="Q28" s="906"/>
      <c r="R28" s="906"/>
      <c r="S28" s="906"/>
      <c r="T28" s="906"/>
      <c r="U28" s="906"/>
      <c r="V28" s="906"/>
      <c r="W28" s="906"/>
      <c r="X28" s="906"/>
      <c r="Y28" s="906"/>
      <c r="Z28" s="906"/>
      <c r="AA28" s="906"/>
      <c r="AB28" s="906"/>
      <c r="AC28" s="906"/>
      <c r="AD28" s="906"/>
      <c r="AE28" s="906"/>
      <c r="AF28" s="906"/>
    </row>
    <row r="29" spans="2:40" x14ac:dyDescent="0.35">
      <c r="B29" s="56"/>
      <c r="C29" s="925"/>
      <c r="D29" s="906"/>
      <c r="E29" s="906"/>
      <c r="F29" s="906"/>
      <c r="G29" s="906"/>
      <c r="H29" s="906"/>
      <c r="I29" s="906"/>
      <c r="J29" s="906"/>
      <c r="K29" s="906"/>
      <c r="L29" s="906"/>
      <c r="M29" s="906"/>
      <c r="N29" s="906"/>
      <c r="O29" s="906"/>
      <c r="P29" s="906"/>
      <c r="Q29" s="96"/>
      <c r="R29" s="906"/>
      <c r="S29" s="906"/>
      <c r="T29" s="906"/>
      <c r="U29" s="906"/>
      <c r="V29" s="906"/>
      <c r="W29" s="906"/>
      <c r="X29" s="906"/>
      <c r="Y29" s="906"/>
      <c r="Z29" s="906"/>
      <c r="AA29" s="906"/>
      <c r="AB29" s="906"/>
      <c r="AC29" s="906"/>
      <c r="AD29" s="906"/>
      <c r="AE29" s="906"/>
      <c r="AF29" s="906"/>
    </row>
    <row r="30" spans="2:40" x14ac:dyDescent="0.35">
      <c r="B30" s="56"/>
      <c r="C30" s="925"/>
      <c r="D30" s="906"/>
      <c r="E30" s="906"/>
      <c r="F30" s="906"/>
      <c r="G30" s="906"/>
      <c r="H30" s="906"/>
      <c r="I30" s="906"/>
      <c r="J30" s="906"/>
      <c r="K30" s="906"/>
      <c r="L30" s="906"/>
      <c r="M30" s="906"/>
      <c r="N30" s="906"/>
      <c r="O30" s="906"/>
      <c r="P30" s="906"/>
      <c r="Q30" s="96"/>
      <c r="R30" s="906"/>
      <c r="S30" s="906"/>
      <c r="T30" s="906"/>
      <c r="U30" s="906"/>
      <c r="V30" s="906"/>
      <c r="W30" s="906"/>
      <c r="X30" s="906"/>
      <c r="Y30" s="906"/>
      <c r="Z30" s="906"/>
      <c r="AA30" s="906"/>
      <c r="AB30" s="906"/>
      <c r="AC30" s="906"/>
      <c r="AD30" s="906"/>
      <c r="AE30" s="906"/>
      <c r="AF30" s="906"/>
    </row>
    <row r="31" spans="2:40" x14ac:dyDescent="0.35">
      <c r="B31" s="56"/>
      <c r="C31" s="925"/>
      <c r="D31" s="906"/>
      <c r="E31" s="906"/>
      <c r="F31" s="906"/>
      <c r="G31" s="906"/>
      <c r="H31" s="906"/>
      <c r="I31" s="906"/>
      <c r="J31" s="906"/>
      <c r="K31" s="906"/>
      <c r="L31" s="906"/>
      <c r="M31" s="906"/>
      <c r="N31" s="906"/>
      <c r="O31" s="906"/>
      <c r="P31" s="906"/>
      <c r="Q31" s="56"/>
      <c r="R31" s="906"/>
      <c r="S31" s="906"/>
      <c r="T31" s="906"/>
      <c r="U31" s="906"/>
      <c r="V31" s="906"/>
      <c r="W31" s="906"/>
      <c r="X31" s="906"/>
      <c r="Y31" s="906"/>
      <c r="Z31" s="906"/>
      <c r="AA31" s="906"/>
      <c r="AB31" s="906"/>
      <c r="AC31" s="906"/>
      <c r="AD31" s="906"/>
      <c r="AE31" s="906"/>
      <c r="AF31" s="906"/>
    </row>
    <row r="32" spans="2:40" x14ac:dyDescent="0.35">
      <c r="B32" s="56"/>
      <c r="C32" s="925"/>
      <c r="D32" s="906"/>
      <c r="E32" s="906"/>
      <c r="F32" s="906"/>
      <c r="G32" s="906"/>
      <c r="H32" s="906"/>
      <c r="I32" s="906"/>
      <c r="J32" s="906"/>
      <c r="K32" s="906"/>
      <c r="L32" s="906"/>
      <c r="M32" s="906"/>
      <c r="N32" s="906"/>
      <c r="O32" s="906"/>
      <c r="P32" s="906"/>
      <c r="Q32" s="56"/>
      <c r="R32" s="906"/>
      <c r="S32" s="906"/>
      <c r="T32" s="906"/>
      <c r="U32" s="906"/>
      <c r="V32" s="906"/>
      <c r="W32" s="906"/>
      <c r="X32" s="906"/>
      <c r="Y32" s="906"/>
      <c r="Z32" s="906"/>
      <c r="AA32" s="906"/>
      <c r="AB32" s="906"/>
      <c r="AC32" s="906"/>
      <c r="AD32" s="906"/>
      <c r="AE32" s="906"/>
      <c r="AF32" s="906"/>
    </row>
    <row r="33" spans="2:40" x14ac:dyDescent="0.35">
      <c r="B33" s="56"/>
      <c r="C33" s="925"/>
      <c r="D33" s="906"/>
      <c r="E33" s="906"/>
      <c r="F33" s="906"/>
      <c r="G33" s="906"/>
      <c r="H33" s="906"/>
      <c r="I33" s="906"/>
      <c r="J33" s="906"/>
      <c r="K33" s="906"/>
      <c r="L33" s="906"/>
      <c r="M33" s="906"/>
      <c r="N33" s="906"/>
      <c r="O33" s="906"/>
      <c r="P33" s="906"/>
      <c r="Q33" s="56"/>
      <c r="R33" s="906"/>
      <c r="S33" s="906"/>
      <c r="T33" s="906"/>
      <c r="U33" s="906"/>
      <c r="V33" s="906"/>
      <c r="W33" s="906"/>
      <c r="X33" s="906"/>
      <c r="Y33" s="906"/>
      <c r="Z33" s="906"/>
      <c r="AA33" s="906"/>
      <c r="AB33" s="906"/>
      <c r="AC33" s="906"/>
      <c r="AD33" s="906"/>
      <c r="AE33" s="906"/>
      <c r="AF33" s="906"/>
    </row>
    <row r="34" spans="2:40" x14ac:dyDescent="0.35">
      <c r="B34" s="56"/>
      <c r="C34" s="925"/>
      <c r="D34" s="906"/>
      <c r="E34" s="906"/>
      <c r="F34" s="906"/>
      <c r="G34" s="906"/>
      <c r="H34" s="906"/>
      <c r="I34" s="906"/>
      <c r="J34" s="906"/>
      <c r="K34" s="906"/>
      <c r="L34" s="906"/>
      <c r="M34" s="906"/>
      <c r="N34" s="906"/>
      <c r="O34" s="906"/>
      <c r="P34" s="906"/>
      <c r="Q34" s="56"/>
      <c r="R34" s="906"/>
      <c r="S34" s="906"/>
      <c r="T34" s="906"/>
      <c r="U34" s="906"/>
      <c r="V34" s="906"/>
      <c r="W34" s="906"/>
      <c r="X34" s="906"/>
      <c r="Y34" s="906"/>
      <c r="Z34" s="906"/>
      <c r="AA34" s="906"/>
      <c r="AB34" s="906"/>
      <c r="AC34" s="906"/>
      <c r="AD34" s="906"/>
      <c r="AE34" s="906"/>
      <c r="AF34" s="906"/>
    </row>
    <row r="35" spans="2:40" x14ac:dyDescent="0.35">
      <c r="B35" s="56"/>
      <c r="C35" s="925"/>
      <c r="D35" s="906"/>
      <c r="E35" s="906"/>
      <c r="F35" s="906"/>
      <c r="G35" s="906"/>
      <c r="H35" s="906"/>
      <c r="I35" s="906"/>
      <c r="J35" s="906"/>
      <c r="K35" s="906"/>
      <c r="L35" s="906"/>
      <c r="M35" s="906"/>
      <c r="N35" s="906"/>
      <c r="O35" s="906"/>
      <c r="P35" s="906"/>
      <c r="Q35" s="56"/>
      <c r="R35" s="906"/>
      <c r="S35" s="906"/>
      <c r="T35" s="906"/>
      <c r="U35" s="906"/>
      <c r="V35" s="906"/>
      <c r="W35" s="906"/>
      <c r="X35" s="906"/>
      <c r="Y35" s="906"/>
      <c r="Z35" s="906"/>
      <c r="AA35" s="906"/>
      <c r="AB35" s="906"/>
      <c r="AC35" s="906"/>
      <c r="AD35" s="906"/>
      <c r="AE35" s="906"/>
      <c r="AF35" s="906"/>
    </row>
    <row r="36" spans="2:40" x14ac:dyDescent="0.35">
      <c r="B36" s="56"/>
      <c r="C36" s="925"/>
      <c r="D36" s="906"/>
      <c r="E36" s="906"/>
      <c r="F36" s="906"/>
      <c r="G36" s="906"/>
      <c r="H36" s="906"/>
      <c r="I36" s="906"/>
      <c r="J36" s="906"/>
      <c r="K36" s="906"/>
      <c r="L36" s="906"/>
      <c r="M36" s="906"/>
      <c r="N36" s="906"/>
      <c r="O36" s="906"/>
      <c r="P36" s="906"/>
      <c r="Q36" s="56"/>
      <c r="R36" s="906"/>
      <c r="S36" s="906"/>
      <c r="T36" s="906"/>
      <c r="U36" s="906"/>
      <c r="V36" s="906"/>
      <c r="W36" s="906"/>
      <c r="X36" s="906"/>
      <c r="Y36" s="906"/>
      <c r="Z36" s="906"/>
      <c r="AA36" s="906"/>
      <c r="AB36" s="906"/>
      <c r="AC36" s="906"/>
      <c r="AD36" s="906"/>
      <c r="AE36" s="906"/>
      <c r="AF36" s="906"/>
    </row>
    <row r="37" spans="2:40" x14ac:dyDescent="0.35">
      <c r="B37" s="56"/>
      <c r="C37" s="925"/>
      <c r="D37" s="906"/>
      <c r="E37" s="906"/>
      <c r="F37" s="906"/>
      <c r="G37" s="906"/>
      <c r="H37" s="906"/>
      <c r="I37" s="906"/>
      <c r="J37" s="906"/>
      <c r="K37" s="906"/>
      <c r="L37" s="906"/>
      <c r="M37" s="906"/>
      <c r="N37" s="906"/>
      <c r="O37" s="906"/>
      <c r="P37" s="906"/>
      <c r="Q37" s="56"/>
      <c r="R37" s="906"/>
      <c r="S37" s="906"/>
      <c r="T37" s="906"/>
      <c r="U37" s="906"/>
      <c r="V37" s="906"/>
      <c r="W37" s="906"/>
      <c r="X37" s="906"/>
      <c r="Y37" s="906"/>
      <c r="Z37" s="906"/>
      <c r="AA37" s="906"/>
      <c r="AB37" s="906"/>
      <c r="AC37" s="906"/>
      <c r="AD37" s="906"/>
      <c r="AE37" s="906"/>
      <c r="AF37" s="906"/>
    </row>
    <row r="38" spans="2:40" x14ac:dyDescent="0.35">
      <c r="B38" s="56"/>
      <c r="C38" s="925"/>
      <c r="D38" s="906"/>
      <c r="E38" s="906"/>
      <c r="F38" s="906"/>
      <c r="G38" s="906"/>
      <c r="H38" s="906"/>
      <c r="I38" s="906"/>
      <c r="J38" s="906"/>
      <c r="K38" s="906"/>
      <c r="L38" s="906"/>
      <c r="M38" s="906"/>
      <c r="N38" s="906"/>
      <c r="O38" s="906"/>
      <c r="P38" s="906"/>
      <c r="Q38" s="56"/>
      <c r="R38" s="906"/>
      <c r="S38" s="906"/>
      <c r="T38" s="906"/>
      <c r="U38" s="906"/>
      <c r="V38" s="906"/>
      <c r="W38" s="906"/>
      <c r="X38" s="906"/>
      <c r="Y38" s="906"/>
      <c r="Z38" s="906"/>
      <c r="AA38" s="906"/>
      <c r="AB38" s="906"/>
      <c r="AC38" s="906"/>
      <c r="AD38" s="906"/>
      <c r="AE38" s="906"/>
      <c r="AF38" s="906"/>
    </row>
    <row r="39" spans="2:40" x14ac:dyDescent="0.35">
      <c r="B39" s="56"/>
      <c r="C39" s="925"/>
      <c r="D39" s="906"/>
      <c r="E39" s="906"/>
      <c r="F39" s="906"/>
      <c r="G39" s="906"/>
      <c r="H39" s="906"/>
      <c r="I39" s="906"/>
      <c r="J39" s="906"/>
      <c r="K39" s="906"/>
      <c r="L39" s="906"/>
      <c r="M39" s="906"/>
      <c r="N39" s="906"/>
      <c r="O39" s="906"/>
      <c r="P39" s="906"/>
      <c r="Q39" s="906"/>
      <c r="R39" s="906"/>
      <c r="S39" s="906"/>
      <c r="T39" s="906"/>
      <c r="U39" s="906"/>
      <c r="V39" s="906"/>
      <c r="W39" s="906"/>
      <c r="X39" s="906"/>
      <c r="Y39" s="906"/>
      <c r="Z39" s="906"/>
      <c r="AA39" s="906"/>
      <c r="AB39" s="906"/>
      <c r="AC39" s="906"/>
      <c r="AD39" s="906"/>
      <c r="AE39" s="906"/>
      <c r="AF39" s="906"/>
    </row>
    <row r="40" spans="2:40" x14ac:dyDescent="0.35">
      <c r="B40" s="56"/>
      <c r="C40" s="925"/>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c r="AF40" s="906"/>
    </row>
    <row r="41" spans="2:40" x14ac:dyDescent="0.35">
      <c r="B41" s="927" t="s">
        <v>1819</v>
      </c>
      <c r="C41" s="927"/>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19" t="s">
        <v>1701</v>
      </c>
      <c r="C42" s="1320"/>
      <c r="D42" s="1343" t="s">
        <v>1725</v>
      </c>
      <c r="E42" s="1344"/>
      <c r="F42" s="1344"/>
      <c r="G42" s="1344"/>
      <c r="H42" s="1344"/>
      <c r="I42" s="1344"/>
      <c r="J42" s="1344"/>
      <c r="K42" s="1344"/>
      <c r="L42" s="1344"/>
      <c r="M42" s="1344"/>
      <c r="N42" s="1344"/>
      <c r="O42" s="1344"/>
      <c r="P42" s="1344"/>
      <c r="Q42" s="1344"/>
      <c r="R42" s="1344"/>
      <c r="S42" s="1344"/>
      <c r="T42" s="1344"/>
      <c r="U42" s="1344"/>
      <c r="V42" s="1344"/>
      <c r="W42" s="1344"/>
      <c r="X42" s="1344"/>
      <c r="Y42" s="1344"/>
      <c r="Z42" s="1344"/>
      <c r="AA42" s="1344"/>
      <c r="AB42" s="1345"/>
      <c r="AC42" s="1347" t="s">
        <v>1733</v>
      </c>
      <c r="AD42" s="1327"/>
      <c r="AE42" s="1327"/>
      <c r="AF42" s="1327"/>
      <c r="AG42" s="1327"/>
      <c r="AH42" s="1327"/>
      <c r="AI42" s="1327"/>
      <c r="AJ42" s="1327"/>
      <c r="AK42" s="1327"/>
      <c r="AL42" s="1327"/>
      <c r="AM42" s="1327"/>
      <c r="AN42" s="1328"/>
    </row>
    <row r="43" spans="2:40" x14ac:dyDescent="0.35">
      <c r="B43" s="1321"/>
      <c r="C43" s="1322"/>
      <c r="D43" s="225">
        <v>2018</v>
      </c>
      <c r="E43" s="1316">
        <v>2019</v>
      </c>
      <c r="F43" s="1317"/>
      <c r="G43" s="1317"/>
      <c r="H43" s="1378"/>
      <c r="I43" s="1316">
        <v>2020</v>
      </c>
      <c r="J43" s="1317"/>
      <c r="K43" s="1317"/>
      <c r="L43" s="1317"/>
      <c r="M43" s="1316">
        <v>2021</v>
      </c>
      <c r="N43" s="1317"/>
      <c r="O43" s="1317"/>
      <c r="P43" s="1317"/>
      <c r="Q43" s="1338">
        <v>2022</v>
      </c>
      <c r="R43" s="1346"/>
      <c r="S43" s="1346"/>
      <c r="T43" s="1340"/>
      <c r="U43" s="460"/>
      <c r="V43" s="442">
        <v>2023</v>
      </c>
      <c r="W43" s="302"/>
      <c r="X43" s="302"/>
      <c r="Y43" s="460"/>
      <c r="Z43" s="302">
        <v>2024</v>
      </c>
      <c r="AA43" s="302"/>
      <c r="AB43" s="309"/>
      <c r="AC43" s="1325">
        <v>2025</v>
      </c>
      <c r="AD43" s="1326"/>
      <c r="AE43" s="1326"/>
      <c r="AF43" s="1326"/>
      <c r="AG43" s="1325">
        <v>2026</v>
      </c>
      <c r="AH43" s="1331"/>
      <c r="AI43" s="1331"/>
      <c r="AJ43" s="1330"/>
      <c r="AK43" s="1325">
        <v>2027</v>
      </c>
      <c r="AL43" s="1331"/>
      <c r="AM43" s="1331"/>
      <c r="AN43" s="1330"/>
    </row>
    <row r="44" spans="2:40" x14ac:dyDescent="0.35">
      <c r="B44" s="1323"/>
      <c r="C44" s="1324"/>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5" t="s">
        <v>1895</v>
      </c>
      <c r="C45" s="948"/>
      <c r="D45" s="943">
        <f>('Haver Pivoted'!GO76+1)^4-1</f>
        <v>1.5264497223703488E-2</v>
      </c>
      <c r="E45" s="930">
        <f>('Haver Pivoted'!GP76+1)^4-1</f>
        <v>8.1697245486058723E-3</v>
      </c>
      <c r="F45" s="930">
        <f>('Haver Pivoted'!GQ76+1)^4-1</f>
        <v>2.2550676192391039E-2</v>
      </c>
      <c r="G45" s="930">
        <f>('Haver Pivoted'!GR76+1)^4-1</f>
        <v>9.6649063963889503E-3</v>
      </c>
      <c r="H45" s="930">
        <f>('Haver Pivoted'!GS76+1)^4-1</f>
        <v>1.5834666967584843E-2</v>
      </c>
      <c r="I45" s="930">
        <f>('Haver Pivoted'!GT76+1)^4-1</f>
        <v>1.239349514115573E-2</v>
      </c>
      <c r="J45" s="930">
        <f>('Haver Pivoted'!GU76+1)^4-1</f>
        <v>-1.5843080973497181E-2</v>
      </c>
      <c r="K45" s="930">
        <f>('Haver Pivoted'!GV76+1)^4-1</f>
        <v>3.2862675445769929E-2</v>
      </c>
      <c r="L45" s="930">
        <f>('Haver Pivoted'!GW76+1)^4-1</f>
        <v>1.9524743592179927E-2</v>
      </c>
      <c r="M45" s="930">
        <f>('Haver Pivoted'!GX76+1)^4-1</f>
        <v>4.5919222990944863E-2</v>
      </c>
      <c r="N45" s="930">
        <f>('Haver Pivoted'!GY76+1)^4-1</f>
        <v>6.3763215063124212E-2</v>
      </c>
      <c r="O45" s="930">
        <f>('Haver Pivoted'!GZ76+1)^4-1</f>
        <v>5.6353404292981857E-2</v>
      </c>
      <c r="P45" s="930">
        <f>('Haver Pivoted'!HA76+1)^4-1</f>
        <v>6.7661635913466744E-2</v>
      </c>
      <c r="Q45" s="930">
        <f>('Haver Pivoted'!HB76+1)^4-1</f>
        <v>7.7270298955965933E-2</v>
      </c>
      <c r="R45" s="930">
        <f>('Haver Pivoted'!HC76+1)^4-1</f>
        <v>7.554614845470442E-2</v>
      </c>
      <c r="S45" s="944">
        <f>('Haver Pivoted'!HD76+1)^4-1</f>
        <v>4.7220953130670873E-2</v>
      </c>
      <c r="T45" s="929">
        <f>('Haver Pivoted'!HE76+1)^4-1</f>
        <v>4.0176508092810925E-2</v>
      </c>
      <c r="U45" s="944">
        <f>('Haver Pivoted'!HF76+1)^4-1</f>
        <v>3.9428535960380762E-2</v>
      </c>
      <c r="V45" s="944">
        <f>('Haver Pivoted'!HG76+1)^4-1</f>
        <v>2.9211734875661532E-2</v>
      </c>
      <c r="W45" s="944">
        <f>('Haver Pivoted'!HH76+1)^4-1</f>
        <v>2.6927277215065937E-2</v>
      </c>
      <c r="X45" s="944">
        <f>('Haver Pivoted'!HI76+1)^4-1</f>
        <v>1.6533593023621451E-2</v>
      </c>
      <c r="Y45" s="944">
        <f>('Haver Pivoted'!HJ76+1)^4-1</f>
        <v>3.4247515494288061E-2</v>
      </c>
      <c r="Z45" s="944">
        <f>('Haver Pivoted'!HK76+1)^4-1</f>
        <v>2.5312909540798456E-2</v>
      </c>
      <c r="AA45" s="944">
        <f>('Haver Pivoted'!HL76+1)^4-1</f>
        <v>1.5403536594506217E-2</v>
      </c>
      <c r="AB45" s="944">
        <f>('Haver Pivoted'!HM76+1)^4-1</f>
        <v>2.3839052457011789E-2</v>
      </c>
      <c r="AC45" s="944">
        <f>('Haver Pivoted'!HN76+1)^4-1</f>
        <v>3.6577985459982365E-2</v>
      </c>
      <c r="AD45" s="944">
        <f>('Haver Pivoted'!HO76+1)^4-1</f>
        <v>2.0797032106222968E-2</v>
      </c>
      <c r="AE45" s="951">
        <f t="shared" ref="AE45:AF45" si="35">AE46+AE47</f>
        <v>2.3874932014508632E-2</v>
      </c>
      <c r="AF45" s="951">
        <f t="shared" si="35"/>
        <v>2.2011392938697361E-2</v>
      </c>
      <c r="AG45" s="906">
        <f t="shared" ref="AG45" si="36">AG46+AG47</f>
        <v>2.1469131944638509E-2</v>
      </c>
      <c r="AH45" s="906">
        <f>AH46+AH47</f>
        <v>2.037795778240481E-2</v>
      </c>
      <c r="AI45" s="906">
        <f t="shared" ref="AI45" si="37">AI46+AI47</f>
        <v>2.031319568771961E-2</v>
      </c>
      <c r="AJ45" s="906">
        <f>AJ46+AJ47</f>
        <v>2.0411174157790368E-2</v>
      </c>
      <c r="AK45" s="906">
        <f t="shared" ref="AK45:AN45" si="38">AK46+AK47</f>
        <v>2.0278651758323107E-2</v>
      </c>
      <c r="AL45" s="906">
        <f t="shared" si="38"/>
        <v>2.0181831515000193E-2</v>
      </c>
      <c r="AM45" s="906">
        <f t="shared" si="38"/>
        <v>2.008748904793789E-2</v>
      </c>
      <c r="AN45" s="928">
        <f t="shared" si="38"/>
        <v>2.0063466029726529E-2</v>
      </c>
    </row>
    <row r="46" spans="2:40" x14ac:dyDescent="0.35">
      <c r="B46" s="77" t="s">
        <v>1894</v>
      </c>
      <c r="C46" s="925" t="s">
        <v>1692</v>
      </c>
      <c r="D46" s="952">
        <f>('Haver Pivoted'!GO76+1)^4-1</f>
        <v>1.5264497223703488E-2</v>
      </c>
      <c r="E46" s="906">
        <f>('Haver Pivoted'!GP76+1)^4-1</f>
        <v>8.1697245486058723E-3</v>
      </c>
      <c r="F46" s="906">
        <f>('Haver Pivoted'!GQ76+1)^4-1</f>
        <v>2.2550676192391039E-2</v>
      </c>
      <c r="G46" s="906">
        <f>('Haver Pivoted'!GR76+1)^4-1</f>
        <v>9.6649063963889503E-3</v>
      </c>
      <c r="H46" s="906">
        <f>('Haver Pivoted'!GS76+1)^4-1</f>
        <v>1.5834666967584843E-2</v>
      </c>
      <c r="I46" s="906">
        <f>('Haver Pivoted'!GT76+1)^4-1</f>
        <v>1.239349514115573E-2</v>
      </c>
      <c r="J46" s="906">
        <f>('Haver Pivoted'!GU76+1)^4-1</f>
        <v>-1.5843080973497181E-2</v>
      </c>
      <c r="K46" s="906">
        <f>('Haver Pivoted'!GV76+1)^4-1</f>
        <v>3.2862675445769929E-2</v>
      </c>
      <c r="L46" s="906">
        <f>('Haver Pivoted'!GW76+1)^4-1</f>
        <v>1.9524743592179927E-2</v>
      </c>
      <c r="M46" s="906">
        <f>('Haver Pivoted'!GX76+1)^4-1</f>
        <v>4.5919222990944863E-2</v>
      </c>
      <c r="N46" s="906">
        <f>('Haver Pivoted'!GY76+1)^4-1</f>
        <v>6.3763215063124212E-2</v>
      </c>
      <c r="O46" s="906">
        <f>('Haver Pivoted'!GZ76+1)^4-1</f>
        <v>5.6353404292981857E-2</v>
      </c>
      <c r="P46" s="906">
        <f>('Haver Pivoted'!HA76+1)^4-1</f>
        <v>6.7661635913466744E-2</v>
      </c>
      <c r="Q46" s="906">
        <f>('Haver Pivoted'!HB76+1)^4-1</f>
        <v>7.7270298955965933E-2</v>
      </c>
      <c r="R46" s="906">
        <f>('Haver Pivoted'!HC76+1)^4-1</f>
        <v>7.554614845470442E-2</v>
      </c>
      <c r="S46" s="906">
        <f>('Haver Pivoted'!HD76+1)^4-1</f>
        <v>4.7220953130670873E-2</v>
      </c>
      <c r="T46" s="906">
        <f>('Haver Pivoted'!HE76+1)^4-1</f>
        <v>4.0176508092810925E-2</v>
      </c>
      <c r="U46" s="906">
        <f>('Haver Pivoted'!HF76+1)^4-1</f>
        <v>3.9428535960380762E-2</v>
      </c>
      <c r="V46" s="906">
        <f>('Haver Pivoted'!HG76+1)^4-1</f>
        <v>2.9211734875661532E-2</v>
      </c>
      <c r="W46" s="906">
        <f>('Haver Pivoted'!HH76+1)^4-1</f>
        <v>2.6927277215065937E-2</v>
      </c>
      <c r="X46" s="906">
        <f>('Haver Pivoted'!HI76+1)^4-1</f>
        <v>1.6533593023621451E-2</v>
      </c>
      <c r="Y46" s="906">
        <f t="shared" ref="Y46:AH46" si="39">(Y72/X72)^4-1</f>
        <v>3.4257335695615954E-2</v>
      </c>
      <c r="Z46" s="906">
        <f t="shared" si="39"/>
        <v>2.5320587670252914E-2</v>
      </c>
      <c r="AA46" s="906">
        <f t="shared" si="39"/>
        <v>1.4999009292827825E-2</v>
      </c>
      <c r="AB46" s="906">
        <f t="shared" si="39"/>
        <v>2.4498276208370307E-2</v>
      </c>
      <c r="AC46" s="906">
        <f t="shared" si="39"/>
        <v>2.3058368307400823E-2</v>
      </c>
      <c r="AD46" s="906">
        <f t="shared" si="39"/>
        <v>2.1483635680919155E-2</v>
      </c>
      <c r="AE46" s="906">
        <f t="shared" si="39"/>
        <v>2.187493201450863E-2</v>
      </c>
      <c r="AF46" s="906">
        <f t="shared" si="39"/>
        <v>2.2011392938697361E-2</v>
      </c>
      <c r="AG46" s="906">
        <f t="shared" si="39"/>
        <v>2.1469131944638509E-2</v>
      </c>
      <c r="AH46" s="906">
        <f t="shared" si="39"/>
        <v>2.037795778240481E-2</v>
      </c>
      <c r="AI46" s="906">
        <f t="shared" ref="AI46" si="40">(AI72/AH72)^4-1</f>
        <v>2.031319568771961E-2</v>
      </c>
      <c r="AJ46" s="906">
        <f>(AJ72/AI72)^4-1</f>
        <v>2.0411174157790368E-2</v>
      </c>
      <c r="AK46" s="906">
        <f>(AK72/AJ72)^4-1</f>
        <v>2.0278651758323107E-2</v>
      </c>
      <c r="AL46" s="906">
        <f t="shared" ref="AL46:AN46" si="41">(AL72/AK72)^4-1</f>
        <v>2.0181831515000193E-2</v>
      </c>
      <c r="AM46" s="906">
        <f t="shared" si="41"/>
        <v>2.008748904793789E-2</v>
      </c>
      <c r="AN46" s="894">
        <f t="shared" si="41"/>
        <v>2.0063466029726529E-2</v>
      </c>
    </row>
    <row r="47" spans="2:40" x14ac:dyDescent="0.35">
      <c r="B47" s="77" t="s">
        <v>1896</v>
      </c>
      <c r="C47" s="925"/>
      <c r="D47" s="952"/>
      <c r="E47" s="906"/>
      <c r="F47" s="906"/>
      <c r="G47" s="906"/>
      <c r="H47" s="906"/>
      <c r="I47" s="906"/>
      <c r="J47" s="906"/>
      <c r="K47" s="906"/>
      <c r="L47" s="906"/>
      <c r="M47" s="906"/>
      <c r="N47" s="906"/>
      <c r="O47" s="906"/>
      <c r="P47" s="906"/>
      <c r="Q47" s="906"/>
      <c r="R47" s="906"/>
      <c r="S47" s="906"/>
      <c r="T47" s="906"/>
      <c r="U47" s="906"/>
      <c r="V47" s="906"/>
      <c r="W47" s="906"/>
      <c r="X47" s="906"/>
      <c r="Y47" s="906"/>
      <c r="Z47" s="906"/>
      <c r="AA47" s="906">
        <v>-7.4999999999999997E-3</v>
      </c>
      <c r="AB47" s="906">
        <v>5.0000000000000001E-4</v>
      </c>
      <c r="AC47" s="906">
        <v>1.2E-2</v>
      </c>
      <c r="AD47" s="906">
        <v>-4.4999999999999997E-3</v>
      </c>
      <c r="AE47" s="906">
        <v>2E-3</v>
      </c>
      <c r="AN47" s="239"/>
    </row>
    <row r="48" spans="2:40" x14ac:dyDescent="0.35">
      <c r="B48" s="67" t="s">
        <v>1703</v>
      </c>
      <c r="C48" s="925" t="s">
        <v>1693</v>
      </c>
      <c r="D48" s="952">
        <f>('Haver Pivoted'!GO77+1)^4-1</f>
        <v>2.9477765289275926E-2</v>
      </c>
      <c r="E48" s="906">
        <f>('Haver Pivoted'!GP77+1)^4-1</f>
        <v>3.7241332054374521E-2</v>
      </c>
      <c r="F48" s="906">
        <f>('Haver Pivoted'!GQ77+1)^4-1</f>
        <v>-2.6356011696502479E-2</v>
      </c>
      <c r="G48" s="906">
        <f>('Haver Pivoted'!GR77+1)^4-1</f>
        <v>3.7347692764231333E-3</v>
      </c>
      <c r="H48" s="906">
        <f>('Haver Pivoted'!GS77+1)^4-1</f>
        <v>1.463826004028701E-2</v>
      </c>
      <c r="I48" s="906">
        <f>('Haver Pivoted'!GT77+1)^4-1</f>
        <v>1.2149501243322813E-2</v>
      </c>
      <c r="J48" s="906">
        <f>('Haver Pivoted'!GU77+1)^4-1</f>
        <v>2.5590697877679869E-3</v>
      </c>
      <c r="K48" s="906">
        <f>('Haver Pivoted'!GV77+1)^4-1</f>
        <v>2.2030538597398897E-2</v>
      </c>
      <c r="L48" s="906">
        <f>('Haver Pivoted'!GW77+1)^4-1</f>
        <v>3.0184246589695318E-2</v>
      </c>
      <c r="M48" s="906">
        <f>('Haver Pivoted'!GX77+1)^4-1</f>
        <v>3.1074822316861761E-2</v>
      </c>
      <c r="N48" s="906">
        <f>('Haver Pivoted'!GY77+1)^4-1</f>
        <v>4.3814411385844076E-2</v>
      </c>
      <c r="O48" s="906">
        <f>('Haver Pivoted'!GZ77+1)^4-1</f>
        <v>4.8079114499886888E-2</v>
      </c>
      <c r="P48" s="906">
        <f>('Haver Pivoted'!HA77+1)^4-1</f>
        <v>5.0423609727379137E-2</v>
      </c>
      <c r="Q48" s="906">
        <f>('Haver Pivoted'!HB77+1)^4-1</f>
        <v>6.5677487260019429E-2</v>
      </c>
      <c r="R48" s="906">
        <f>('Haver Pivoted'!HC77+1)^4-1</f>
        <v>7.488961890096113E-2</v>
      </c>
      <c r="S48" s="926">
        <f>('Haver Pivoted'!HD77+1)^4-1</f>
        <v>5.3316340788000627E-2</v>
      </c>
      <c r="T48" s="926">
        <f>('Haver Pivoted'!HE77+1)^4-1</f>
        <v>4.1496756379381328E-2</v>
      </c>
      <c r="U48" s="926">
        <f>('Haver Pivoted'!HF77+1)^4-1</f>
        <v>4.2898407970302532E-2</v>
      </c>
      <c r="V48" s="926">
        <f>('Haver Pivoted'!HG77+1)^4-1</f>
        <v>3.5017736429978852E-2</v>
      </c>
      <c r="W48" s="926">
        <f>('Haver Pivoted'!HH77+1)^4-1</f>
        <v>3.8113924198168725E-2</v>
      </c>
      <c r="X48" s="926">
        <f>('Haver Pivoted'!HI77+1)^4-1</f>
        <v>3.8299248311242984E-2</v>
      </c>
      <c r="Y48" s="926">
        <f>('Haver Pivoted'!HJ77+1)^4-1</f>
        <v>3.5508670157945676E-2</v>
      </c>
      <c r="Z48" s="926">
        <f>('Haver Pivoted'!HK77+1)^4-1</f>
        <v>2.8203399736230539E-2</v>
      </c>
      <c r="AA48" s="926">
        <f>('Haver Pivoted'!HL77+1)^4-1</f>
        <v>2.4481644318991469E-2</v>
      </c>
      <c r="AB48" s="926">
        <f>('Haver Pivoted'!HM77+1)^4-1</f>
        <v>2.665590972416565E-2</v>
      </c>
      <c r="AC48" s="926">
        <f>('Haver Pivoted'!HN77+1)^4-1</f>
        <v>5.6768969247473322E-2</v>
      </c>
      <c r="AD48" s="926">
        <f>('Haver Pivoted'!HO77+1)^4-1</f>
        <v>6.1030824179235887E-2</v>
      </c>
      <c r="AE48" s="906">
        <f>(AE73/AD73)^4-1+AE50</f>
        <v>2.4729668703095779E-2</v>
      </c>
      <c r="AF48" s="906">
        <f t="shared" ref="AF48:AN48" si="42">(AF73/AE73)^4-1+AF50</f>
        <v>2.4119603614899725E-2</v>
      </c>
      <c r="AG48" s="906">
        <f t="shared" si="42"/>
        <v>2.1515602617293128E-2</v>
      </c>
      <c r="AH48" s="906">
        <f t="shared" si="42"/>
        <v>2.2790850007197161E-2</v>
      </c>
      <c r="AI48" s="906">
        <f t="shared" si="42"/>
        <v>2.3263295207157642E-2</v>
      </c>
      <c r="AJ48" s="906">
        <f t="shared" si="42"/>
        <v>2.3889685874715294E-2</v>
      </c>
      <c r="AK48" s="906">
        <f t="shared" si="42"/>
        <v>2.2412555601408091E-2</v>
      </c>
      <c r="AL48" s="906">
        <f t="shared" si="42"/>
        <v>2.2147320108405477E-2</v>
      </c>
      <c r="AM48" s="906">
        <f t="shared" si="42"/>
        <v>2.2772302614111117E-2</v>
      </c>
      <c r="AN48" s="894">
        <f t="shared" si="42"/>
        <v>2.3247045836330082E-2</v>
      </c>
    </row>
    <row r="49" spans="2:40" x14ac:dyDescent="0.35">
      <c r="B49" s="67" t="s">
        <v>1704</v>
      </c>
      <c r="C49" s="925" t="s">
        <v>1694</v>
      </c>
      <c r="D49" s="952">
        <f>('Haver Pivoted'!GO78+1)^4-1</f>
        <v>1.7606158659444704E-2</v>
      </c>
      <c r="E49" s="906">
        <f>('Haver Pivoted'!GP78+1)^4-1</f>
        <v>-1.9289094877951052E-2</v>
      </c>
      <c r="F49" s="906">
        <f>('Haver Pivoted'!GQ78+1)^4-1</f>
        <v>3.0411677963670725E-2</v>
      </c>
      <c r="G49" s="906">
        <f>('Haver Pivoted'!GR78+1)^4-1</f>
        <v>1.5793384791695786E-2</v>
      </c>
      <c r="H49" s="906">
        <f>('Haver Pivoted'!GS78+1)^4-1</f>
        <v>2.3589262537388134E-2</v>
      </c>
      <c r="I49" s="906">
        <f>('Haver Pivoted'!GT78+1)^4-1</f>
        <v>5.264893740513088E-2</v>
      </c>
      <c r="J49" s="906">
        <f>('Haver Pivoted'!GU78+1)^4-1</f>
        <v>-5.217742186237273E-3</v>
      </c>
      <c r="K49" s="906">
        <f>('Haver Pivoted'!GV78+1)^4-1</f>
        <v>4.8875550231923137E-2</v>
      </c>
      <c r="L49" s="906">
        <f>('Haver Pivoted'!GW78+1)^4-1</f>
        <v>4.9958958569866319E-2</v>
      </c>
      <c r="M49" s="906">
        <f>('Haver Pivoted'!GX78+1)^4-1</f>
        <v>9.1754054615137415E-2</v>
      </c>
      <c r="N49" s="906">
        <f>('Haver Pivoted'!GY78+1)^4-1</f>
        <v>8.1251965588764241E-2</v>
      </c>
      <c r="O49" s="906">
        <f>('Haver Pivoted'!GZ78+1)^4-1</f>
        <v>6.5854996027893797E-2</v>
      </c>
      <c r="P49" s="906">
        <f>('Haver Pivoted'!HA78+1)^4-1</f>
        <v>8.1420811365759738E-2</v>
      </c>
      <c r="Q49" s="906">
        <f>('Haver Pivoted'!HB78+1)^4-1</f>
        <v>9.5809760841454095E-2</v>
      </c>
      <c r="R49" s="906">
        <f>('Haver Pivoted'!HC78+1)^4-1</f>
        <v>0.14288883985037359</v>
      </c>
      <c r="S49" s="926">
        <f>('Haver Pivoted'!HD78+1)^4-1</f>
        <v>5.753757100426693E-3</v>
      </c>
      <c r="T49" s="926">
        <f>('Haver Pivoted'!HE78+1)^4-1</f>
        <v>1.1355976812321922E-2</v>
      </c>
      <c r="U49" s="926">
        <f>('Haver Pivoted'!HF78+1)^4-1</f>
        <v>-2.087064600501487E-2</v>
      </c>
      <c r="V49" s="926">
        <f>('Haver Pivoted'!HG78+1)^4-1</f>
        <v>-3.6759658065968148E-2</v>
      </c>
      <c r="W49" s="926">
        <f>('Haver Pivoted'!HH78+1)^4-1</f>
        <v>4.0372871979416969E-2</v>
      </c>
      <c r="X49" s="926">
        <f>('Haver Pivoted'!HI78+1)^4-1</f>
        <v>-1.1102871005200798E-3</v>
      </c>
      <c r="Y49" s="926">
        <f>('Haver Pivoted'!HJ78+1)^4-1</f>
        <v>3.8608393322818291E-2</v>
      </c>
      <c r="Z49" s="926">
        <f>('Haver Pivoted'!HK78+1)^4-1</f>
        <v>1.6292943839810503E-2</v>
      </c>
      <c r="AA49" s="926">
        <f>('Haver Pivoted'!HL78+1)^4-1</f>
        <v>2.3887845221117976E-2</v>
      </c>
      <c r="AB49" s="926">
        <f>('Haver Pivoted'!HM78+1)^4-1</f>
        <v>1.7801857364531548E-2</v>
      </c>
      <c r="AC49" s="926">
        <f>('Haver Pivoted'!HN78+1)^4-1</f>
        <v>3.9281195609842667E-2</v>
      </c>
      <c r="AD49" s="926">
        <f>('Haver Pivoted'!HO78+1)^4-1</f>
        <v>6.6477162008220514E-3</v>
      </c>
      <c r="AE49" s="906">
        <f t="shared" ref="AE49:AN49" si="43">(AE74/AD74)^4-1</f>
        <v>3.1343868352262882E-2</v>
      </c>
      <c r="AF49" s="906">
        <f t="shared" si="43"/>
        <v>3.2394354805230341E-2</v>
      </c>
      <c r="AG49" s="906">
        <f t="shared" si="43"/>
        <v>3.3164637629816696E-2</v>
      </c>
      <c r="AH49" s="906">
        <f t="shared" si="43"/>
        <v>3.1425713898589613E-2</v>
      </c>
      <c r="AI49" s="906">
        <f t="shared" si="43"/>
        <v>3.1013053419121528E-2</v>
      </c>
      <c r="AJ49" s="906">
        <f t="shared" si="43"/>
        <v>3.1015398756455648E-2</v>
      </c>
      <c r="AK49" s="906">
        <f t="shared" si="43"/>
        <v>3.0542269425562596E-2</v>
      </c>
      <c r="AL49" s="906">
        <f t="shared" si="43"/>
        <v>3.0334679878840642E-2</v>
      </c>
      <c r="AM49" s="906">
        <f t="shared" si="43"/>
        <v>2.9994558057691467E-2</v>
      </c>
      <c r="AN49" s="894">
        <f t="shared" si="43"/>
        <v>2.9803649988641601E-2</v>
      </c>
    </row>
    <row r="50" spans="2:40" x14ac:dyDescent="0.35">
      <c r="B50" s="67" t="s">
        <v>1986</v>
      </c>
      <c r="C50" s="925"/>
      <c r="D50" s="952"/>
      <c r="E50" s="906"/>
      <c r="F50" s="906"/>
      <c r="G50" s="906"/>
      <c r="H50" s="906"/>
      <c r="I50" s="906"/>
      <c r="J50" s="906"/>
      <c r="K50" s="906"/>
      <c r="L50" s="906"/>
      <c r="M50" s="906"/>
      <c r="N50" s="906"/>
      <c r="O50" s="906"/>
      <c r="P50" s="906"/>
      <c r="Q50" s="906"/>
      <c r="R50" s="906"/>
      <c r="S50" s="926"/>
      <c r="T50" s="926"/>
      <c r="U50" s="926"/>
      <c r="V50" s="926"/>
      <c r="W50" s="926"/>
      <c r="X50" s="926"/>
      <c r="Y50" s="926"/>
      <c r="Z50" s="926"/>
      <c r="AA50" s="926"/>
      <c r="AB50" s="926"/>
      <c r="AC50" s="926"/>
      <c r="AD50" s="926"/>
      <c r="AE50" s="906">
        <v>0.01</v>
      </c>
      <c r="AF50" s="906">
        <v>8.9999999999999993E-3</v>
      </c>
      <c r="AG50" s="906"/>
      <c r="AH50" s="906"/>
      <c r="AI50" s="906"/>
      <c r="AJ50" s="906"/>
      <c r="AK50" s="906"/>
      <c r="AL50" s="906"/>
      <c r="AM50" s="906"/>
      <c r="AN50" s="894"/>
    </row>
    <row r="51" spans="2:40" x14ac:dyDescent="0.35">
      <c r="B51" s="67" t="s">
        <v>1705</v>
      </c>
      <c r="C51" s="925" t="s">
        <v>1695</v>
      </c>
      <c r="D51" s="952">
        <f>('Haver Pivoted'!GO79+1)^4-1</f>
        <v>1.2331231439726587E-2</v>
      </c>
      <c r="E51" s="906">
        <f>('Haver Pivoted'!GP79+1)^4-1</f>
        <v>-2.700843667145636E-2</v>
      </c>
      <c r="F51" s="906">
        <f>('Haver Pivoted'!GQ79+1)^4-1</f>
        <v>2.7562863533678428E-2</v>
      </c>
      <c r="G51" s="906">
        <f>('Haver Pivoted'!GR79+1)^4-1</f>
        <v>1.5442696812244527E-2</v>
      </c>
      <c r="H51" s="906">
        <f>('Haver Pivoted'!GS79+1)^4-1</f>
        <v>2.7307145143274258E-2</v>
      </c>
      <c r="I51" s="906">
        <f>('Haver Pivoted'!GT79+1)^4-1</f>
        <v>6.2563226282339235E-2</v>
      </c>
      <c r="J51" s="906">
        <f>('Haver Pivoted'!GU79+1)^4-1</f>
        <v>-3.1076845521187391E-3</v>
      </c>
      <c r="K51" s="906">
        <f>('Haver Pivoted'!GV79+1)^4-1</f>
        <v>5.0835204325521355E-2</v>
      </c>
      <c r="L51" s="906">
        <f>('Haver Pivoted'!GW79+1)^4-1</f>
        <v>5.6516511024412575E-2</v>
      </c>
      <c r="M51" s="906">
        <f>('Haver Pivoted'!GX79+1)^4-1</f>
        <v>9.8643019696944334E-2</v>
      </c>
      <c r="N51" s="906">
        <f>('Haver Pivoted'!GY79+1)^4-1</f>
        <v>7.7982454628441111E-2</v>
      </c>
      <c r="O51" s="906">
        <f>('Haver Pivoted'!GZ79+1)^4-1</f>
        <v>6.0955299775054206E-2</v>
      </c>
      <c r="P51" s="906">
        <f>('Haver Pivoted'!HA79+1)^4-1</f>
        <v>7.2782919540383961E-2</v>
      </c>
      <c r="Q51" s="906">
        <f>('Haver Pivoted'!HB79+1)^4-1</f>
        <v>9.0061872181369962E-2</v>
      </c>
      <c r="R51" s="906">
        <f>('Haver Pivoted'!HC79+1)^4-1</f>
        <v>0.1436965164831121</v>
      </c>
      <c r="S51" s="926">
        <f>('Haver Pivoted'!HD79+1)^4-1</f>
        <v>-1.1746560973159292E-2</v>
      </c>
      <c r="T51" s="926">
        <f>('Haver Pivoted'!HE79+1)^4-1</f>
        <v>2.1967430570584145E-3</v>
      </c>
      <c r="U51" s="926">
        <f>('Haver Pivoted'!HF79+1)^4-1</f>
        <v>-3.5599925493891349E-2</v>
      </c>
      <c r="V51" s="926">
        <f>('Haver Pivoted'!HG79+1)^4-1</f>
        <v>-4.5280831786954745E-2</v>
      </c>
      <c r="W51" s="926">
        <f>('Haver Pivoted'!HH79+1)^4-1</f>
        <v>4.8134298648978557E-2</v>
      </c>
      <c r="X51" s="926">
        <f>('Haver Pivoted'!HI79+1)^4-1</f>
        <v>-4.2594526301267255E-3</v>
      </c>
      <c r="Y51" s="926">
        <f>('Haver Pivoted'!HJ79+1)^4-1</f>
        <v>4.217111451589628E-2</v>
      </c>
      <c r="Z51" s="926">
        <f>('Haver Pivoted'!HK79+1)^4-1</f>
        <v>1.9463682308167529E-2</v>
      </c>
      <c r="AA51" s="926">
        <f>('Haver Pivoted'!HL79+1)^4-1</f>
        <v>2.1874539845902152E-2</v>
      </c>
      <c r="AB51" s="926">
        <f>('Haver Pivoted'!HM79+1)^4-1</f>
        <v>1.9072730382637015E-2</v>
      </c>
      <c r="AC51" s="926">
        <f>('Haver Pivoted'!HN79+1)^4-1</f>
        <v>4.161891556378583E-2</v>
      </c>
      <c r="AD51" s="926">
        <f>('Haver Pivoted'!HO79+1)^4-1</f>
        <v>7.0538517269098655E-3</v>
      </c>
      <c r="AE51" s="906">
        <f t="shared" ref="AE51:AF51" si="44">AE49</f>
        <v>3.1343868352262882E-2</v>
      </c>
      <c r="AF51" s="906">
        <f t="shared" si="44"/>
        <v>3.2394354805230341E-2</v>
      </c>
      <c r="AG51" s="906">
        <f t="shared" ref="AG51:AH51" si="45">AG49</f>
        <v>3.3164637629816696E-2</v>
      </c>
      <c r="AH51" s="906">
        <f t="shared" si="45"/>
        <v>3.1425713898589613E-2</v>
      </c>
      <c r="AI51" s="906">
        <f t="shared" ref="AI51:AN51" si="46">AI49</f>
        <v>3.1013053419121528E-2</v>
      </c>
      <c r="AJ51" s="906">
        <f t="shared" si="46"/>
        <v>3.1015398756455648E-2</v>
      </c>
      <c r="AK51" s="906">
        <f t="shared" si="46"/>
        <v>3.0542269425562596E-2</v>
      </c>
      <c r="AL51" s="906">
        <f>AL49</f>
        <v>3.0334679878840642E-2</v>
      </c>
      <c r="AM51" s="906">
        <f t="shared" si="46"/>
        <v>2.9994558057691467E-2</v>
      </c>
      <c r="AN51" s="894">
        <f t="shared" si="46"/>
        <v>2.9803649988641601E-2</v>
      </c>
    </row>
    <row r="52" spans="2:40" x14ac:dyDescent="0.35">
      <c r="B52" s="344" t="s">
        <v>1706</v>
      </c>
      <c r="C52" s="949" t="s">
        <v>1696</v>
      </c>
      <c r="D52" s="909">
        <f>('Haver Pivoted'!GO80+1)^4-1</f>
        <v>4.0962242441666019E-2</v>
      </c>
      <c r="E52" s="910">
        <f>('Haver Pivoted'!GP80+1)^4-1</f>
        <v>1.51792670994777E-2</v>
      </c>
      <c r="F52" s="910">
        <f>('Haver Pivoted'!GQ80+1)^4-1</f>
        <v>4.2702169718882965E-2</v>
      </c>
      <c r="G52" s="910">
        <f>('Haver Pivoted'!GR80+1)^4-1</f>
        <v>1.755007684826615E-2</v>
      </c>
      <c r="H52" s="910">
        <f>('Haver Pivoted'!GS80+1)^4-1</f>
        <v>7.6166905113348449E-3</v>
      </c>
      <c r="I52" s="910">
        <f>('Haver Pivoted'!GT80+1)^4-1</f>
        <v>1.0120807804920418E-2</v>
      </c>
      <c r="J52" s="910">
        <f>('Haver Pivoted'!GU80+1)^4-1</f>
        <v>-1.4337681566159555E-2</v>
      </c>
      <c r="K52" s="910">
        <f>('Haver Pivoted'!GV80+1)^4-1</f>
        <v>3.9796166071044636E-2</v>
      </c>
      <c r="L52" s="910">
        <f>('Haver Pivoted'!GW80+1)^4-1</f>
        <v>2.0329576447674524E-2</v>
      </c>
      <c r="M52" s="910">
        <f>('Haver Pivoted'!GX80+1)^4-1</f>
        <v>5.9674403216350091E-2</v>
      </c>
      <c r="N52" s="910">
        <f>('Haver Pivoted'!GY80+1)^4-1</f>
        <v>9.5803328528480503E-2</v>
      </c>
      <c r="O52" s="910">
        <f>('Haver Pivoted'!GZ80+1)^4-1</f>
        <v>8.9244367976453631E-2</v>
      </c>
      <c r="P52" s="910">
        <f>('Haver Pivoted'!HA80+1)^4-1</f>
        <v>0.12456668920888303</v>
      </c>
      <c r="Q52" s="910">
        <f>('Haver Pivoted'!HB80+1)^4-1</f>
        <v>0.12433979312392585</v>
      </c>
      <c r="R52" s="910">
        <f>('Haver Pivoted'!HC80+1)^4-1</f>
        <v>0.13846732874655276</v>
      </c>
      <c r="S52" s="942">
        <f>('Haver Pivoted'!HD80+1)^4-1</f>
        <v>9.552027198699542E-2</v>
      </c>
      <c r="T52" s="942">
        <f>('Haver Pivoted'!HE80+1)^4-1</f>
        <v>5.5161829119105388E-2</v>
      </c>
      <c r="U52" s="942">
        <f>('Haver Pivoted'!HF80+1)^4-1</f>
        <v>5.0122233379745529E-2</v>
      </c>
      <c r="V52" s="942">
        <f>('Haver Pivoted'!HG80+1)^4-1</f>
        <v>2.1164173736800684E-3</v>
      </c>
      <c r="W52" s="942">
        <f>('Haver Pivoted'!HH80+1)^4-1</f>
        <v>5.8706332638096548E-3</v>
      </c>
      <c r="X52" s="942">
        <f>('Haver Pivoted'!HI80+1)^4-1</f>
        <v>1.2084409350409553E-2</v>
      </c>
      <c r="Y52" s="942">
        <f>('Haver Pivoted'!HJ80+1)^4-1</f>
        <v>2.380676700323181E-2</v>
      </c>
      <c r="Z52" s="942">
        <f>('Haver Pivoted'!HK80+1)^4-1</f>
        <v>3.3212249496941126E-3</v>
      </c>
      <c r="AA52" s="942">
        <f>('Haver Pivoted'!HL80+1)^4-1</f>
        <v>3.2150473499066079E-2</v>
      </c>
      <c r="AB52" s="942">
        <f>('Haver Pivoted'!HM80+1)^4-1</f>
        <v>1.2769263183438628E-2</v>
      </c>
      <c r="AC52" s="942">
        <f>('Haver Pivoted'!HN80+1)^4-1</f>
        <v>2.9707566513271333E-2</v>
      </c>
      <c r="AD52" s="942">
        <f>('Haver Pivoted'!HO80+1)^4-1</f>
        <v>5.0810704617254565E-3</v>
      </c>
      <c r="AE52" s="910">
        <f t="shared" ref="AE52:AF52" si="47">AE51</f>
        <v>3.1343868352262882E-2</v>
      </c>
      <c r="AF52" s="910">
        <f t="shared" si="47"/>
        <v>3.2394354805230341E-2</v>
      </c>
      <c r="AG52" s="910">
        <f t="shared" ref="AG52:AH52" si="48">AG51</f>
        <v>3.3164637629816696E-2</v>
      </c>
      <c r="AH52" s="910">
        <f t="shared" si="48"/>
        <v>3.1425713898589613E-2</v>
      </c>
      <c r="AI52" s="910">
        <f>AI51</f>
        <v>3.1013053419121528E-2</v>
      </c>
      <c r="AJ52" s="910">
        <f t="shared" ref="AJ52:AN52" si="49">AJ51</f>
        <v>3.1015398756455648E-2</v>
      </c>
      <c r="AK52" s="910">
        <f t="shared" si="49"/>
        <v>3.0542269425562596E-2</v>
      </c>
      <c r="AL52" s="910">
        <f t="shared" si="49"/>
        <v>3.0334679878840642E-2</v>
      </c>
      <c r="AM52" s="910">
        <f t="shared" si="49"/>
        <v>2.9994558057691467E-2</v>
      </c>
      <c r="AN52" s="911">
        <f t="shared" si="49"/>
        <v>2.9803649988641601E-2</v>
      </c>
    </row>
    <row r="53" spans="2:40" x14ac:dyDescent="0.35">
      <c r="B53" s="56"/>
      <c r="C53" s="925"/>
      <c r="D53" s="906"/>
      <c r="E53" s="906"/>
      <c r="F53" s="906"/>
      <c r="G53" s="906"/>
      <c r="H53" s="906"/>
      <c r="I53" s="906"/>
      <c r="J53" s="906"/>
      <c r="K53" s="906"/>
      <c r="L53" s="906"/>
      <c r="M53" s="906"/>
      <c r="N53" s="906"/>
      <c r="O53" s="906"/>
      <c r="P53" s="906"/>
      <c r="Q53" s="906"/>
      <c r="R53" s="906"/>
      <c r="X53" s="906"/>
      <c r="AB53" s="906"/>
      <c r="AC53" s="906"/>
      <c r="AD53" s="906"/>
      <c r="AE53" s="906"/>
      <c r="AF53" s="906"/>
    </row>
    <row r="54" spans="2:40" x14ac:dyDescent="0.35">
      <c r="B54" s="56"/>
      <c r="C54" s="925"/>
      <c r="D54" s="906"/>
      <c r="E54" s="906"/>
      <c r="F54" s="906"/>
      <c r="G54" s="906"/>
      <c r="H54" s="906"/>
      <c r="I54" s="906"/>
      <c r="J54" s="906"/>
      <c r="K54" s="906"/>
      <c r="L54" s="906"/>
      <c r="M54" s="906"/>
      <c r="N54" s="906"/>
      <c r="O54" s="906"/>
      <c r="P54" s="906"/>
      <c r="Q54" s="906"/>
      <c r="R54" s="906"/>
      <c r="X54" s="906"/>
      <c r="AB54" s="906"/>
      <c r="AC54" s="906"/>
      <c r="AD54" s="906"/>
      <c r="AE54" s="906"/>
      <c r="AF54" s="906"/>
    </row>
    <row r="55" spans="2:40" x14ac:dyDescent="0.35">
      <c r="B55" s="935" t="s">
        <v>1702</v>
      </c>
      <c r="C55" s="925"/>
      <c r="D55" s="906"/>
      <c r="E55" s="906"/>
      <c r="F55" s="906"/>
      <c r="G55" s="906"/>
      <c r="H55" s="906"/>
      <c r="I55" s="906"/>
      <c r="J55" s="906"/>
      <c r="K55" s="906"/>
      <c r="L55" s="906"/>
      <c r="M55" s="906"/>
      <c r="N55" s="906"/>
      <c r="O55" s="906"/>
      <c r="P55" s="906"/>
      <c r="Q55" s="906"/>
      <c r="R55" s="906"/>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5"/>
      <c r="D56" s="906"/>
      <c r="E56" s="906"/>
      <c r="F56" s="906"/>
      <c r="G56" s="906"/>
      <c r="H56" s="906"/>
      <c r="I56" s="906"/>
      <c r="J56" s="906"/>
      <c r="K56" s="906"/>
      <c r="L56" s="906"/>
      <c r="M56" s="906"/>
      <c r="N56" s="906"/>
      <c r="O56" s="906"/>
      <c r="P56" s="906"/>
      <c r="Q56" s="906"/>
      <c r="R56" s="906"/>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5"/>
      <c r="D57" s="906"/>
      <c r="E57" s="906"/>
      <c r="F57" s="906"/>
      <c r="G57" s="906"/>
      <c r="H57" s="906"/>
      <c r="I57" s="906"/>
      <c r="J57" s="906"/>
      <c r="K57" s="906"/>
      <c r="L57" s="906"/>
      <c r="M57" s="906"/>
      <c r="N57" s="906"/>
      <c r="O57" s="906"/>
      <c r="P57" s="906"/>
      <c r="Q57" s="906"/>
      <c r="R57" s="906"/>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5"/>
      <c r="D58" s="906"/>
      <c r="E58" s="906"/>
      <c r="F58" s="906"/>
      <c r="G58" s="906"/>
      <c r="H58" s="906"/>
      <c r="I58" s="906"/>
      <c r="J58" s="906"/>
      <c r="K58" s="906"/>
      <c r="L58" s="906"/>
      <c r="M58" s="906"/>
      <c r="N58" s="906"/>
      <c r="O58" s="906"/>
      <c r="P58" s="906"/>
      <c r="Q58" s="906"/>
      <c r="R58" s="906"/>
      <c r="X58" s="906"/>
      <c r="AB58" s="906"/>
      <c r="AC58" s="906"/>
      <c r="AD58" s="906"/>
      <c r="AE58" s="906"/>
      <c r="AF58" s="906"/>
    </row>
    <row r="59" spans="2:40" x14ac:dyDescent="0.35">
      <c r="B59" s="56"/>
      <c r="C59" s="925"/>
      <c r="D59" s="906"/>
      <c r="E59" s="906"/>
      <c r="F59" s="906"/>
      <c r="G59" s="906"/>
      <c r="H59" s="906"/>
      <c r="I59" s="906"/>
      <c r="J59" s="906"/>
      <c r="K59" s="906"/>
      <c r="L59" s="906"/>
      <c r="M59" s="906"/>
      <c r="N59" s="906"/>
      <c r="O59" s="906"/>
      <c r="P59" s="906"/>
      <c r="Q59" s="906"/>
      <c r="R59" s="906"/>
      <c r="X59" s="906"/>
      <c r="AB59" s="906"/>
      <c r="AC59" s="906"/>
      <c r="AD59" s="906"/>
      <c r="AE59" s="906"/>
      <c r="AF59" s="906"/>
    </row>
    <row r="60" spans="2:40" x14ac:dyDescent="0.35">
      <c r="B60" s="56"/>
      <c r="C60" s="925"/>
      <c r="D60" s="906"/>
      <c r="E60" s="906"/>
      <c r="F60" s="906"/>
      <c r="G60" s="906"/>
      <c r="H60" s="906"/>
      <c r="I60" s="906"/>
      <c r="J60" s="906"/>
      <c r="K60" s="906"/>
      <c r="L60" s="906"/>
      <c r="M60" s="906"/>
      <c r="N60" s="906"/>
      <c r="O60" s="906"/>
      <c r="P60" s="906"/>
      <c r="Q60" s="906"/>
      <c r="R60" s="906"/>
      <c r="X60" s="906"/>
      <c r="AB60" s="906"/>
      <c r="AC60" s="906"/>
      <c r="AD60" s="906"/>
      <c r="AE60" s="906"/>
      <c r="AF60" s="906"/>
    </row>
    <row r="61" spans="2:40" x14ac:dyDescent="0.35">
      <c r="B61" s="56"/>
      <c r="C61" s="925"/>
      <c r="D61" s="906"/>
      <c r="E61" s="906"/>
      <c r="F61" s="906"/>
      <c r="G61" s="906"/>
      <c r="H61" s="906"/>
      <c r="I61" s="906"/>
      <c r="J61" s="906"/>
      <c r="K61" s="906"/>
      <c r="L61" s="906"/>
      <c r="M61" s="906"/>
      <c r="N61" s="906"/>
      <c r="O61" s="906"/>
      <c r="P61" s="906"/>
      <c r="Q61" s="906"/>
      <c r="R61" s="906"/>
      <c r="X61" s="906"/>
      <c r="Y61" s="906"/>
      <c r="Z61" s="906"/>
      <c r="AA61" s="906"/>
      <c r="AB61" s="906"/>
      <c r="AC61" s="906"/>
      <c r="AD61" s="906"/>
      <c r="AE61" s="906"/>
      <c r="AF61" s="906"/>
    </row>
    <row r="62" spans="2:40" ht="14.5" customHeight="1" x14ac:dyDescent="0.35">
      <c r="B62" s="1407" t="s">
        <v>1726</v>
      </c>
      <c r="C62" s="1407"/>
      <c r="D62" s="1407"/>
      <c r="E62" s="1407"/>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8" t="s">
        <v>1969</v>
      </c>
      <c r="C63" s="941"/>
      <c r="D63" s="296">
        <v>2018</v>
      </c>
      <c r="E63" s="1338">
        <v>2019</v>
      </c>
      <c r="F63" s="1346"/>
      <c r="G63" s="1346"/>
      <c r="H63" s="1340"/>
      <c r="I63" s="1338">
        <v>2020</v>
      </c>
      <c r="J63" s="1346"/>
      <c r="K63" s="1346"/>
      <c r="L63" s="1346"/>
      <c r="M63" s="1338">
        <v>2021</v>
      </c>
      <c r="N63" s="1346"/>
      <c r="O63" s="1346"/>
      <c r="P63" s="1346"/>
      <c r="Q63" s="1341">
        <v>2022</v>
      </c>
      <c r="R63" s="1342"/>
      <c r="S63" s="302"/>
      <c r="T63" s="309"/>
      <c r="U63" s="1338">
        <v>2023</v>
      </c>
      <c r="V63" s="1346"/>
      <c r="W63" s="1346"/>
      <c r="X63" s="1340"/>
      <c r="Y63" s="460"/>
      <c r="Z63" s="302">
        <v>2024</v>
      </c>
      <c r="AA63" s="302"/>
      <c r="AB63" s="335"/>
      <c r="AC63" s="1325">
        <v>2025</v>
      </c>
      <c r="AD63" s="1326"/>
      <c r="AE63" s="1326"/>
      <c r="AF63" s="1330"/>
      <c r="AG63" s="1325">
        <v>2026</v>
      </c>
      <c r="AH63" s="1331"/>
      <c r="AI63" s="1331"/>
      <c r="AJ63" s="1330"/>
      <c r="AK63" s="1325">
        <v>2027</v>
      </c>
      <c r="AL63" s="1331"/>
      <c r="AM63" s="1331"/>
      <c r="AN63" s="1330"/>
    </row>
    <row r="64" spans="2:40" x14ac:dyDescent="0.35">
      <c r="B64" s="904"/>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2"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1">
        <v>17876.2</v>
      </c>
      <c r="T65" s="901">
        <v>18108.3</v>
      </c>
      <c r="U65" s="901">
        <v>18506.2</v>
      </c>
      <c r="V65" s="901">
        <v>18685.7</v>
      </c>
      <c r="W65" s="901">
        <v>18929</v>
      </c>
      <c r="X65" s="901">
        <v>19170.2</v>
      </c>
      <c r="Y65" s="901">
        <v>19424.8</v>
      </c>
      <c r="Z65" s="901">
        <v>19682.7</v>
      </c>
      <c r="AA65" s="901">
        <v>19928.2</v>
      </c>
      <c r="AB65" s="901">
        <v>20185.7</v>
      </c>
      <c r="AC65" s="901">
        <v>20403.099999999999</v>
      </c>
      <c r="AD65" s="901">
        <v>20642.2</v>
      </c>
      <c r="AE65" s="901">
        <v>20846.8</v>
      </c>
      <c r="AF65" s="901">
        <v>21044.3</v>
      </c>
      <c r="AG65" s="901">
        <v>21224.400000000001</v>
      </c>
      <c r="AH65" s="896">
        <v>21419</v>
      </c>
      <c r="AI65" s="896">
        <v>21589.1</v>
      </c>
      <c r="AJ65" s="896">
        <v>21781.8</v>
      </c>
      <c r="AK65" s="896">
        <v>21986.799999999999</v>
      </c>
      <c r="AL65" s="896">
        <v>22169.7</v>
      </c>
      <c r="AM65" s="896">
        <v>22353.1</v>
      </c>
      <c r="AN65" s="896">
        <v>22549.7</v>
      </c>
      <c r="AO65" s="896">
        <v>22756.3</v>
      </c>
      <c r="AP65" s="896">
        <v>22960.5</v>
      </c>
      <c r="AQ65" s="896">
        <v>23175.7</v>
      </c>
      <c r="AR65" s="896">
        <v>23394.799999999999</v>
      </c>
      <c r="AS65" s="896">
        <v>23623.8</v>
      </c>
      <c r="AT65" s="896">
        <v>23858.3</v>
      </c>
      <c r="AU65" s="896">
        <v>24089.9</v>
      </c>
      <c r="AV65" s="896">
        <v>24324.3</v>
      </c>
      <c r="AW65" s="896">
        <v>24567.4</v>
      </c>
      <c r="AX65" s="896">
        <v>24824.5</v>
      </c>
      <c r="AY65" s="896">
        <v>25079.200000000001</v>
      </c>
      <c r="AZ65" s="896">
        <v>25340.7</v>
      </c>
      <c r="BA65" s="896">
        <v>25603</v>
      </c>
      <c r="BB65" s="896">
        <v>25871.9</v>
      </c>
      <c r="BC65" s="896">
        <v>26140.7</v>
      </c>
      <c r="BD65" s="896">
        <v>26411.5</v>
      </c>
      <c r="BE65" s="896">
        <v>26684.9</v>
      </c>
      <c r="BF65" s="896">
        <v>26961.599999999999</v>
      </c>
      <c r="BG65" s="896">
        <v>27241.4</v>
      </c>
      <c r="BH65" s="896">
        <v>27524.400000000001</v>
      </c>
      <c r="BI65" s="896">
        <v>27809.7</v>
      </c>
      <c r="BJ65" s="896">
        <v>28100.3</v>
      </c>
      <c r="BK65" s="896">
        <v>28394.3</v>
      </c>
      <c r="BL65" s="896">
        <v>28690.400000000001</v>
      </c>
      <c r="BM65" s="896">
        <v>28988.400000000001</v>
      </c>
      <c r="BN65" s="896">
        <v>29289</v>
      </c>
      <c r="BO65" s="896">
        <v>29593.3</v>
      </c>
      <c r="BP65" s="896">
        <v>29899.7</v>
      </c>
      <c r="BQ65">
        <v>30207</v>
      </c>
      <c r="BR65">
        <v>30516</v>
      </c>
      <c r="BS65">
        <v>30827</v>
      </c>
      <c r="BT65">
        <v>31138.6</v>
      </c>
    </row>
    <row r="66" spans="2:72" ht="26.25" customHeight="1" x14ac:dyDescent="0.35">
      <c r="B66" s="912" t="s">
        <v>1915</v>
      </c>
      <c r="C66" s="56" t="s">
        <v>1709</v>
      </c>
      <c r="D66" s="67"/>
      <c r="E66" s="56"/>
      <c r="F66" s="56"/>
      <c r="G66" s="56"/>
      <c r="H66" s="56"/>
      <c r="I66" s="56"/>
      <c r="J66" s="56"/>
      <c r="K66" s="56"/>
      <c r="L66" s="56"/>
      <c r="M66" s="896">
        <v>1609.9</v>
      </c>
      <c r="N66" s="896">
        <v>1588.5</v>
      </c>
      <c r="O66" s="896">
        <v>1576.4</v>
      </c>
      <c r="P66" s="896">
        <v>1602.5</v>
      </c>
      <c r="Q66" s="896">
        <v>1606.5</v>
      </c>
      <c r="R66" s="896">
        <v>1622.1</v>
      </c>
      <c r="S66" s="901">
        <v>1641.4</v>
      </c>
      <c r="T66" s="901">
        <v>1694.2</v>
      </c>
      <c r="U66" s="901">
        <v>1731.6</v>
      </c>
      <c r="V66" s="901">
        <v>1741.8</v>
      </c>
      <c r="W66" s="901">
        <v>1780.9</v>
      </c>
      <c r="X66" s="901">
        <v>1796.2</v>
      </c>
      <c r="Y66" s="901">
        <v>1810.3</v>
      </c>
      <c r="Z66" s="901">
        <v>1842.2</v>
      </c>
      <c r="AA66" s="901">
        <v>1893.4</v>
      </c>
      <c r="AB66" s="901">
        <v>1899.3</v>
      </c>
      <c r="AC66" s="901">
        <v>1905.1</v>
      </c>
      <c r="AD66" s="901">
        <v>1910.7</v>
      </c>
      <c r="AE66" s="901">
        <v>1916.3</v>
      </c>
      <c r="AF66" s="901">
        <v>1922.1</v>
      </c>
      <c r="AG66" s="913">
        <v>1932.1</v>
      </c>
      <c r="AH66" s="913">
        <v>1942.5</v>
      </c>
      <c r="AI66" s="913">
        <v>1953.7</v>
      </c>
      <c r="AJ66" s="913">
        <v>1963.7</v>
      </c>
      <c r="AK66" s="913">
        <v>1973.3</v>
      </c>
      <c r="AL66" s="913">
        <v>1984.4</v>
      </c>
      <c r="AM66" s="913">
        <v>1996</v>
      </c>
      <c r="AN66" s="913">
        <v>2006.3</v>
      </c>
      <c r="AO66" s="913">
        <v>2016.1</v>
      </c>
      <c r="AP66" s="896">
        <v>2026.1</v>
      </c>
      <c r="AQ66" s="896">
        <v>2036.2</v>
      </c>
      <c r="AR66" s="896">
        <v>2047.6</v>
      </c>
      <c r="AS66" s="896">
        <v>2057.4</v>
      </c>
      <c r="AT66" s="896">
        <v>2068.8000000000002</v>
      </c>
      <c r="AU66" s="896">
        <v>2080.3000000000002</v>
      </c>
      <c r="AV66" s="896">
        <v>2091.8000000000002</v>
      </c>
      <c r="AW66" s="896">
        <v>2103.1999999999998</v>
      </c>
      <c r="AX66" s="896">
        <v>2114.6999999999998</v>
      </c>
      <c r="AY66" s="896">
        <v>2124.6999999999998</v>
      </c>
      <c r="AZ66" s="896">
        <v>2134.8000000000002</v>
      </c>
      <c r="BA66" s="896">
        <v>2144.9</v>
      </c>
      <c r="BB66" s="896">
        <v>2156.6</v>
      </c>
      <c r="BC66" s="896">
        <v>2169.1</v>
      </c>
      <c r="BD66" s="896">
        <v>2181.9</v>
      </c>
      <c r="BE66" s="896">
        <v>2194.8000000000002</v>
      </c>
      <c r="BF66" s="896">
        <v>2207.5</v>
      </c>
      <c r="BG66" s="896">
        <v>2221.3000000000002</v>
      </c>
      <c r="BH66" s="896">
        <v>2235.5</v>
      </c>
      <c r="BI66" s="896">
        <v>2249.3000000000002</v>
      </c>
      <c r="BJ66" s="896">
        <v>2263.1999999999998</v>
      </c>
      <c r="BK66" s="896">
        <v>2277.4</v>
      </c>
      <c r="BL66" s="896">
        <v>2290.6999999999998</v>
      </c>
      <c r="BM66" s="896">
        <v>2304.1999999999998</v>
      </c>
      <c r="BN66" s="896">
        <v>2317.3000000000002</v>
      </c>
      <c r="BO66" s="896">
        <v>2330.5</v>
      </c>
      <c r="BP66" s="896">
        <v>2343.6</v>
      </c>
      <c r="BQ66">
        <v>2356.9</v>
      </c>
      <c r="BR66">
        <v>2370.1999999999998</v>
      </c>
      <c r="BS66">
        <v>2383.6999999999998</v>
      </c>
      <c r="BT66">
        <v>2397.6</v>
      </c>
    </row>
    <row r="67" spans="2:72" ht="26.25" customHeight="1" x14ac:dyDescent="0.35">
      <c r="B67" s="912" t="s">
        <v>1916</v>
      </c>
      <c r="C67" s="56" t="s">
        <v>1709</v>
      </c>
      <c r="D67" s="67"/>
      <c r="E67" s="56"/>
      <c r="F67" s="56"/>
      <c r="G67" s="56"/>
      <c r="H67" s="56"/>
      <c r="I67" s="56"/>
      <c r="J67" s="56"/>
      <c r="K67" s="56"/>
      <c r="L67" s="56"/>
      <c r="M67" s="896">
        <v>2533.9</v>
      </c>
      <c r="N67" s="896">
        <v>2571.6999999999998</v>
      </c>
      <c r="O67" s="896">
        <v>2625.1</v>
      </c>
      <c r="P67" s="896">
        <v>2664.2</v>
      </c>
      <c r="Q67" s="896">
        <v>2726.1</v>
      </c>
      <c r="R67" s="896">
        <v>2815.5</v>
      </c>
      <c r="S67" s="901">
        <v>2838.7</v>
      </c>
      <c r="T67" s="901">
        <v>2870.6</v>
      </c>
      <c r="U67" s="901">
        <v>2893</v>
      </c>
      <c r="V67" s="901">
        <v>2904.1</v>
      </c>
      <c r="W67" s="901">
        <v>2975.5</v>
      </c>
      <c r="X67" s="901">
        <v>3019</v>
      </c>
      <c r="Y67" s="901">
        <v>3070.7</v>
      </c>
      <c r="Z67" s="901">
        <v>3100.9</v>
      </c>
      <c r="AA67" s="901">
        <v>3139.2</v>
      </c>
      <c r="AB67" s="901">
        <v>3171.3</v>
      </c>
      <c r="AC67" s="901">
        <v>3201.4</v>
      </c>
      <c r="AD67" s="901">
        <v>3227.6</v>
      </c>
      <c r="AE67" s="901">
        <v>3257.1</v>
      </c>
      <c r="AF67" s="901">
        <v>3287.7</v>
      </c>
      <c r="AG67" s="726">
        <v>3319.2</v>
      </c>
      <c r="AH67" s="726">
        <v>3348.5</v>
      </c>
      <c r="AI67" s="726">
        <v>3378.4</v>
      </c>
      <c r="AJ67" s="726">
        <v>3407.6</v>
      </c>
      <c r="AK67" s="726">
        <v>3436.1</v>
      </c>
      <c r="AL67" s="726">
        <v>3465.5</v>
      </c>
      <c r="AM67" s="726">
        <v>3495</v>
      </c>
      <c r="AN67" s="726">
        <v>3524.3</v>
      </c>
      <c r="AO67" s="726">
        <v>3553.2</v>
      </c>
      <c r="AP67" s="896">
        <v>3582.3</v>
      </c>
      <c r="AQ67" s="896">
        <v>3611.3</v>
      </c>
      <c r="AR67" s="896">
        <v>3640.4</v>
      </c>
      <c r="AS67" s="896">
        <v>3669.2</v>
      </c>
      <c r="AT67" s="896">
        <v>3698.1</v>
      </c>
      <c r="AU67" s="896">
        <v>3727.3</v>
      </c>
      <c r="AV67" s="896">
        <v>3756.6</v>
      </c>
      <c r="AW67" s="896">
        <v>3785.8</v>
      </c>
      <c r="AX67" s="896">
        <v>3815.2</v>
      </c>
      <c r="AY67" s="896">
        <v>3845</v>
      </c>
      <c r="AZ67" s="896">
        <v>3874.9</v>
      </c>
      <c r="BA67" s="896">
        <v>3905.2</v>
      </c>
      <c r="BB67" s="896">
        <v>3935.8</v>
      </c>
      <c r="BC67" s="896">
        <v>3966.6</v>
      </c>
      <c r="BD67" s="896">
        <v>3997.8</v>
      </c>
      <c r="BE67" s="896">
        <v>4029.2</v>
      </c>
      <c r="BF67" s="896">
        <v>4060.9</v>
      </c>
      <c r="BG67" s="896">
        <v>4092.8</v>
      </c>
      <c r="BH67" s="896">
        <v>4125</v>
      </c>
      <c r="BI67" s="896">
        <v>4157.3999999999996</v>
      </c>
      <c r="BJ67" s="896">
        <v>4190</v>
      </c>
      <c r="BK67" s="896">
        <v>4222.8</v>
      </c>
      <c r="BL67" s="896">
        <v>4255.8</v>
      </c>
      <c r="BM67" s="896">
        <v>4289</v>
      </c>
      <c r="BN67" s="896">
        <v>4322.3</v>
      </c>
      <c r="BO67" s="896">
        <v>4355.7</v>
      </c>
      <c r="BP67" s="896">
        <v>4389</v>
      </c>
      <c r="BQ67">
        <v>4422.3999999999996</v>
      </c>
      <c r="BR67">
        <v>4456</v>
      </c>
      <c r="BS67">
        <v>4489.8</v>
      </c>
      <c r="BT67">
        <v>4524</v>
      </c>
    </row>
    <row r="68" spans="2:72" ht="26.25" customHeight="1" x14ac:dyDescent="0.35">
      <c r="B68" s="912" t="s">
        <v>1917</v>
      </c>
      <c r="C68" s="56" t="s">
        <v>1710</v>
      </c>
      <c r="D68" s="67"/>
      <c r="E68" s="56"/>
      <c r="F68" s="56"/>
      <c r="G68" s="56"/>
      <c r="H68" s="56"/>
      <c r="I68" s="56"/>
      <c r="J68" s="56"/>
      <c r="K68" s="56"/>
      <c r="L68" s="56"/>
      <c r="M68" s="896">
        <v>14282.6</v>
      </c>
      <c r="N68" s="896">
        <v>14745.6</v>
      </c>
      <c r="O68" s="896">
        <v>14848.8</v>
      </c>
      <c r="P68" s="896">
        <v>14995.6</v>
      </c>
      <c r="Q68" s="896">
        <v>15123.4</v>
      </c>
      <c r="R68" s="896">
        <v>15219.9</v>
      </c>
      <c r="S68" s="901">
        <v>15277.6</v>
      </c>
      <c r="T68" s="901">
        <v>15324</v>
      </c>
      <c r="U68" s="901">
        <v>15510.2</v>
      </c>
      <c r="V68" s="901">
        <v>15548.5</v>
      </c>
      <c r="W68" s="901">
        <v>15646.7</v>
      </c>
      <c r="X68" s="901">
        <v>15781.4</v>
      </c>
      <c r="Y68" s="901">
        <v>15856.9</v>
      </c>
      <c r="Z68" s="901">
        <v>15967.3</v>
      </c>
      <c r="AA68" s="901">
        <v>16106.4</v>
      </c>
      <c r="AB68" s="901">
        <v>16216.1</v>
      </c>
      <c r="AC68" s="901">
        <v>16297.6</v>
      </c>
      <c r="AD68" s="901">
        <v>16401.2</v>
      </c>
      <c r="AE68" s="901">
        <v>16474.400000000001</v>
      </c>
      <c r="AF68" s="901">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6">
        <v>17161.400000000001</v>
      </c>
      <c r="AQ68" s="896">
        <v>17237</v>
      </c>
      <c r="AR68" s="896">
        <v>17314.599999999999</v>
      </c>
      <c r="AS68" s="896">
        <v>17398.5</v>
      </c>
      <c r="AT68" s="896">
        <v>17485.3</v>
      </c>
      <c r="AU68" s="896">
        <v>17568.900000000001</v>
      </c>
      <c r="AV68" s="896">
        <v>17653.3</v>
      </c>
      <c r="AW68" s="896">
        <v>17742.900000000001</v>
      </c>
      <c r="AX68" s="896">
        <v>17841.3</v>
      </c>
      <c r="AY68" s="896">
        <v>17936.8</v>
      </c>
      <c r="AZ68" s="896">
        <v>18035.7</v>
      </c>
      <c r="BA68" s="896">
        <v>18133.900000000001</v>
      </c>
      <c r="BB68" s="896">
        <v>18235.5</v>
      </c>
      <c r="BC68" s="896">
        <v>18335.599999999999</v>
      </c>
      <c r="BD68" s="896">
        <v>18435.7</v>
      </c>
      <c r="BE68" s="896">
        <v>18536.2</v>
      </c>
      <c r="BF68" s="896">
        <v>18637.7</v>
      </c>
      <c r="BG68" s="896">
        <v>18739.900000000001</v>
      </c>
      <c r="BH68" s="896">
        <v>18842.900000000001</v>
      </c>
      <c r="BI68" s="896">
        <v>18946</v>
      </c>
      <c r="BJ68" s="896">
        <v>19051.3</v>
      </c>
      <c r="BK68" s="896">
        <v>19157.5</v>
      </c>
      <c r="BL68" s="896">
        <v>19263.7</v>
      </c>
      <c r="BM68" s="896">
        <v>19369.599999999999</v>
      </c>
      <c r="BN68" s="896">
        <v>19475.8</v>
      </c>
      <c r="BO68" s="896">
        <v>19583</v>
      </c>
      <c r="BP68" s="896">
        <v>19690.099999999999</v>
      </c>
      <c r="BQ68">
        <v>19796.2</v>
      </c>
      <c r="BR68">
        <v>19902.099999999999</v>
      </c>
      <c r="BS68">
        <v>20007.8</v>
      </c>
      <c r="BT68">
        <v>20112.400000000001</v>
      </c>
    </row>
    <row r="69" spans="2:72" ht="26.25" customHeight="1" x14ac:dyDescent="0.35">
      <c r="B69" s="912" t="s">
        <v>1918</v>
      </c>
      <c r="C69" s="56" t="s">
        <v>1711</v>
      </c>
      <c r="D69" s="67"/>
      <c r="E69" s="56"/>
      <c r="F69" s="56"/>
      <c r="G69" s="56"/>
      <c r="H69" s="56"/>
      <c r="I69" s="56"/>
      <c r="J69" s="56"/>
      <c r="K69" s="56"/>
      <c r="L69" s="56"/>
      <c r="M69" s="896">
        <v>1499.1</v>
      </c>
      <c r="N69" s="896">
        <v>1464.8</v>
      </c>
      <c r="O69" s="896">
        <v>1439.1</v>
      </c>
      <c r="P69" s="896">
        <v>1446.5</v>
      </c>
      <c r="Q69" s="896">
        <v>1426.3</v>
      </c>
      <c r="R69" s="896">
        <v>1414.4</v>
      </c>
      <c r="S69" s="901">
        <v>1412.9</v>
      </c>
      <c r="T69" s="901">
        <v>1443.6</v>
      </c>
      <c r="U69" s="901">
        <v>1460</v>
      </c>
      <c r="V69" s="901">
        <v>1456</v>
      </c>
      <c r="W69" s="901">
        <v>1474.8</v>
      </c>
      <c r="X69" s="901">
        <v>1473.5</v>
      </c>
      <c r="Y69" s="901">
        <v>1472.2</v>
      </c>
      <c r="Z69" s="901">
        <v>1487.8</v>
      </c>
      <c r="AA69" s="901">
        <v>1519.9</v>
      </c>
      <c r="AB69" s="901">
        <v>1513.2</v>
      </c>
      <c r="AC69" s="901">
        <v>1510.8</v>
      </c>
      <c r="AD69" s="901">
        <v>1509.5</v>
      </c>
      <c r="AE69" s="901">
        <v>1508.4</v>
      </c>
      <c r="AF69" s="901">
        <v>1507.3</v>
      </c>
      <c r="AG69" s="726">
        <v>1507.1</v>
      </c>
      <c r="AH69" s="726">
        <v>1506.7</v>
      </c>
      <c r="AI69" s="726">
        <v>1506.7</v>
      </c>
      <c r="AJ69" s="726">
        <v>1505.5</v>
      </c>
      <c r="AK69" s="726">
        <v>1504.5</v>
      </c>
      <c r="AL69" s="726">
        <v>1504.7</v>
      </c>
      <c r="AM69" s="726">
        <v>1505</v>
      </c>
      <c r="AN69" s="726">
        <v>1504.1</v>
      </c>
      <c r="AO69" s="726">
        <v>1503.1</v>
      </c>
      <c r="AP69" s="896">
        <v>1502.1</v>
      </c>
      <c r="AQ69" s="896">
        <v>1501.3</v>
      </c>
      <c r="AR69" s="896">
        <v>1501.5</v>
      </c>
      <c r="AS69" s="896">
        <v>1500.5</v>
      </c>
      <c r="AT69" s="896">
        <v>1500.8</v>
      </c>
      <c r="AU69" s="896">
        <v>1501.1</v>
      </c>
      <c r="AV69" s="896">
        <v>1501.5</v>
      </c>
      <c r="AW69" s="896">
        <v>1501.8</v>
      </c>
      <c r="AX69" s="896">
        <v>1502.2</v>
      </c>
      <c r="AY69" s="896">
        <v>1501.5</v>
      </c>
      <c r="AZ69" s="896">
        <v>1500.9</v>
      </c>
      <c r="BA69" s="896">
        <v>1500.2</v>
      </c>
      <c r="BB69" s="896">
        <v>1500.7</v>
      </c>
      <c r="BC69" s="896">
        <v>1501.7</v>
      </c>
      <c r="BD69" s="896">
        <v>1502.7</v>
      </c>
      <c r="BE69" s="896">
        <v>1504</v>
      </c>
      <c r="BF69" s="896">
        <v>1505</v>
      </c>
      <c r="BG69" s="896">
        <v>1506.6</v>
      </c>
      <c r="BH69" s="896">
        <v>1508.1</v>
      </c>
      <c r="BI69" s="896">
        <v>1509.4</v>
      </c>
      <c r="BJ69" s="896">
        <v>1510.6</v>
      </c>
      <c r="BK69" s="896">
        <v>1512</v>
      </c>
      <c r="BL69" s="896">
        <v>1513.2</v>
      </c>
      <c r="BM69" s="896">
        <v>1514.3</v>
      </c>
      <c r="BN69" s="896">
        <v>1515.2</v>
      </c>
      <c r="BO69" s="896">
        <v>1516.2</v>
      </c>
      <c r="BP69" s="896">
        <v>1517</v>
      </c>
      <c r="BQ69">
        <v>1517.9</v>
      </c>
      <c r="BR69">
        <v>1518.8</v>
      </c>
      <c r="BS69">
        <v>1519.7</v>
      </c>
      <c r="BT69">
        <v>1520.8</v>
      </c>
    </row>
    <row r="70" spans="2:72" ht="26.15" customHeight="1" x14ac:dyDescent="0.35">
      <c r="B70" s="912" t="s">
        <v>1919</v>
      </c>
      <c r="C70" s="35" t="s">
        <v>1712</v>
      </c>
      <c r="D70" s="344"/>
      <c r="E70" s="35"/>
      <c r="F70" s="35"/>
      <c r="G70" s="35"/>
      <c r="H70" s="35"/>
      <c r="I70" s="35"/>
      <c r="J70" s="35"/>
      <c r="K70" s="35"/>
      <c r="L70" s="35"/>
      <c r="M70" s="903">
        <v>2247</v>
      </c>
      <c r="N70" s="903">
        <v>2239.1999999999998</v>
      </c>
      <c r="O70" s="903">
        <v>2250.1</v>
      </c>
      <c r="P70" s="903">
        <v>2240.9</v>
      </c>
      <c r="Q70" s="903">
        <v>2235.3000000000002</v>
      </c>
      <c r="R70" s="903">
        <v>2232.9</v>
      </c>
      <c r="S70" s="902">
        <v>2248</v>
      </c>
      <c r="T70" s="902">
        <v>2266.9</v>
      </c>
      <c r="U70" s="902">
        <v>2296.6</v>
      </c>
      <c r="V70" s="902">
        <v>2327.1</v>
      </c>
      <c r="W70" s="902">
        <v>2360.8000000000002</v>
      </c>
      <c r="X70" s="902">
        <v>2395.9</v>
      </c>
      <c r="Y70" s="902">
        <v>2414</v>
      </c>
      <c r="Z70" s="901">
        <v>2427.9</v>
      </c>
      <c r="AA70" s="901">
        <v>2443.9</v>
      </c>
      <c r="AB70" s="901">
        <v>2449.9</v>
      </c>
      <c r="AC70" s="901">
        <v>2454.5</v>
      </c>
      <c r="AD70" s="901">
        <v>2457.1999999999998</v>
      </c>
      <c r="AE70" s="901">
        <v>2460.6</v>
      </c>
      <c r="AF70" s="901">
        <v>2464</v>
      </c>
      <c r="AG70" s="896">
        <v>2467.4</v>
      </c>
      <c r="AH70" s="896">
        <v>2470</v>
      </c>
      <c r="AI70" s="896">
        <v>2473.1</v>
      </c>
      <c r="AJ70" s="896">
        <v>2475.5</v>
      </c>
      <c r="AK70" s="726">
        <v>2477.5</v>
      </c>
      <c r="AL70" s="726">
        <v>2480.1</v>
      </c>
      <c r="AM70" s="726">
        <v>2482.8000000000002</v>
      </c>
      <c r="AN70" s="726">
        <v>2485.3000000000002</v>
      </c>
      <c r="AO70" s="726">
        <v>2487.4</v>
      </c>
      <c r="AP70" s="896">
        <v>2489.6</v>
      </c>
      <c r="AQ70" s="896">
        <v>2491.4</v>
      </c>
      <c r="AR70" s="896">
        <v>2493.1999999999998</v>
      </c>
      <c r="AS70" s="896">
        <v>2494.8000000000002</v>
      </c>
      <c r="AT70" s="896">
        <v>2496.1999999999998</v>
      </c>
      <c r="AU70" s="896">
        <v>2497.8000000000002</v>
      </c>
      <c r="AV70" s="896">
        <v>2499.3000000000002</v>
      </c>
      <c r="AW70" s="896">
        <v>2500.6</v>
      </c>
      <c r="AX70" s="896">
        <v>2501.9</v>
      </c>
      <c r="AY70" s="896">
        <v>2503.3000000000002</v>
      </c>
      <c r="AZ70" s="896">
        <v>2504.6999999999998</v>
      </c>
      <c r="BA70" s="896">
        <v>2506.3000000000002</v>
      </c>
      <c r="BB70" s="896">
        <v>2507.9</v>
      </c>
      <c r="BC70" s="896">
        <v>2509.6</v>
      </c>
      <c r="BD70" s="896">
        <v>2511.1999999999998</v>
      </c>
      <c r="BE70" s="896">
        <v>2512.8000000000002</v>
      </c>
      <c r="BF70" s="896">
        <v>2514.4</v>
      </c>
      <c r="BG70" s="896">
        <v>2515.9</v>
      </c>
      <c r="BH70" s="896">
        <v>2517.5</v>
      </c>
      <c r="BI70" s="896">
        <v>2519</v>
      </c>
      <c r="BJ70" s="896">
        <v>2520.5</v>
      </c>
      <c r="BK70" s="896">
        <v>2521.9</v>
      </c>
      <c r="BL70" s="896">
        <v>2523.3000000000002</v>
      </c>
      <c r="BM70" s="896">
        <v>2524.6999999999998</v>
      </c>
      <c r="BN70" s="896">
        <v>2526</v>
      </c>
      <c r="BO70" s="896">
        <v>2527</v>
      </c>
      <c r="BP70" s="896">
        <v>2527.8000000000002</v>
      </c>
      <c r="BQ70">
        <v>2528.5</v>
      </c>
      <c r="BR70">
        <v>2529.1</v>
      </c>
      <c r="BS70">
        <v>2529.6999999999998</v>
      </c>
      <c r="BT70">
        <v>2530.1999999999998</v>
      </c>
    </row>
    <row r="71" spans="2:72" x14ac:dyDescent="0.35">
      <c r="B71" s="920"/>
      <c r="C71" s="919"/>
      <c r="D71" s="945"/>
      <c r="E71" s="945"/>
      <c r="F71" s="945"/>
      <c r="G71" s="945"/>
      <c r="H71" s="945"/>
      <c r="I71" s="945"/>
      <c r="J71" s="945"/>
      <c r="K71" s="945"/>
      <c r="L71" s="945"/>
      <c r="M71" s="945"/>
      <c r="N71" s="945"/>
      <c r="O71" s="945"/>
      <c r="P71" s="945"/>
      <c r="Q71" s="945"/>
      <c r="R71" s="945"/>
      <c r="S71" s="945"/>
      <c r="T71" s="946"/>
      <c r="U71" s="946"/>
      <c r="V71" s="946"/>
      <c r="W71" s="946"/>
      <c r="X71" s="946"/>
      <c r="Y71" s="946"/>
      <c r="Z71" s="920"/>
      <c r="AA71" s="920"/>
      <c r="AB71" s="920"/>
      <c r="AC71" s="920"/>
      <c r="AD71" s="920"/>
      <c r="AE71" s="920"/>
      <c r="AF71" s="920"/>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5"/>
      <c r="E72" s="905"/>
      <c r="F72" s="905"/>
      <c r="G72" s="905"/>
      <c r="H72" s="905"/>
      <c r="I72" s="905"/>
      <c r="J72" s="905"/>
      <c r="K72" s="905"/>
      <c r="L72" s="905"/>
      <c r="M72" s="905"/>
      <c r="N72" s="905"/>
      <c r="O72" s="905"/>
      <c r="P72" s="905"/>
      <c r="Q72" s="905"/>
      <c r="R72" s="905"/>
      <c r="S72" s="917">
        <f t="shared" ref="S72:AE72" si="54">S65/S68</f>
        <v>1.1700921610724198</v>
      </c>
      <c r="T72" s="917">
        <f t="shared" si="54"/>
        <v>1.1816953797963978</v>
      </c>
      <c r="U72" s="917">
        <f t="shared" si="54"/>
        <v>1.1931632087271602</v>
      </c>
      <c r="V72" s="917">
        <f>V65/V68</f>
        <v>1.201768659356208</v>
      </c>
      <c r="W72" s="917">
        <f t="shared" si="54"/>
        <v>1.2097758632810751</v>
      </c>
      <c r="X72" s="917">
        <f t="shared" si="54"/>
        <v>1.2147338005500146</v>
      </c>
      <c r="Y72" s="917">
        <f t="shared" si="54"/>
        <v>1.2250061487428185</v>
      </c>
      <c r="Z72" s="917">
        <f t="shared" si="54"/>
        <v>1.2326880562148892</v>
      </c>
      <c r="AA72" s="917">
        <f t="shared" si="54"/>
        <v>1.2372845576913525</v>
      </c>
      <c r="AB72" s="917">
        <f t="shared" si="54"/>
        <v>1.2447937543552396</v>
      </c>
      <c r="AC72" s="917">
        <f>AC65/AC68</f>
        <v>1.2519082564303945</v>
      </c>
      <c r="AD72" s="917">
        <f t="shared" si="54"/>
        <v>1.2585786405872741</v>
      </c>
      <c r="AE72" s="917">
        <f t="shared" si="54"/>
        <v>1.2654057203904239</v>
      </c>
      <c r="AF72" s="913">
        <f>AF65/AF68</f>
        <v>1.27231230577623</v>
      </c>
      <c r="AG72" s="913">
        <f>AG65/AG68</f>
        <v>1.2790868658623309</v>
      </c>
      <c r="AH72" s="913">
        <f t="shared" ref="AH72:AI72" si="55">AH65/AH68</f>
        <v>1.2855539483713756</v>
      </c>
      <c r="AI72" s="913">
        <f t="shared" si="55"/>
        <v>1.292033226806468</v>
      </c>
      <c r="AJ72" s="913">
        <f>AJ65/AJ68</f>
        <v>1.2985763342395193</v>
      </c>
      <c r="AK72" s="913">
        <f>AK65/AK68</f>
        <v>1.3051101996236651</v>
      </c>
      <c r="AL72" s="913">
        <f>AL65/AL68</f>
        <v>1.3116458212540378</v>
      </c>
      <c r="AM72" s="913">
        <f>AM65/AM68</f>
        <v>1.3181836945304437</v>
      </c>
      <c r="AN72" s="913">
        <f>AN65/AN68</f>
        <v>1.3247463561647055</v>
      </c>
      <c r="AO72" s="914"/>
    </row>
    <row r="73" spans="2:72" x14ac:dyDescent="0.35">
      <c r="B73" s="67" t="s">
        <v>1703</v>
      </c>
      <c r="C73" s="239"/>
      <c r="D73" s="56"/>
      <c r="E73" s="56"/>
      <c r="F73" s="56"/>
      <c r="G73" s="56"/>
      <c r="H73" s="56"/>
      <c r="I73" s="56"/>
      <c r="J73" s="56"/>
      <c r="K73" s="56"/>
      <c r="L73" s="56"/>
      <c r="M73" s="56"/>
      <c r="N73" s="56"/>
      <c r="O73" s="56"/>
      <c r="P73" s="56"/>
      <c r="Q73" s="56"/>
      <c r="R73" s="56"/>
      <c r="S73" s="913">
        <f t="shared" ref="S73:AE73" si="56">S66/S69</f>
        <v>1.1617241135253733</v>
      </c>
      <c r="T73" s="913">
        <f t="shared" si="56"/>
        <v>1.1735937932945415</v>
      </c>
      <c r="U73" s="913">
        <f t="shared" si="56"/>
        <v>1.186027397260274</v>
      </c>
      <c r="V73" s="913">
        <f t="shared" si="56"/>
        <v>1.1962912087912088</v>
      </c>
      <c r="W73" s="913">
        <f t="shared" si="56"/>
        <v>1.2075535665852999</v>
      </c>
      <c r="X73" s="913">
        <f t="shared" si="56"/>
        <v>1.2190023752969121</v>
      </c>
      <c r="Y73" s="913">
        <f t="shared" si="56"/>
        <v>1.229656296698818</v>
      </c>
      <c r="Z73" s="913">
        <f t="shared" si="56"/>
        <v>1.2382040596854416</v>
      </c>
      <c r="AA73" s="913">
        <f t="shared" si="56"/>
        <v>1.245739851306007</v>
      </c>
      <c r="AB73" s="913">
        <f t="shared" si="56"/>
        <v>1.2551546391752577</v>
      </c>
      <c r="AC73" s="913">
        <f>AC66/AC69</f>
        <v>1.2609875562615833</v>
      </c>
      <c r="AD73" s="913">
        <f t="shared" si="56"/>
        <v>1.265783371977476</v>
      </c>
      <c r="AE73" s="913">
        <f t="shared" si="56"/>
        <v>1.2704189870060991</v>
      </c>
      <c r="AF73" s="913">
        <f>AF66/AF69</f>
        <v>1.275194055596099</v>
      </c>
      <c r="AG73" s="913">
        <f>AG66/AG69</f>
        <v>1.2819985402428504</v>
      </c>
      <c r="AH73" s="913">
        <f t="shared" ref="AH73:AJ73" si="57">AH66/AH69</f>
        <v>1.289241388464857</v>
      </c>
      <c r="AI73" s="913">
        <f t="shared" si="57"/>
        <v>1.2966748523262759</v>
      </c>
      <c r="AJ73" s="913">
        <f t="shared" si="57"/>
        <v>1.3043507140484889</v>
      </c>
      <c r="AK73" s="913">
        <f t="shared" ref="AK73:AM73" si="58">AK66/AK69</f>
        <v>1.3115985377201729</v>
      </c>
      <c r="AL73" s="913">
        <f t="shared" si="58"/>
        <v>1.3188010899182561</v>
      </c>
      <c r="AM73" s="913">
        <f t="shared" si="58"/>
        <v>1.3262458471760796</v>
      </c>
      <c r="AN73" s="913">
        <f>AN66/AN69</f>
        <v>1.3338873745096735</v>
      </c>
      <c r="AO73" s="915"/>
    </row>
    <row r="74" spans="2:72" x14ac:dyDescent="0.35">
      <c r="B74" s="344" t="s">
        <v>1704</v>
      </c>
      <c r="C74" s="240"/>
      <c r="D74" s="35"/>
      <c r="E74" s="35"/>
      <c r="F74" s="35"/>
      <c r="G74" s="35"/>
      <c r="H74" s="35"/>
      <c r="I74" s="35"/>
      <c r="J74" s="35"/>
      <c r="K74" s="35"/>
      <c r="L74" s="35"/>
      <c r="M74" s="35"/>
      <c r="N74" s="35"/>
      <c r="O74" s="35"/>
      <c r="P74" s="35"/>
      <c r="Q74" s="35"/>
      <c r="R74" s="35"/>
      <c r="S74" s="916">
        <f t="shared" ref="S74:AF74" si="59">S67/S70</f>
        <v>1.2627669039145906</v>
      </c>
      <c r="T74" s="916">
        <f t="shared" si="59"/>
        <v>1.2663108209449025</v>
      </c>
      <c r="U74" s="916">
        <f t="shared" si="59"/>
        <v>1.2596882347818514</v>
      </c>
      <c r="V74" s="916">
        <f t="shared" si="59"/>
        <v>1.247948089897297</v>
      </c>
      <c r="W74" s="916">
        <f t="shared" si="59"/>
        <v>1.2603778380210098</v>
      </c>
      <c r="X74" s="916">
        <f t="shared" si="59"/>
        <v>1.2600692850285904</v>
      </c>
      <c r="Y74" s="916">
        <f t="shared" si="59"/>
        <v>1.2720381110190555</v>
      </c>
      <c r="Z74" s="916">
        <f t="shared" si="59"/>
        <v>1.2771942831253347</v>
      </c>
      <c r="AA74" s="916">
        <f t="shared" si="59"/>
        <v>1.284504275952371</v>
      </c>
      <c r="AB74" s="916">
        <f t="shared" si="59"/>
        <v>1.2944609984080984</v>
      </c>
      <c r="AC74" s="916">
        <f>AC67/AC70</f>
        <v>1.3042982277449582</v>
      </c>
      <c r="AD74" s="916">
        <f t="shared" si="59"/>
        <v>1.3135275923815726</v>
      </c>
      <c r="AE74" s="916">
        <f t="shared" si="59"/>
        <v>1.3237015362106803</v>
      </c>
      <c r="AF74" s="916">
        <f t="shared" si="59"/>
        <v>1.334293831168831</v>
      </c>
      <c r="AG74" s="916">
        <f t="shared" ref="AG74:AJ74" si="60">AG67/AG70</f>
        <v>1.3452216908486665</v>
      </c>
      <c r="AH74" s="916">
        <f t="shared" si="60"/>
        <v>1.355668016194332</v>
      </c>
      <c r="AI74" s="916">
        <f t="shared" si="60"/>
        <v>1.3660587926084673</v>
      </c>
      <c r="AJ74" s="916">
        <f t="shared" si="60"/>
        <v>1.3765299939406179</v>
      </c>
      <c r="AK74" s="916">
        <f t="shared" ref="AK74:AN74" si="61">AK67/AK70</f>
        <v>1.3869223007063571</v>
      </c>
      <c r="AL74" s="916">
        <f t="shared" si="61"/>
        <v>1.3973226886012662</v>
      </c>
      <c r="AM74" s="916">
        <f t="shared" si="61"/>
        <v>1.4076848719188013</v>
      </c>
      <c r="AN74" s="916">
        <f t="shared" si="61"/>
        <v>1.4180581821108116</v>
      </c>
      <c r="AO74" s="915"/>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7"/>
      <c r="E78" s="947"/>
      <c r="F78" s="947"/>
      <c r="G78" s="94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50"/>
      <c r="E83" s="950"/>
      <c r="F83" s="950"/>
      <c r="G83" s="950"/>
      <c r="H83" s="950"/>
      <c r="I83" s="950"/>
      <c r="J83" s="950"/>
      <c r="K83" s="950"/>
      <c r="L83" s="950"/>
      <c r="M83" s="950"/>
    </row>
    <row r="84" spans="3:13" x14ac:dyDescent="0.35">
      <c r="C84" s="947"/>
      <c r="D84" s="950"/>
      <c r="E84" s="950"/>
      <c r="F84" s="950"/>
      <c r="G84" s="950"/>
      <c r="H84" s="950"/>
      <c r="I84" s="950"/>
      <c r="J84" s="950"/>
      <c r="K84" s="950"/>
      <c r="L84" s="950"/>
      <c r="M84" s="950"/>
    </row>
    <row r="85" spans="3:13" x14ac:dyDescent="0.35">
      <c r="C85" s="947"/>
      <c r="D85" s="950"/>
      <c r="E85" s="950"/>
      <c r="F85" s="950"/>
      <c r="G85" s="950"/>
      <c r="H85" s="950"/>
      <c r="I85" s="950"/>
      <c r="J85" s="950"/>
      <c r="K85" s="950"/>
      <c r="L85" s="950"/>
      <c r="M85" s="950"/>
    </row>
    <row r="86" spans="3:13" x14ac:dyDescent="0.35">
      <c r="C86" s="947"/>
      <c r="D86" s="950"/>
      <c r="E86" s="950"/>
      <c r="F86" s="950"/>
      <c r="G86" s="950"/>
      <c r="H86" s="950"/>
      <c r="I86" s="950"/>
      <c r="J86" s="950"/>
      <c r="K86" s="950"/>
      <c r="L86" s="950"/>
      <c r="M86" s="950"/>
    </row>
    <row r="87" spans="3:13" x14ac:dyDescent="0.35">
      <c r="C87" s="947"/>
      <c r="D87" s="950"/>
      <c r="E87" s="950"/>
      <c r="F87" s="950"/>
      <c r="G87" s="950"/>
      <c r="H87" s="950"/>
      <c r="I87" s="950"/>
      <c r="J87" s="950"/>
      <c r="K87" s="950"/>
      <c r="L87" s="950"/>
      <c r="M87" s="950"/>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12" t="s">
        <v>463</v>
      </c>
      <c r="C1" s="1412"/>
      <c r="D1" s="1412"/>
      <c r="E1" s="1412"/>
      <c r="F1" s="1412"/>
      <c r="G1" s="1412"/>
      <c r="H1" s="1412"/>
      <c r="I1" s="1412"/>
      <c r="J1" s="1412"/>
      <c r="K1" s="1412"/>
      <c r="L1" s="1412"/>
      <c r="M1" s="1412"/>
      <c r="N1" s="1412"/>
      <c r="O1" s="1412"/>
      <c r="P1" s="1412"/>
      <c r="Q1" s="1412"/>
      <c r="R1" s="1412"/>
      <c r="S1" s="1412"/>
      <c r="T1" s="1412"/>
      <c r="U1" s="1412"/>
      <c r="V1" s="1412"/>
      <c r="W1" s="1412"/>
      <c r="X1" s="1412"/>
      <c r="Y1" s="1412"/>
      <c r="Z1" s="1412"/>
      <c r="AA1" s="1412"/>
      <c r="AB1" s="1412"/>
      <c r="AC1" s="1412"/>
    </row>
    <row r="2" spans="1:29" ht="34.5" hidden="1" customHeight="1" outlineLevel="1" x14ac:dyDescent="0.35">
      <c r="B2" s="1315" t="s">
        <v>858</v>
      </c>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c r="AA2" s="1349"/>
      <c r="AB2" s="1349"/>
      <c r="AC2" s="1349"/>
    </row>
    <row r="3" spans="1:29" ht="3" hidden="1" customHeight="1" outlineLevel="1" x14ac:dyDescent="0.35">
      <c r="B3" s="1349"/>
      <c r="C3" s="1349"/>
      <c r="D3" s="1349"/>
      <c r="E3" s="1349"/>
      <c r="F3" s="1349"/>
      <c r="G3" s="1349"/>
      <c r="H3" s="1349"/>
      <c r="I3" s="1349"/>
      <c r="J3" s="1349"/>
      <c r="K3" s="1349"/>
      <c r="L3" s="1349"/>
      <c r="M3" s="1349"/>
      <c r="N3" s="1349"/>
      <c r="O3" s="1349"/>
      <c r="P3" s="1349"/>
      <c r="Q3" s="1349"/>
      <c r="R3" s="1349"/>
      <c r="S3" s="1349"/>
      <c r="T3" s="1349"/>
      <c r="U3" s="1349"/>
      <c r="V3" s="1349"/>
      <c r="W3" s="1349"/>
      <c r="X3" s="1349"/>
      <c r="Y3" s="1349"/>
      <c r="Z3" s="1349"/>
      <c r="AA3" s="1349"/>
      <c r="AB3" s="1349"/>
      <c r="AC3" s="1349"/>
    </row>
    <row r="4" spans="1:29" ht="10.4" hidden="1" customHeight="1" outlineLevel="1" x14ac:dyDescent="0.35">
      <c r="B4" s="1349"/>
      <c r="C4" s="1349"/>
      <c r="D4" s="1349"/>
      <c r="E4" s="1349"/>
      <c r="F4" s="1349"/>
      <c r="G4" s="1349"/>
      <c r="H4" s="1349"/>
      <c r="I4" s="1349"/>
      <c r="J4" s="1349"/>
      <c r="K4" s="1349"/>
      <c r="L4" s="1349"/>
      <c r="M4" s="1349"/>
      <c r="N4" s="1349"/>
      <c r="O4" s="1349"/>
      <c r="P4" s="1349"/>
      <c r="Q4" s="1349"/>
      <c r="R4" s="1349"/>
      <c r="S4" s="1349"/>
      <c r="T4" s="1349"/>
      <c r="U4" s="1349"/>
      <c r="V4" s="1349"/>
      <c r="W4" s="1349"/>
      <c r="X4" s="1349"/>
      <c r="Y4" s="1349"/>
      <c r="Z4" s="1349"/>
      <c r="AA4" s="1349"/>
      <c r="AB4" s="1349"/>
      <c r="AC4" s="1349"/>
    </row>
    <row r="5" spans="1:29" ht="14.25" hidden="1" customHeight="1" outlineLevel="1" x14ac:dyDescent="0.35">
      <c r="B5" s="1349"/>
      <c r="C5" s="1349"/>
      <c r="D5" s="1349"/>
      <c r="E5" s="1349"/>
      <c r="F5" s="1349"/>
      <c r="G5" s="1349"/>
      <c r="H5" s="1349"/>
      <c r="I5" s="1349"/>
      <c r="J5" s="1349"/>
      <c r="K5" s="1349"/>
      <c r="L5" s="1349"/>
      <c r="M5" s="1349"/>
      <c r="N5" s="1349"/>
      <c r="O5" s="1349"/>
      <c r="P5" s="1349"/>
      <c r="Q5" s="1349"/>
      <c r="R5" s="1349"/>
      <c r="S5" s="1349"/>
      <c r="T5" s="1349"/>
      <c r="U5" s="1349"/>
      <c r="V5" s="1349"/>
      <c r="W5" s="1349"/>
      <c r="X5" s="1349"/>
      <c r="Y5" s="1349"/>
      <c r="Z5" s="1349"/>
      <c r="AA5" s="1349"/>
      <c r="AB5" s="1349"/>
      <c r="AC5" s="1349"/>
    </row>
    <row r="6" spans="1:29" ht="14.25" hidden="1" customHeight="1" outlineLevel="1" x14ac:dyDescent="0.35">
      <c r="B6" s="1349"/>
      <c r="C6" s="1349"/>
      <c r="D6" s="1349"/>
      <c r="E6" s="1349"/>
      <c r="F6" s="1349"/>
      <c r="G6" s="1349"/>
      <c r="H6" s="1349"/>
      <c r="I6" s="1349"/>
      <c r="J6" s="1349"/>
      <c r="K6" s="1349"/>
      <c r="L6" s="1349"/>
      <c r="M6" s="1349"/>
      <c r="N6" s="1349"/>
      <c r="O6" s="1349"/>
      <c r="P6" s="1349"/>
      <c r="Q6" s="1349"/>
      <c r="R6" s="1349"/>
      <c r="S6" s="1349"/>
      <c r="T6" s="1349"/>
      <c r="U6" s="1349"/>
      <c r="V6" s="1349"/>
      <c r="W6" s="1349"/>
      <c r="X6" s="1349"/>
      <c r="Y6" s="1349"/>
      <c r="Z6" s="1349"/>
      <c r="AA6" s="1349"/>
      <c r="AB6" s="1349"/>
      <c r="AC6" s="1349"/>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70" t="s">
        <v>279</v>
      </c>
      <c r="E8" s="971"/>
      <c r="F8" s="971"/>
      <c r="G8" s="971"/>
      <c r="H8" s="971"/>
      <c r="I8" s="971"/>
      <c r="J8" s="971"/>
      <c r="K8" s="971"/>
      <c r="L8" s="971"/>
      <c r="M8" s="971"/>
      <c r="N8" s="971"/>
      <c r="O8" s="971"/>
      <c r="P8" s="1373"/>
      <c r="Q8" s="1373"/>
      <c r="R8" s="1373"/>
      <c r="S8" s="1373"/>
      <c r="T8" s="1373"/>
      <c r="U8" s="1373"/>
      <c r="V8" s="1324"/>
      <c r="W8" s="1347" t="s">
        <v>280</v>
      </c>
      <c r="X8" s="1327"/>
      <c r="Y8" s="1327"/>
      <c r="Z8" s="1327"/>
      <c r="AA8" s="1327"/>
      <c r="AB8" s="1327"/>
      <c r="AC8" s="1328"/>
    </row>
    <row r="9" spans="1:29"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46"/>
      <c r="S9" s="1346"/>
      <c r="T9" s="1340"/>
      <c r="U9" s="302"/>
      <c r="V9" s="302">
        <v>2023</v>
      </c>
      <c r="W9" s="638"/>
      <c r="X9" s="335"/>
      <c r="Y9" s="1325">
        <v>2024</v>
      </c>
      <c r="Z9" s="1331"/>
      <c r="AA9" s="1331"/>
      <c r="AB9" s="1330"/>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05" t="s">
        <v>464</v>
      </c>
      <c r="C11" s="1406"/>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80"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2">
        <f t="shared" si="0"/>
        <v>3473.0437550960005</v>
      </c>
    </row>
    <row r="13" spans="1:29" ht="15.65" customHeight="1" x14ac:dyDescent="0.35">
      <c r="A13" t="s">
        <v>1845</v>
      </c>
      <c r="B13" s="979"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2">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6">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2">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2"/>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2"/>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6">
        <f>Medicare!V10</f>
        <v>1001.8</v>
      </c>
      <c r="W17" s="673">
        <f>Medicare!W10</f>
        <v>1019.9</v>
      </c>
      <c r="X17" s="673">
        <f>Medicare!X10</f>
        <v>1035.3</v>
      </c>
      <c r="Y17" s="673">
        <f>Medicare!Y10</f>
        <v>1049.2</v>
      </c>
      <c r="Z17" s="673">
        <f>Medicare!Z10</f>
        <v>1067.0999999999999</v>
      </c>
      <c r="AA17" s="673">
        <f>Medicare!AA10</f>
        <v>1090.2</v>
      </c>
      <c r="AB17" s="673">
        <f>Medicare!AB10</f>
        <v>1118.5</v>
      </c>
      <c r="AC17" s="972">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6">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2">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2"/>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2"/>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6">
        <v>0</v>
      </c>
      <c r="W21" s="673">
        <v>0</v>
      </c>
      <c r="X21" s="673">
        <v>0</v>
      </c>
      <c r="Y21" s="673">
        <v>0</v>
      </c>
      <c r="Z21" s="673">
        <v>0</v>
      </c>
      <c r="AA21" s="673">
        <v>0</v>
      </c>
      <c r="AB21" s="673">
        <v>0</v>
      </c>
      <c r="AC21" s="972">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80"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2"/>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2"/>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2"/>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7">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9">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2">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2">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8"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2">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2">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5">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2">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7">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2">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1">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7">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05" t="s">
        <v>471</v>
      </c>
      <c r="C43" s="1406"/>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9"/>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2">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7">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9">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9"/>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8"/>
    </row>
    <row r="51" spans="2:39" x14ac:dyDescent="0.35">
      <c r="B51" s="1355"/>
      <c r="C51" s="1355"/>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5"/>
      <c r="C68" s="1355"/>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4"/>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37"/>
      <c r="V75" s="1437"/>
      <c r="W75" s="1437"/>
      <c r="X75" s="1437"/>
    </row>
    <row r="76" spans="2:39" x14ac:dyDescent="0.35">
      <c r="U76" s="1437"/>
      <c r="V76" s="1437"/>
      <c r="W76" s="1437"/>
      <c r="X76" s="1437"/>
    </row>
    <row r="77" spans="2:39" x14ac:dyDescent="0.35">
      <c r="U77" s="1437"/>
      <c r="V77" s="1437"/>
      <c r="W77" s="1437"/>
      <c r="X77" s="1437"/>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07" t="s">
        <v>475</v>
      </c>
      <c r="C81" s="1407"/>
      <c r="D81" s="1407"/>
      <c r="E81" s="1407"/>
      <c r="F81" s="1407"/>
      <c r="G81" s="1407"/>
      <c r="H81" s="1407"/>
      <c r="I81" s="1407"/>
      <c r="J81" s="1407"/>
      <c r="K81" s="1407"/>
      <c r="L81" s="1407"/>
      <c r="M81" s="1407"/>
      <c r="N81" s="1407"/>
      <c r="O81" s="1407"/>
      <c r="P81" s="1407"/>
      <c r="Q81" s="1407"/>
      <c r="R81" s="1407"/>
      <c r="S81" s="1407"/>
      <c r="T81" s="1407"/>
      <c r="U81" s="1407"/>
      <c r="V81" s="1407"/>
      <c r="W81" s="1407"/>
      <c r="X81" s="1407"/>
      <c r="Y81" s="1407"/>
      <c r="Z81" s="1407"/>
      <c r="AA81" s="1407"/>
      <c r="AB81" s="1407"/>
      <c r="AC81" s="1407"/>
    </row>
    <row r="82" spans="2:33" ht="14.9" customHeight="1" x14ac:dyDescent="0.35">
      <c r="B82" s="1321" t="s">
        <v>476</v>
      </c>
      <c r="C82" s="1322"/>
      <c r="D82" s="1343" t="s">
        <v>279</v>
      </c>
      <c r="E82" s="1344"/>
      <c r="F82" s="1344"/>
      <c r="G82" s="1344"/>
      <c r="H82" s="1344"/>
      <c r="I82" s="1344"/>
      <c r="J82" s="1344"/>
      <c r="K82" s="1344"/>
      <c r="L82" s="1344"/>
      <c r="M82" s="1344"/>
      <c r="N82" s="1344"/>
      <c r="O82" s="1344"/>
      <c r="P82" s="1344"/>
      <c r="Q82" s="1344"/>
      <c r="R82" s="1344"/>
      <c r="S82" s="1344"/>
      <c r="T82" s="1344"/>
      <c r="U82" s="1344"/>
      <c r="V82" s="1345"/>
      <c r="W82" s="1401" t="s">
        <v>280</v>
      </c>
      <c r="X82" s="1402"/>
      <c r="Y82" s="1402"/>
      <c r="Z82" s="1402"/>
      <c r="AA82" s="1402"/>
      <c r="AB82" s="1402"/>
      <c r="AC82" s="1402"/>
      <c r="AD82" s="1402"/>
      <c r="AE82" s="1402"/>
      <c r="AF82" s="1402"/>
      <c r="AG82" s="1402"/>
    </row>
    <row r="83" spans="2:33" x14ac:dyDescent="0.35">
      <c r="B83" s="1321"/>
      <c r="C83" s="1322"/>
      <c r="D83" s="296">
        <v>2018</v>
      </c>
      <c r="E83" s="1338">
        <v>2019</v>
      </c>
      <c r="F83" s="1339"/>
      <c r="G83" s="1339"/>
      <c r="H83" s="1340"/>
      <c r="I83" s="1338">
        <v>2020</v>
      </c>
      <c r="J83" s="1339"/>
      <c r="K83" s="1339"/>
      <c r="L83" s="1339"/>
      <c r="M83" s="1338">
        <v>2021</v>
      </c>
      <c r="N83" s="1339"/>
      <c r="O83" s="1339"/>
      <c r="P83" s="1339"/>
      <c r="Q83" s="1338">
        <v>2022</v>
      </c>
      <c r="R83" s="1346"/>
      <c r="S83" s="1346"/>
      <c r="T83" s="1340"/>
      <c r="U83" s="302"/>
      <c r="V83" s="442">
        <v>2023</v>
      </c>
      <c r="W83" s="638"/>
      <c r="X83" s="335"/>
      <c r="Y83" s="1325">
        <v>2024</v>
      </c>
      <c r="Z83" s="1331"/>
      <c r="AA83" s="1331"/>
      <c r="AB83" s="1330"/>
      <c r="AC83" s="1325">
        <v>2025</v>
      </c>
      <c r="AD83" s="1331"/>
      <c r="AE83" s="1331"/>
      <c r="AF83" s="1330"/>
      <c r="AG83" s="973">
        <v>2026</v>
      </c>
    </row>
    <row r="84" spans="2:33" x14ac:dyDescent="0.35">
      <c r="B84" s="1323"/>
      <c r="C84" s="1324"/>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3">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08" t="s">
        <v>802</v>
      </c>
      <c r="C93" s="1409"/>
      <c r="D93" s="1323" t="s">
        <v>279</v>
      </c>
      <c r="E93" s="1373"/>
      <c r="F93" s="1373"/>
      <c r="G93" s="1373"/>
      <c r="H93" s="1373"/>
      <c r="I93" s="1373"/>
      <c r="J93" s="1373"/>
      <c r="K93" s="1373"/>
      <c r="L93" s="1373"/>
      <c r="M93" s="1373"/>
      <c r="N93" s="1373"/>
      <c r="O93" s="1373"/>
      <c r="P93" s="1373"/>
      <c r="Q93" s="1373"/>
      <c r="R93" s="1373"/>
      <c r="S93" s="1373"/>
      <c r="T93" s="1373"/>
      <c r="U93" s="1373"/>
      <c r="V93" s="1324"/>
      <c r="W93" s="1401" t="s">
        <v>280</v>
      </c>
      <c r="X93" s="1402"/>
      <c r="Y93" s="1402"/>
      <c r="Z93" s="1402"/>
      <c r="AA93" s="1402"/>
      <c r="AB93" s="1402"/>
      <c r="AC93" s="1402"/>
      <c r="AD93" s="1402"/>
      <c r="AE93" s="1402"/>
      <c r="AF93" s="1402"/>
      <c r="AG93" s="1402"/>
    </row>
    <row r="94" spans="2:33" x14ac:dyDescent="0.35">
      <c r="B94" s="1410"/>
      <c r="C94" s="1411"/>
      <c r="D94" s="296">
        <v>2018</v>
      </c>
      <c r="E94" s="1338">
        <v>2019</v>
      </c>
      <c r="F94" s="1339"/>
      <c r="G94" s="1339"/>
      <c r="H94" s="1340"/>
      <c r="I94" s="1338">
        <v>2020</v>
      </c>
      <c r="J94" s="1339"/>
      <c r="K94" s="1339"/>
      <c r="L94" s="1339"/>
      <c r="M94" s="1338">
        <v>2021</v>
      </c>
      <c r="N94" s="1339"/>
      <c r="O94" s="1339"/>
      <c r="P94" s="1339"/>
      <c r="Q94" s="1338">
        <v>2022</v>
      </c>
      <c r="R94" s="1346"/>
      <c r="S94" s="1346"/>
      <c r="T94" s="1340"/>
      <c r="U94" s="302"/>
      <c r="V94" s="442">
        <v>2023</v>
      </c>
      <c r="W94" s="638"/>
      <c r="X94" s="335"/>
      <c r="Y94" s="1325">
        <v>2024</v>
      </c>
      <c r="Z94" s="1331"/>
      <c r="AA94" s="1331"/>
      <c r="AB94" s="1330"/>
      <c r="AC94" s="1325">
        <v>2025</v>
      </c>
      <c r="AD94" s="1331"/>
      <c r="AE94" s="1331"/>
      <c r="AF94" s="1330"/>
      <c r="AG94" s="973">
        <v>2026</v>
      </c>
    </row>
    <row r="95" spans="2:33" x14ac:dyDescent="0.35">
      <c r="B95" s="1410"/>
      <c r="C95" s="1411"/>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5"/>
      <c r="X96" s="965"/>
      <c r="Y96" s="965"/>
      <c r="Z96" s="965"/>
      <c r="AA96" s="965"/>
      <c r="AB96" s="965"/>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6">
        <v>2023</v>
      </c>
      <c r="E125" s="966">
        <v>2024</v>
      </c>
      <c r="F125" s="967">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8">
        <v>2021</v>
      </c>
      <c r="E129" s="958">
        <v>2022</v>
      </c>
      <c r="F129" s="958">
        <v>2023</v>
      </c>
      <c r="G129" s="959">
        <v>2024</v>
      </c>
      <c r="R129" s="532"/>
    </row>
    <row r="130" spans="2:18" x14ac:dyDescent="0.35">
      <c r="B130" s="634" t="s">
        <v>807</v>
      </c>
      <c r="C130" s="964"/>
      <c r="D130" s="954">
        <v>3605.8330000000001</v>
      </c>
      <c r="E130" s="954">
        <v>2900</v>
      </c>
      <c r="F130" s="954">
        <f>E130*1.02</f>
        <v>2958</v>
      </c>
      <c r="G130" s="955">
        <f>F130*1.06</f>
        <v>3135.48</v>
      </c>
    </row>
    <row r="131" spans="2:18" x14ac:dyDescent="0.35">
      <c r="B131" s="634" t="s">
        <v>810</v>
      </c>
      <c r="C131" s="956"/>
      <c r="D131" s="744">
        <f>AVERAGE(Medicare!L10:O10)</f>
        <v>862.99999999999989</v>
      </c>
      <c r="E131" s="744">
        <f>AVERAGE(Medicare!P10:S10)</f>
        <v>921</v>
      </c>
      <c r="F131" s="744">
        <f>AVERAGE(Medicare!T10:W10)</f>
        <v>990.32499999999993</v>
      </c>
      <c r="G131" s="962">
        <f>AVERAGE(Medicare!X10:AA10)</f>
        <v>1060.45</v>
      </c>
    </row>
    <row r="132" spans="2:18" ht="13.4" customHeight="1" x14ac:dyDescent="0.35">
      <c r="B132" s="634" t="s">
        <v>808</v>
      </c>
      <c r="C132" s="956"/>
      <c r="D132" s="744">
        <f>D130-D131</f>
        <v>2742.8330000000001</v>
      </c>
      <c r="E132" s="744">
        <f t="shared" ref="E132:G132" si="40">E130-E131</f>
        <v>1979</v>
      </c>
      <c r="F132" s="744">
        <f t="shared" si="40"/>
        <v>1967.6750000000002</v>
      </c>
      <c r="G132" s="962">
        <f t="shared" si="40"/>
        <v>2075.0299999999997</v>
      </c>
    </row>
    <row r="133" spans="2:18" x14ac:dyDescent="0.35">
      <c r="B133" s="634" t="s">
        <v>811</v>
      </c>
      <c r="C133" s="956"/>
      <c r="D133" s="744">
        <f>AVERAGE(L12:O12)</f>
        <v>3637.2999999999997</v>
      </c>
      <c r="E133" s="744">
        <f>AVERAGE(P12:S12)</f>
        <v>2967.5250000000001</v>
      </c>
      <c r="F133" s="744">
        <f>AVERAGE(T12:W12)</f>
        <v>3086.4962499999997</v>
      </c>
      <c r="G133" s="962">
        <f>AVERAGE(X12:AA12)</f>
        <v>3320.0816585250004</v>
      </c>
    </row>
    <row r="134" spans="2:18" x14ac:dyDescent="0.35">
      <c r="B134" s="634" t="s">
        <v>810</v>
      </c>
      <c r="C134" s="956"/>
      <c r="D134" s="744">
        <f>AVERAGE(Medicare!L10:O10)</f>
        <v>862.99999999999989</v>
      </c>
      <c r="E134" s="744">
        <f>AVERAGE(Medicare!P10:S10)</f>
        <v>921</v>
      </c>
      <c r="F134" s="744">
        <f>AVERAGE(Medicare!T10:W10)</f>
        <v>990.32499999999993</v>
      </c>
      <c r="G134" s="962">
        <f>AVERAGE(Medicare!X10:AA10)</f>
        <v>1060.45</v>
      </c>
    </row>
    <row r="135" spans="2:18" x14ac:dyDescent="0.35">
      <c r="B135" s="634" t="s">
        <v>530</v>
      </c>
      <c r="C135" s="956"/>
      <c r="D135" s="744">
        <f>AVERAGE(L39:O39)</f>
        <v>1585.7822500000004</v>
      </c>
      <c r="E135" s="744">
        <f>AVERAGE(P39:S39)</f>
        <v>1670.9233400000005</v>
      </c>
      <c r="F135" s="744">
        <f>AVERAGE(T39:W39)</f>
        <v>1795.6717597500008</v>
      </c>
      <c r="G135" s="962">
        <f>AVERAGE(X39:AA39)</f>
        <v>1881.1116315250006</v>
      </c>
    </row>
    <row r="136" spans="2:18" ht="27.65" customHeight="1" x14ac:dyDescent="0.35">
      <c r="B136" s="957" t="s">
        <v>809</v>
      </c>
      <c r="C136" s="570"/>
      <c r="D136" s="626"/>
      <c r="E136" s="960">
        <v>1.157</v>
      </c>
      <c r="F136" s="960">
        <v>1.0109999999999999</v>
      </c>
      <c r="G136" s="963">
        <v>1.0529999999999999</v>
      </c>
    </row>
    <row r="137" spans="2:18" x14ac:dyDescent="0.35">
      <c r="B137" s="249" t="s">
        <v>812</v>
      </c>
      <c r="D137" s="961">
        <f>D133-D130</f>
        <v>31.466999999999643</v>
      </c>
      <c r="E137" s="961">
        <f>E133-E130</f>
        <v>67.525000000000091</v>
      </c>
      <c r="F137" s="961">
        <f>F133-F130</f>
        <v>128.49624999999969</v>
      </c>
      <c r="G137" s="961">
        <f t="shared" ref="G137" si="41">G133-G130</f>
        <v>184.6016585250004</v>
      </c>
    </row>
    <row r="139" spans="2:18" x14ac:dyDescent="0.35">
      <c r="B139" t="s">
        <v>807</v>
      </c>
      <c r="D139">
        <v>3605.8330000000001</v>
      </c>
      <c r="E139">
        <v>2832.5949999999998</v>
      </c>
      <c r="F139">
        <v>2833.72</v>
      </c>
      <c r="G139">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3" t="s">
        <v>123</v>
      </c>
      <c r="N22" s="516"/>
      <c r="O22" s="516"/>
      <c r="P22" s="516"/>
      <c r="Q22" s="516"/>
      <c r="R22" s="516"/>
      <c r="S22" s="516"/>
      <c r="T22" s="516"/>
      <c r="U22" s="516"/>
      <c r="V22" s="516"/>
      <c r="W22" s="746"/>
    </row>
    <row r="23" spans="13:27" x14ac:dyDescent="0.35">
      <c r="M23" s="982" t="s">
        <v>1872</v>
      </c>
      <c r="W23" s="239"/>
    </row>
    <row r="24" spans="13:27" x14ac:dyDescent="0.35">
      <c r="M24" s="982" t="s">
        <v>1871</v>
      </c>
      <c r="N24" s="102"/>
      <c r="O24" s="102"/>
      <c r="P24" s="102"/>
      <c r="Q24" s="102"/>
      <c r="R24" s="102"/>
      <c r="S24" s="102"/>
      <c r="T24" s="102"/>
      <c r="U24" s="102"/>
      <c r="V24" s="102"/>
      <c r="W24" s="983"/>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4" t="s">
        <v>1865</v>
      </c>
      <c r="N30" s="35"/>
      <c r="O30" s="35"/>
      <c r="P30" s="35"/>
      <c r="Q30" s="35"/>
      <c r="R30" s="35"/>
      <c r="S30" s="35"/>
      <c r="T30" s="35"/>
      <c r="U30" s="35"/>
      <c r="V30" s="35"/>
      <c r="W30" s="240"/>
      <c r="X30" t="s">
        <v>1866</v>
      </c>
    </row>
    <row r="31" spans="13:27" x14ac:dyDescent="0.35">
      <c r="M31" s="985" t="s">
        <v>1861</v>
      </c>
      <c r="N31" s="516"/>
      <c r="O31" s="516"/>
      <c r="P31" s="516"/>
      <c r="Q31" s="516"/>
      <c r="R31" s="516"/>
      <c r="S31" s="516"/>
      <c r="T31" s="516"/>
      <c r="U31" s="516"/>
      <c r="V31" s="516"/>
      <c r="W31" s="746"/>
    </row>
    <row r="32" spans="13:27" x14ac:dyDescent="0.35">
      <c r="M32" s="984" t="s">
        <v>218</v>
      </c>
      <c r="N32" s="35"/>
      <c r="O32" s="35"/>
      <c r="P32" s="35"/>
      <c r="Q32" s="35"/>
      <c r="R32" s="35"/>
      <c r="S32" s="35"/>
      <c r="T32" s="35"/>
      <c r="U32" s="35"/>
      <c r="V32" s="35"/>
      <c r="W32" s="240"/>
      <c r="X32" t="s">
        <v>1867</v>
      </c>
    </row>
    <row r="33" spans="13:24" x14ac:dyDescent="0.35">
      <c r="M33" s="985"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4"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4" t="s">
        <v>315</v>
      </c>
      <c r="I1" s="1314"/>
      <c r="J1" s="1314"/>
      <c r="K1" s="1314"/>
      <c r="L1" s="1314"/>
      <c r="M1" s="1314"/>
      <c r="N1" s="1314"/>
      <c r="O1" s="1314"/>
      <c r="P1" s="1314"/>
      <c r="Q1" s="1314"/>
      <c r="R1" s="1314"/>
      <c r="S1" s="1314"/>
    </row>
    <row r="2" spans="8:22" x14ac:dyDescent="0.35">
      <c r="H2" s="1349" t="s">
        <v>316</v>
      </c>
      <c r="I2" s="1349"/>
      <c r="J2" s="1349"/>
      <c r="K2" s="1349"/>
      <c r="L2" s="1349"/>
      <c r="M2" s="1349"/>
      <c r="N2" s="1349"/>
      <c r="O2" s="1349"/>
      <c r="P2" s="1349"/>
      <c r="Q2" s="1349"/>
      <c r="R2" s="1349"/>
      <c r="S2" s="1349"/>
    </row>
    <row r="3" spans="8:22" x14ac:dyDescent="0.35">
      <c r="H3" s="1349"/>
      <c r="I3" s="1349"/>
      <c r="J3" s="1349"/>
      <c r="K3" s="1349"/>
      <c r="L3" s="1349"/>
      <c r="M3" s="1349"/>
      <c r="N3" s="1349"/>
      <c r="O3" s="1349"/>
      <c r="P3" s="1349"/>
      <c r="Q3" s="1349"/>
      <c r="R3" s="1349"/>
      <c r="S3" s="1349"/>
    </row>
    <row r="4" spans="8:22" x14ac:dyDescent="0.35">
      <c r="H4" s="1349"/>
      <c r="I4" s="1349"/>
      <c r="J4" s="1349"/>
      <c r="K4" s="1349"/>
      <c r="L4" s="1349"/>
      <c r="M4" s="1349"/>
      <c r="N4" s="1349"/>
      <c r="O4" s="1349"/>
      <c r="P4" s="1349"/>
      <c r="Q4" s="1349"/>
      <c r="R4" s="1349"/>
      <c r="S4" s="1349"/>
    </row>
    <row r="5" spans="8:22" ht="54.75" customHeight="1" x14ac:dyDescent="0.35">
      <c r="H5" s="1349"/>
      <c r="I5" s="1349"/>
      <c r="J5" s="1349"/>
      <c r="K5" s="1349"/>
      <c r="L5" s="1349"/>
      <c r="M5" s="1349"/>
      <c r="N5" s="1349"/>
      <c r="O5" s="1349"/>
      <c r="P5" s="1349"/>
      <c r="Q5" s="1349"/>
      <c r="R5" s="1349"/>
      <c r="S5" s="1349"/>
    </row>
    <row r="6" spans="8:22" x14ac:dyDescent="0.35">
      <c r="H6" s="234"/>
      <c r="I6" s="234"/>
      <c r="J6" s="234"/>
      <c r="K6" s="234"/>
      <c r="L6" s="234"/>
      <c r="M6" s="234"/>
      <c r="N6" s="234"/>
      <c r="O6" s="234"/>
      <c r="P6" s="234"/>
      <c r="Q6" s="234"/>
      <c r="R6" s="234"/>
      <c r="S6" s="234"/>
    </row>
    <row r="7" spans="8:22" x14ac:dyDescent="0.35">
      <c r="H7" s="999" t="s">
        <v>317</v>
      </c>
    </row>
    <row r="8" spans="8:22" ht="16.399999999999999" customHeight="1" x14ac:dyDescent="0.35"/>
    <row r="9" spans="8:22" ht="15.75" customHeight="1" x14ac:dyDescent="0.35">
      <c r="L9" s="1338">
        <v>2020</v>
      </c>
      <c r="M9" s="1339"/>
      <c r="N9" s="1339"/>
      <c r="O9" s="442">
        <v>2021</v>
      </c>
      <c r="P9" s="442"/>
      <c r="Q9" s="442"/>
      <c r="R9" s="990"/>
    </row>
    <row r="10" spans="8:22" ht="41.9" customHeight="1" x14ac:dyDescent="0.35">
      <c r="H10" s="994" t="s">
        <v>318</v>
      </c>
      <c r="I10" s="994" t="s">
        <v>319</v>
      </c>
      <c r="J10" s="995" t="s">
        <v>320</v>
      </c>
      <c r="K10" s="245"/>
      <c r="L10" s="1004" t="s">
        <v>283</v>
      </c>
      <c r="M10" s="1005" t="s">
        <v>238</v>
      </c>
      <c r="N10" s="1005" t="s">
        <v>281</v>
      </c>
      <c r="O10" s="1005" t="s">
        <v>282</v>
      </c>
      <c r="P10" s="1005" t="s">
        <v>283</v>
      </c>
      <c r="Q10" s="1005" t="s">
        <v>238</v>
      </c>
      <c r="R10" s="993" t="s">
        <v>281</v>
      </c>
      <c r="S10" s="234" t="s">
        <v>321</v>
      </c>
      <c r="T10" s="245"/>
      <c r="U10" s="245"/>
      <c r="V10" s="245"/>
    </row>
    <row r="11" spans="8:22" x14ac:dyDescent="0.35">
      <c r="H11" s="996">
        <v>43934</v>
      </c>
      <c r="I11" s="233">
        <v>248</v>
      </c>
      <c r="J11" s="569">
        <f>I11</f>
        <v>248</v>
      </c>
      <c r="K11" s="233"/>
      <c r="L11" s="987">
        <f>S11/26*J11</f>
        <v>95.384615384615387</v>
      </c>
      <c r="M11" s="635">
        <f>13/26*J11</f>
        <v>124</v>
      </c>
      <c r="N11" s="635">
        <f>J11-SUM(L11:M11)</f>
        <v>28.615384615384613</v>
      </c>
      <c r="O11" s="635"/>
      <c r="P11" s="635"/>
      <c r="Q11" s="635"/>
      <c r="R11" s="610"/>
      <c r="S11" s="233">
        <v>10</v>
      </c>
      <c r="T11" s="233"/>
      <c r="U11" s="1001"/>
      <c r="V11" s="233"/>
    </row>
    <row r="12" spans="8:22" x14ac:dyDescent="0.35">
      <c r="H12" s="1002">
        <v>43937</v>
      </c>
      <c r="I12" s="233">
        <v>342</v>
      </c>
      <c r="J12" s="569">
        <f>I12-I11</f>
        <v>94</v>
      </c>
      <c r="K12" s="233"/>
      <c r="L12" s="987">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2">
        <v>43952</v>
      </c>
      <c r="I13" s="233">
        <v>518</v>
      </c>
      <c r="J13" s="569">
        <f>I13-I12</f>
        <v>176</v>
      </c>
      <c r="K13" s="233"/>
      <c r="L13" s="987">
        <f t="shared" si="0"/>
        <v>54.15384615384616</v>
      </c>
      <c r="M13" s="635">
        <f t="shared" si="1"/>
        <v>88</v>
      </c>
      <c r="N13" s="635">
        <f t="shared" si="2"/>
        <v>33.84615384615384</v>
      </c>
      <c r="O13" s="635"/>
      <c r="P13" s="635"/>
      <c r="Q13" s="635"/>
      <c r="R13" s="610"/>
      <c r="S13" s="233">
        <v>8</v>
      </c>
      <c r="T13" s="233"/>
      <c r="U13" s="233"/>
      <c r="V13" s="233"/>
    </row>
    <row r="14" spans="8:22" x14ac:dyDescent="0.35">
      <c r="H14" s="1002">
        <v>43959</v>
      </c>
      <c r="I14" s="233">
        <v>531</v>
      </c>
      <c r="J14" s="569">
        <f t="shared" ref="J14:J45" si="3">I14-I13</f>
        <v>13</v>
      </c>
      <c r="K14" s="233"/>
      <c r="L14" s="987">
        <f t="shared" si="0"/>
        <v>3.5</v>
      </c>
      <c r="M14" s="635">
        <f t="shared" si="1"/>
        <v>6.5</v>
      </c>
      <c r="N14" s="635">
        <f t="shared" si="2"/>
        <v>3</v>
      </c>
      <c r="O14" s="635"/>
      <c r="P14" s="635"/>
      <c r="Q14" s="635"/>
      <c r="R14" s="610"/>
      <c r="S14" s="233">
        <f t="shared" ref="S14:S20" si="4">S13-1</f>
        <v>7</v>
      </c>
      <c r="T14" s="233"/>
      <c r="U14" s="233"/>
      <c r="V14" s="233"/>
    </row>
    <row r="15" spans="8:22" x14ac:dyDescent="0.35">
      <c r="H15" s="1002">
        <v>43967</v>
      </c>
      <c r="I15" s="233">
        <v>513</v>
      </c>
      <c r="J15" s="569">
        <f t="shared" si="3"/>
        <v>-18</v>
      </c>
      <c r="K15" s="233"/>
      <c r="L15" s="987">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2">
        <v>43974</v>
      </c>
      <c r="I16" s="233">
        <v>511</v>
      </c>
      <c r="J16" s="569">
        <f t="shared" si="3"/>
        <v>-2</v>
      </c>
      <c r="K16" s="233"/>
      <c r="L16" s="987">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2">
        <v>43981</v>
      </c>
      <c r="I17" s="233">
        <v>510</v>
      </c>
      <c r="J17" s="569">
        <f t="shared" si="3"/>
        <v>-1</v>
      </c>
      <c r="K17" s="233"/>
      <c r="L17" s="987">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2">
        <v>43988</v>
      </c>
      <c r="I18" s="233">
        <v>511</v>
      </c>
      <c r="J18" s="569">
        <f t="shared" si="3"/>
        <v>1</v>
      </c>
      <c r="K18" s="233"/>
      <c r="L18" s="987">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2">
        <v>43994</v>
      </c>
      <c r="I19" s="233">
        <v>512</v>
      </c>
      <c r="J19" s="569">
        <f t="shared" si="3"/>
        <v>1</v>
      </c>
      <c r="K19" s="233"/>
      <c r="L19" s="987">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2">
        <v>44002</v>
      </c>
      <c r="I20" s="233">
        <v>515</v>
      </c>
      <c r="J20" s="569">
        <f t="shared" si="3"/>
        <v>3</v>
      </c>
      <c r="K20" s="233"/>
      <c r="L20" s="987">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2">
        <v>44009</v>
      </c>
      <c r="I21" s="233">
        <v>519</v>
      </c>
      <c r="J21" s="569">
        <f t="shared" si="3"/>
        <v>4</v>
      </c>
      <c r="K21" s="233"/>
      <c r="L21" s="987"/>
      <c r="M21" s="635">
        <f>S21/26*J21</f>
        <v>2</v>
      </c>
      <c r="N21" s="635">
        <f t="shared" si="2"/>
        <v>2</v>
      </c>
      <c r="O21" s="635"/>
      <c r="P21" s="635"/>
      <c r="Q21" s="635"/>
      <c r="R21" s="610"/>
      <c r="S21" s="233">
        <v>13</v>
      </c>
      <c r="T21" s="233"/>
      <c r="U21" s="233"/>
      <c r="V21" s="233"/>
    </row>
    <row r="22" spans="8:22" x14ac:dyDescent="0.35">
      <c r="H22" s="1002">
        <v>44012</v>
      </c>
      <c r="I22" s="233">
        <v>521</v>
      </c>
      <c r="J22" s="569">
        <f t="shared" si="3"/>
        <v>2</v>
      </c>
      <c r="K22" s="233"/>
      <c r="L22" s="987"/>
      <c r="M22" s="635">
        <f t="shared" ref="M22:M26" si="8">S22/26*J22</f>
        <v>1</v>
      </c>
      <c r="N22" s="635">
        <f>J22-SUM(L22:M22)</f>
        <v>1</v>
      </c>
      <c r="O22" s="635"/>
      <c r="P22" s="635"/>
      <c r="Q22" s="635"/>
      <c r="R22" s="610"/>
      <c r="S22" s="233">
        <v>13</v>
      </c>
      <c r="T22" s="233"/>
      <c r="U22" s="233"/>
      <c r="V22" s="233"/>
    </row>
    <row r="23" spans="8:22" x14ac:dyDescent="0.35">
      <c r="H23" s="1002">
        <v>44029</v>
      </c>
      <c r="I23" s="233">
        <v>518</v>
      </c>
      <c r="J23" s="569">
        <f t="shared" si="3"/>
        <v>-3</v>
      </c>
      <c r="K23" s="233"/>
      <c r="L23" s="987"/>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2">
        <v>44036</v>
      </c>
      <c r="I24" s="233">
        <v>520</v>
      </c>
      <c r="J24" s="569">
        <f t="shared" si="3"/>
        <v>2</v>
      </c>
      <c r="K24" s="233"/>
      <c r="L24" s="987"/>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2">
        <v>44043</v>
      </c>
      <c r="I25" s="233">
        <v>521</v>
      </c>
      <c r="J25" s="569">
        <f t="shared" si="3"/>
        <v>1</v>
      </c>
      <c r="K25" s="233"/>
      <c r="L25" s="987"/>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2">
        <v>44051</v>
      </c>
      <c r="I26" s="233">
        <v>525</v>
      </c>
      <c r="J26" s="569">
        <f t="shared" si="3"/>
        <v>4</v>
      </c>
      <c r="K26" s="233"/>
      <c r="L26" s="987"/>
      <c r="M26" s="635">
        <f t="shared" si="8"/>
        <v>1.0769230769230769</v>
      </c>
      <c r="N26" s="635">
        <f t="shared" si="12"/>
        <v>2</v>
      </c>
      <c r="O26" s="635">
        <f t="shared" si="13"/>
        <v>0.92307692307692313</v>
      </c>
      <c r="P26" s="635"/>
      <c r="Q26" s="635"/>
      <c r="R26" s="610"/>
      <c r="S26" s="233">
        <f>S25-1</f>
        <v>7</v>
      </c>
      <c r="T26" s="233"/>
      <c r="U26" s="233"/>
      <c r="V26" s="233"/>
    </row>
    <row r="27" spans="8:22" x14ac:dyDescent="0.35">
      <c r="H27" s="1002">
        <v>44220</v>
      </c>
      <c r="I27" s="233">
        <v>558</v>
      </c>
      <c r="J27" s="569">
        <f t="shared" si="3"/>
        <v>33</v>
      </c>
      <c r="K27" s="233"/>
      <c r="L27" s="987"/>
      <c r="M27" s="635"/>
      <c r="N27" s="635"/>
      <c r="O27" s="635">
        <f>S27/26*J27</f>
        <v>12.692307692307693</v>
      </c>
      <c r="P27" s="635">
        <f>J27/2</f>
        <v>16.5</v>
      </c>
      <c r="Q27" s="635">
        <f>J27-P27-O27</f>
        <v>3.8076923076923066</v>
      </c>
      <c r="R27" s="610"/>
      <c r="S27" s="233">
        <v>10</v>
      </c>
      <c r="T27" s="233">
        <v>10</v>
      </c>
      <c r="U27" s="233"/>
      <c r="V27" s="233"/>
    </row>
    <row r="28" spans="8:22" x14ac:dyDescent="0.35">
      <c r="H28" s="1002">
        <v>44227</v>
      </c>
      <c r="I28" s="233">
        <v>596</v>
      </c>
      <c r="J28" s="569">
        <f t="shared" si="3"/>
        <v>38</v>
      </c>
      <c r="K28" s="233"/>
      <c r="L28" s="987"/>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2">
        <v>44234</v>
      </c>
      <c r="I29" s="233">
        <v>623</v>
      </c>
      <c r="J29" s="569">
        <f t="shared" si="3"/>
        <v>27</v>
      </c>
      <c r="K29" s="233"/>
      <c r="L29" s="987"/>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2">
        <v>44242</v>
      </c>
      <c r="I30" s="233">
        <v>648</v>
      </c>
      <c r="J30" s="569">
        <f t="shared" si="3"/>
        <v>25</v>
      </c>
      <c r="K30" s="233"/>
      <c r="L30" s="987"/>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2">
        <v>44248</v>
      </c>
      <c r="I31" s="233">
        <v>663</v>
      </c>
      <c r="J31" s="569">
        <f t="shared" si="3"/>
        <v>15</v>
      </c>
      <c r="K31" s="233"/>
      <c r="L31" s="987"/>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2">
        <v>44255</v>
      </c>
      <c r="I32" s="233">
        <v>679</v>
      </c>
      <c r="J32" s="569">
        <f t="shared" si="3"/>
        <v>16</v>
      </c>
      <c r="K32" s="233"/>
      <c r="L32" s="987"/>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2">
        <v>44262</v>
      </c>
      <c r="I33" s="233">
        <v>687</v>
      </c>
      <c r="J33" s="569">
        <f t="shared" si="3"/>
        <v>8</v>
      </c>
      <c r="K33" s="233"/>
      <c r="L33" s="987"/>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2">
        <v>44269</v>
      </c>
      <c r="I34" s="233">
        <v>704</v>
      </c>
      <c r="J34" s="569">
        <f t="shared" si="3"/>
        <v>17</v>
      </c>
      <c r="K34" s="233"/>
      <c r="L34" s="987"/>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2">
        <v>44276</v>
      </c>
      <c r="I35" s="233">
        <v>718</v>
      </c>
      <c r="J35" s="569">
        <f t="shared" si="3"/>
        <v>14</v>
      </c>
      <c r="K35" s="233"/>
      <c r="L35" s="987"/>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2">
        <v>44283</v>
      </c>
      <c r="I36" s="233">
        <v>734</v>
      </c>
      <c r="J36" s="569">
        <f t="shared" si="3"/>
        <v>16</v>
      </c>
      <c r="K36" s="233"/>
      <c r="L36" s="987"/>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2">
        <v>44290</v>
      </c>
      <c r="I37" s="233">
        <v>746</v>
      </c>
      <c r="J37" s="569">
        <f t="shared" si="3"/>
        <v>12</v>
      </c>
      <c r="K37" s="233"/>
      <c r="L37" s="987"/>
      <c r="M37" s="635"/>
      <c r="N37" s="635"/>
      <c r="O37" s="635"/>
      <c r="P37" s="635">
        <f>T37/26*J37</f>
        <v>6</v>
      </c>
      <c r="Q37" s="635">
        <f>J37/2</f>
        <v>6</v>
      </c>
      <c r="R37" s="610">
        <f>J37-Q37-P37</f>
        <v>0</v>
      </c>
      <c r="S37" s="233">
        <v>13</v>
      </c>
      <c r="T37" s="233">
        <v>13</v>
      </c>
      <c r="U37" s="233"/>
      <c r="V37" s="233"/>
    </row>
    <row r="38" spans="8:22" x14ac:dyDescent="0.35">
      <c r="H38" s="1002">
        <v>44297</v>
      </c>
      <c r="I38" s="233">
        <v>755</v>
      </c>
      <c r="J38" s="569">
        <f t="shared" si="3"/>
        <v>9</v>
      </c>
      <c r="K38" s="233"/>
      <c r="L38" s="987"/>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2">
        <v>44304</v>
      </c>
      <c r="I39" s="233">
        <v>762</v>
      </c>
      <c r="J39" s="569">
        <f t="shared" si="3"/>
        <v>7</v>
      </c>
      <c r="K39" s="233"/>
      <c r="L39" s="987"/>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2">
        <v>44311</v>
      </c>
      <c r="I40" s="233">
        <v>771</v>
      </c>
      <c r="J40" s="569">
        <f t="shared" si="3"/>
        <v>9</v>
      </c>
      <c r="K40" s="233"/>
      <c r="L40" s="987"/>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2">
        <v>44318</v>
      </c>
      <c r="I41" s="233">
        <v>780</v>
      </c>
      <c r="J41" s="569">
        <f t="shared" si="3"/>
        <v>9</v>
      </c>
      <c r="K41" s="233"/>
      <c r="L41" s="987"/>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2">
        <v>44325</v>
      </c>
      <c r="I42" s="233">
        <v>782</v>
      </c>
      <c r="J42" s="569">
        <f t="shared" si="3"/>
        <v>2</v>
      </c>
      <c r="K42" s="233"/>
      <c r="L42" s="987"/>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2">
        <v>44332</v>
      </c>
      <c r="I43" s="233">
        <v>788</v>
      </c>
      <c r="J43" s="569">
        <f t="shared" si="3"/>
        <v>6</v>
      </c>
      <c r="K43" s="233"/>
      <c r="L43" s="987"/>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2">
        <v>44339</v>
      </c>
      <c r="I44" s="233">
        <v>796</v>
      </c>
      <c r="J44" s="569">
        <f t="shared" si="3"/>
        <v>8</v>
      </c>
      <c r="K44" s="233"/>
      <c r="L44" s="987"/>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3">
        <v>44347</v>
      </c>
      <c r="I45" s="568">
        <v>800</v>
      </c>
      <c r="J45" s="581">
        <f t="shared" si="3"/>
        <v>4</v>
      </c>
      <c r="K45" s="233"/>
      <c r="L45" s="987"/>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7">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8">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1">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08" t="s">
        <v>324</v>
      </c>
      <c r="I50" s="1409"/>
      <c r="J50" s="1343" t="s">
        <v>279</v>
      </c>
      <c r="K50" s="1344"/>
      <c r="L50" s="1344"/>
      <c r="M50" s="1371"/>
      <c r="N50" s="1371"/>
      <c r="O50" s="1371"/>
      <c r="P50" s="1320"/>
      <c r="Q50" s="529"/>
      <c r="R50" s="529"/>
      <c r="S50" s="529"/>
      <c r="T50" s="529"/>
      <c r="U50" s="529"/>
      <c r="V50" s="529"/>
      <c r="W50" s="529"/>
      <c r="X50" s="529"/>
      <c r="Y50" s="529"/>
    </row>
    <row r="51" spans="8:29" x14ac:dyDescent="0.35">
      <c r="H51" s="1410"/>
      <c r="I51" s="1411"/>
      <c r="J51" s="1338">
        <v>2020</v>
      </c>
      <c r="K51" s="1339"/>
      <c r="L51" s="1339"/>
      <c r="M51" s="1338">
        <v>2021</v>
      </c>
      <c r="N51" s="1339"/>
      <c r="O51" s="1339"/>
      <c r="P51" s="1340"/>
      <c r="Q51" s="1356"/>
      <c r="R51" s="1356"/>
      <c r="S51" s="1356"/>
      <c r="T51" s="1356"/>
      <c r="U51" s="1356"/>
      <c r="V51" s="1356"/>
      <c r="W51" s="1356"/>
      <c r="X51" s="1356"/>
    </row>
    <row r="52" spans="8:29" x14ac:dyDescent="0.35">
      <c r="H52" s="1438"/>
      <c r="I52" s="1439"/>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7">
        <f>'Haver Pivoted'!GU47</f>
        <v>57.2</v>
      </c>
      <c r="K53" s="986">
        <f>'Haver Pivoted'!GV47</f>
        <v>81.2</v>
      </c>
      <c r="L53" s="986">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1">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1">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2">
        <f t="shared" si="29"/>
        <v>6.3620981387478848E-2</v>
      </c>
      <c r="P56" s="992">
        <f t="shared" si="29"/>
        <v>5.3691275167785234E-2</v>
      </c>
      <c r="Q56" s="1000"/>
      <c r="R56" s="808"/>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8"/>
      <c r="R61" s="998"/>
      <c r="S61" s="998"/>
      <c r="T61" s="998"/>
      <c r="U61" s="998"/>
      <c r="V61" s="998"/>
      <c r="W61" s="998"/>
      <c r="X61" s="998"/>
      <c r="Y61" s="998"/>
      <c r="Z61" s="998"/>
      <c r="AA61" s="998"/>
      <c r="AB61" s="998"/>
      <c r="AC61" s="249"/>
    </row>
    <row r="62" spans="8:29" x14ac:dyDescent="0.35">
      <c r="P62" s="246"/>
      <c r="Q62" s="998"/>
      <c r="R62" s="998"/>
      <c r="S62" s="998"/>
      <c r="T62" s="998"/>
      <c r="U62" s="998"/>
      <c r="V62" s="998"/>
      <c r="W62" s="998"/>
      <c r="X62" s="998"/>
      <c r="Y62" s="998"/>
      <c r="Z62" s="998"/>
      <c r="AA62" s="998"/>
      <c r="AB62" s="998"/>
      <c r="AC62" s="249"/>
    </row>
    <row r="63" spans="8:29" x14ac:dyDescent="0.35">
      <c r="I63" s="249" t="s">
        <v>282</v>
      </c>
      <c r="J63" s="249" t="s">
        <v>283</v>
      </c>
      <c r="K63" s="249" t="s">
        <v>238</v>
      </c>
      <c r="L63" s="249" t="s">
        <v>281</v>
      </c>
      <c r="P63" s="808"/>
      <c r="Q63" s="998"/>
      <c r="R63" s="998"/>
      <c r="S63" s="998"/>
      <c r="T63" s="998"/>
      <c r="U63" s="998"/>
      <c r="V63" s="998"/>
      <c r="W63" s="998"/>
      <c r="X63" s="998"/>
      <c r="Y63" s="998"/>
      <c r="Z63" s="998"/>
      <c r="AA63" s="998"/>
      <c r="AB63" s="998"/>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9">
        <f>I64/I$67</f>
        <v>0.39099185433636796</v>
      </c>
      <c r="J69" s="989">
        <f t="shared" ref="J69:L69" si="32">J64/J$67</f>
        <v>0.40217159889291038</v>
      </c>
      <c r="K69" s="989">
        <f t="shared" si="32"/>
        <v>0.3966159052453469</v>
      </c>
      <c r="L69" s="989" t="e">
        <f t="shared" si="32"/>
        <v>#REF!</v>
      </c>
    </row>
    <row r="70" spans="7:29" x14ac:dyDescent="0.35">
      <c r="H70" s="249" t="s">
        <v>468</v>
      </c>
      <c r="I70" s="989">
        <f t="shared" ref="I70:L71" si="33">I65/I$67</f>
        <v>5.6061332055582176E-2</v>
      </c>
      <c r="J70" s="989">
        <f t="shared" si="33"/>
        <v>6.0677027890142649E-2</v>
      </c>
      <c r="K70" s="989">
        <f t="shared" si="33"/>
        <v>6.3620981387478848E-2</v>
      </c>
      <c r="L70" s="989" t="e">
        <f t="shared" si="33"/>
        <v>#REF!</v>
      </c>
    </row>
    <row r="71" spans="7:29" x14ac:dyDescent="0.35">
      <c r="H71" s="249" t="s">
        <v>817</v>
      </c>
      <c r="I71" s="989">
        <f t="shared" si="33"/>
        <v>0.55294681360804987</v>
      </c>
      <c r="J71" s="989">
        <f t="shared" si="33"/>
        <v>0.53715137321694695</v>
      </c>
      <c r="K71" s="989">
        <f t="shared" si="33"/>
        <v>0.53976311336717431</v>
      </c>
      <c r="L71" s="989"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0" t="s">
        <v>152</v>
      </c>
      <c r="C1" s="1290"/>
      <c r="D1" s="1290"/>
      <c r="E1" s="1290"/>
      <c r="F1" s="1290"/>
      <c r="G1" s="1290"/>
      <c r="H1" s="1290"/>
      <c r="I1" s="1290"/>
      <c r="J1" s="1290"/>
      <c r="K1" s="1290"/>
      <c r="L1" s="1290"/>
      <c r="M1" s="1290"/>
      <c r="N1" s="1290"/>
      <c r="O1" s="1290"/>
      <c r="P1" s="1290"/>
      <c r="Q1" s="1290"/>
      <c r="R1" s="1290"/>
      <c r="S1" s="1290"/>
      <c r="T1" s="1290"/>
    </row>
    <row r="2" spans="1:22" x14ac:dyDescent="0.35">
      <c r="B2" s="1440" t="s">
        <v>854</v>
      </c>
      <c r="C2" s="1440"/>
      <c r="D2" s="1440"/>
      <c r="E2" s="1440"/>
      <c r="F2" s="1440"/>
      <c r="G2" s="1440"/>
      <c r="H2" s="1440"/>
      <c r="I2" s="1440"/>
      <c r="J2" s="1440"/>
      <c r="K2" s="1440"/>
      <c r="L2" s="1440"/>
      <c r="M2" s="1440"/>
      <c r="N2" s="1440"/>
      <c r="O2" s="1440"/>
      <c r="P2" s="1440"/>
      <c r="Q2" s="1440"/>
      <c r="R2" s="1440"/>
      <c r="S2" s="1440"/>
      <c r="T2" s="1440"/>
    </row>
    <row r="3" spans="1:22" x14ac:dyDescent="0.35">
      <c r="B3" s="1440"/>
      <c r="C3" s="1440"/>
      <c r="D3" s="1440"/>
      <c r="E3" s="1440"/>
      <c r="F3" s="1440"/>
      <c r="G3" s="1440"/>
      <c r="H3" s="1440"/>
      <c r="I3" s="1440"/>
      <c r="J3" s="1440"/>
      <c r="K3" s="1440"/>
      <c r="L3" s="1440"/>
      <c r="M3" s="1440"/>
      <c r="N3" s="1440"/>
      <c r="O3" s="1440"/>
      <c r="P3" s="1440"/>
      <c r="Q3" s="1440"/>
      <c r="R3" s="1440"/>
      <c r="S3" s="1440"/>
      <c r="T3" s="1440"/>
    </row>
    <row r="4" spans="1:22" x14ac:dyDescent="0.35">
      <c r="B4" s="1440"/>
      <c r="C4" s="1440"/>
      <c r="D4" s="1440"/>
      <c r="E4" s="1440"/>
      <c r="F4" s="1440"/>
      <c r="G4" s="1440"/>
      <c r="H4" s="1440"/>
      <c r="I4" s="1440"/>
      <c r="J4" s="1440"/>
      <c r="K4" s="1440"/>
      <c r="L4" s="1440"/>
      <c r="M4" s="1440"/>
      <c r="N4" s="1440"/>
      <c r="O4" s="1440"/>
      <c r="P4" s="1440"/>
      <c r="Q4" s="1440"/>
      <c r="R4" s="1440"/>
      <c r="S4" s="1440"/>
      <c r="T4" s="1440"/>
    </row>
    <row r="5" spans="1:22" x14ac:dyDescent="0.35">
      <c r="B5" s="1440"/>
      <c r="C5" s="1440"/>
      <c r="D5" s="1440"/>
      <c r="E5" s="1440"/>
      <c r="F5" s="1440"/>
      <c r="G5" s="1440"/>
      <c r="H5" s="1440"/>
      <c r="I5" s="1440"/>
      <c r="J5" s="1440"/>
      <c r="K5" s="1440"/>
      <c r="L5" s="1440"/>
      <c r="M5" s="1440"/>
      <c r="N5" s="1440"/>
      <c r="O5" s="1440"/>
      <c r="P5" s="1440"/>
      <c r="Q5" s="1440"/>
      <c r="R5" s="1440"/>
      <c r="S5" s="1440"/>
      <c r="T5" s="1440"/>
    </row>
    <row r="6" spans="1:22" x14ac:dyDescent="0.35">
      <c r="B6" s="1440"/>
      <c r="C6" s="1440"/>
      <c r="D6" s="1440"/>
      <c r="E6" s="1440"/>
      <c r="F6" s="1440"/>
      <c r="G6" s="1440"/>
      <c r="H6" s="1440"/>
      <c r="I6" s="1440"/>
      <c r="J6" s="1440"/>
      <c r="K6" s="1440"/>
      <c r="L6" s="1440"/>
      <c r="M6" s="1440"/>
      <c r="N6" s="1440"/>
      <c r="O6" s="1440"/>
      <c r="P6" s="1440"/>
      <c r="Q6" s="1440"/>
      <c r="R6" s="1440"/>
      <c r="S6" s="1440"/>
      <c r="T6" s="1440"/>
    </row>
    <row r="7" spans="1:22" x14ac:dyDescent="0.35">
      <c r="J7" s="74"/>
      <c r="K7" s="74"/>
      <c r="M7" s="74"/>
    </row>
    <row r="9" spans="1:22" ht="14.9" customHeight="1" x14ac:dyDescent="0.35">
      <c r="A9" s="214"/>
      <c r="B9" s="1441" t="s">
        <v>303</v>
      </c>
      <c r="C9" s="1442"/>
      <c r="D9" s="1014">
        <v>2018</v>
      </c>
      <c r="E9" s="1447">
        <v>2019</v>
      </c>
      <c r="F9" s="1448"/>
      <c r="G9" s="1448"/>
      <c r="H9" s="1449"/>
      <c r="I9" s="1445">
        <v>2020</v>
      </c>
      <c r="J9" s="1446"/>
      <c r="K9" s="1446"/>
      <c r="L9" s="1446"/>
      <c r="M9" s="1450">
        <v>2021</v>
      </c>
      <c r="N9" s="1451"/>
      <c r="O9" s="1451"/>
      <c r="P9" s="1452"/>
      <c r="Q9" s="1445">
        <v>2022</v>
      </c>
      <c r="R9" s="1453"/>
      <c r="S9" s="1453"/>
      <c r="T9" s="1454"/>
    </row>
    <row r="10" spans="1:22" x14ac:dyDescent="0.35">
      <c r="B10" s="1443"/>
      <c r="C10" s="1444"/>
      <c r="D10" s="1019" t="s">
        <v>281</v>
      </c>
      <c r="E10" s="1020" t="s">
        <v>282</v>
      </c>
      <c r="F10" s="676" t="s">
        <v>283</v>
      </c>
      <c r="G10" s="676" t="s">
        <v>238</v>
      </c>
      <c r="H10" s="1021" t="s">
        <v>281</v>
      </c>
      <c r="I10" s="1020" t="s">
        <v>282</v>
      </c>
      <c r="J10" s="676" t="s">
        <v>283</v>
      </c>
      <c r="K10" s="676" t="s">
        <v>238</v>
      </c>
      <c r="L10" s="676" t="s">
        <v>281</v>
      </c>
      <c r="M10" s="225" t="s">
        <v>282</v>
      </c>
      <c r="N10" s="226" t="s">
        <v>283</v>
      </c>
      <c r="O10" s="226" t="s">
        <v>238</v>
      </c>
      <c r="P10" s="232" t="s">
        <v>281</v>
      </c>
      <c r="Q10" s="676" t="s">
        <v>282</v>
      </c>
      <c r="R10" s="676" t="s">
        <v>283</v>
      </c>
      <c r="S10" s="676" t="s">
        <v>238</v>
      </c>
      <c r="T10" s="1021" t="s">
        <v>281</v>
      </c>
    </row>
    <row r="11" spans="1:22" ht="29.15" customHeight="1" x14ac:dyDescent="0.35">
      <c r="A11" s="1012"/>
      <c r="B11" s="1023" t="s">
        <v>139</v>
      </c>
      <c r="C11" s="1018" t="s">
        <v>304</v>
      </c>
      <c r="D11" s="1006"/>
      <c r="E11" s="1007"/>
      <c r="F11" s="1007"/>
      <c r="G11" s="1007"/>
      <c r="H11" s="1007"/>
      <c r="I11" s="1007"/>
      <c r="J11" s="1025">
        <f>'Haver Pivoted'!GU48</f>
        <v>160.9</v>
      </c>
      <c r="K11" s="1025">
        <f>'Haver Pivoted'!GV48</f>
        <v>58.4</v>
      </c>
      <c r="L11" s="1025">
        <f>'Haver Pivoted'!GW48</f>
        <v>34.5</v>
      </c>
      <c r="M11" s="1025">
        <f>'Haver Pivoted'!GX48</f>
        <v>21.4</v>
      </c>
      <c r="N11" s="1025">
        <f>'Haver Pivoted'!GY48</f>
        <v>13.3</v>
      </c>
      <c r="O11" s="1025">
        <f>'Haver Pivoted'!GZ48</f>
        <v>18.7</v>
      </c>
      <c r="P11" s="1025">
        <f>'Haver Pivoted'!HA48</f>
        <v>32.200000000000003</v>
      </c>
      <c r="Q11" s="1025">
        <f>'Haver Pivoted'!HB48</f>
        <v>26.9</v>
      </c>
      <c r="R11" s="1025">
        <f>'Haver Pivoted'!HC48</f>
        <v>20</v>
      </c>
      <c r="S11" s="1031">
        <f>'Haver Pivoted'!HD48</f>
        <v>8.1</v>
      </c>
      <c r="T11" s="1026">
        <f>'Haver Pivoted'!HE48</f>
        <v>4.9000000000000004</v>
      </c>
    </row>
    <row r="12" spans="1:22" ht="29.15" customHeight="1" x14ac:dyDescent="0.35">
      <c r="A12" s="1012"/>
      <c r="B12" s="1010" t="s">
        <v>305</v>
      </c>
      <c r="C12" s="171" t="s">
        <v>306</v>
      </c>
      <c r="D12" s="1010"/>
      <c r="E12" s="171"/>
      <c r="F12" s="171"/>
      <c r="G12" s="171"/>
      <c r="H12" s="171"/>
      <c r="I12" s="171"/>
      <c r="J12" s="1027">
        <f>'Haver Pivoted'!GU58</f>
        <v>64.400000000000006</v>
      </c>
      <c r="K12" s="1027">
        <f>'Haver Pivoted'!GV58</f>
        <v>23.4</v>
      </c>
      <c r="L12" s="1027">
        <f>'Haver Pivoted'!GW58</f>
        <v>13.8</v>
      </c>
      <c r="M12" s="1027">
        <f>'Haver Pivoted'!GX58</f>
        <v>12</v>
      </c>
      <c r="N12" s="1027">
        <f>'Haver Pivoted'!GY58</f>
        <v>7.5</v>
      </c>
      <c r="O12" s="1027">
        <f>'Haver Pivoted'!GZ58</f>
        <v>10.5</v>
      </c>
      <c r="P12" s="1027">
        <f>'Haver Pivoted'!HA58</f>
        <v>18</v>
      </c>
      <c r="Q12" s="1027">
        <f>'Haver Pivoted'!HB58</f>
        <v>15</v>
      </c>
      <c r="R12" s="1027">
        <f>'Haver Pivoted'!HC58</f>
        <v>11.2</v>
      </c>
      <c r="S12" s="1030">
        <f>'Haver Pivoted'!HD58</f>
        <v>7.5</v>
      </c>
      <c r="T12" s="1008">
        <f>'Haver Pivoted'!HE58</f>
        <v>6.2</v>
      </c>
    </row>
    <row r="13" spans="1:22" ht="47.15" customHeight="1" x14ac:dyDescent="0.35">
      <c r="A13" s="1012"/>
      <c r="B13" s="1010" t="s">
        <v>307</v>
      </c>
      <c r="C13" s="171" t="s">
        <v>308</v>
      </c>
      <c r="D13" s="1010"/>
      <c r="E13" s="171"/>
      <c r="F13" s="171"/>
      <c r="G13" s="171"/>
      <c r="H13" s="171"/>
      <c r="I13" s="171"/>
      <c r="J13" s="1027">
        <f>'Haver Pivoted'!GU54</f>
        <v>96.6</v>
      </c>
      <c r="K13" s="1027">
        <f>'Haver Pivoted'!GV54</f>
        <v>35.1</v>
      </c>
      <c r="L13" s="1027">
        <f>'Haver Pivoted'!GW54</f>
        <v>20.7</v>
      </c>
      <c r="M13" s="1027">
        <f>'Haver Pivoted'!GX54</f>
        <v>15.4</v>
      </c>
      <c r="N13" s="1027">
        <f>'Haver Pivoted'!GY54</f>
        <v>9.6</v>
      </c>
      <c r="O13" s="1027">
        <f>'Haver Pivoted'!GZ54</f>
        <v>13.5</v>
      </c>
      <c r="P13" s="1027">
        <f>'Haver Pivoted'!HA54</f>
        <v>23.2</v>
      </c>
      <c r="Q13" s="1027">
        <f>'Haver Pivoted'!HB54</f>
        <v>19.3</v>
      </c>
      <c r="R13" s="1027">
        <f>'Haver Pivoted'!HC54</f>
        <v>14.4</v>
      </c>
      <c r="S13" s="1030">
        <f>'Haver Pivoted'!HD54</f>
        <v>5.9</v>
      </c>
      <c r="T13" s="1008">
        <f>'Haver Pivoted'!HE54</f>
        <v>3.6</v>
      </c>
      <c r="U13" s="1028" t="s">
        <v>309</v>
      </c>
      <c r="V13" s="1015" t="s">
        <v>310</v>
      </c>
    </row>
    <row r="14" spans="1:22" x14ac:dyDescent="0.35">
      <c r="B14" s="41" t="s">
        <v>311</v>
      </c>
      <c r="C14" s="43"/>
      <c r="D14" s="41"/>
      <c r="E14" s="43"/>
      <c r="F14" s="43"/>
      <c r="G14" s="43"/>
      <c r="H14" s="43"/>
      <c r="I14" s="43"/>
      <c r="J14" s="1027">
        <f t="shared" ref="J14:T14" si="0">J13+J12+J11</f>
        <v>321.89999999999998</v>
      </c>
      <c r="K14" s="1027">
        <f t="shared" si="0"/>
        <v>116.9</v>
      </c>
      <c r="L14" s="1027">
        <f t="shared" si="0"/>
        <v>69</v>
      </c>
      <c r="M14" s="1027">
        <f t="shared" si="0"/>
        <v>48.8</v>
      </c>
      <c r="N14" s="1027">
        <f t="shared" si="0"/>
        <v>30.400000000000002</v>
      </c>
      <c r="O14" s="1027">
        <f t="shared" si="0"/>
        <v>42.7</v>
      </c>
      <c r="P14" s="1027">
        <f t="shared" si="0"/>
        <v>73.400000000000006</v>
      </c>
      <c r="Q14" s="1027">
        <f t="shared" si="0"/>
        <v>61.199999999999996</v>
      </c>
      <c r="R14" s="1027">
        <f t="shared" si="0"/>
        <v>45.6</v>
      </c>
      <c r="S14" s="1030">
        <f t="shared" si="0"/>
        <v>21.5</v>
      </c>
      <c r="T14" s="1008">
        <f t="shared" si="0"/>
        <v>14.700000000000001</v>
      </c>
      <c r="U14" s="1029">
        <v>236</v>
      </c>
      <c r="V14" s="1022">
        <f>SUM(J14:S14)/4</f>
        <v>207.85</v>
      </c>
    </row>
    <row r="15" spans="1:22" x14ac:dyDescent="0.35">
      <c r="B15" s="1011" t="s">
        <v>312</v>
      </c>
      <c r="C15" s="45"/>
      <c r="D15" s="1011"/>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1">
        <f t="shared" si="2"/>
        <v>0.33333333333333331</v>
      </c>
    </row>
    <row r="16" spans="1:22" x14ac:dyDescent="0.35">
      <c r="B16" s="1011" t="s">
        <v>313</v>
      </c>
      <c r="C16" s="45"/>
      <c r="D16" s="1011"/>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1">
        <f t="shared" si="3"/>
        <v>0.42176870748299317</v>
      </c>
      <c r="U16" s="339"/>
    </row>
    <row r="17" spans="2:21" x14ac:dyDescent="0.35">
      <c r="B17" s="1013" t="s">
        <v>314</v>
      </c>
      <c r="C17" s="1017"/>
      <c r="D17" s="1013"/>
      <c r="E17" s="1017"/>
      <c r="F17" s="1017"/>
      <c r="G17" s="1017"/>
      <c r="H17" s="1017"/>
      <c r="I17" s="1017"/>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4">
        <f t="shared" si="4"/>
        <v>0.2744186046511628</v>
      </c>
      <c r="T17" s="1009">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4" t="s">
        <v>56</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1:29" ht="14.9" customHeight="1" x14ac:dyDescent="0.35">
      <c r="B2" s="1315" t="s">
        <v>457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1:29"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1:29"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19" t="s">
        <v>402</v>
      </c>
      <c r="C6" s="1320"/>
      <c r="D6" s="1332" t="s">
        <v>279</v>
      </c>
      <c r="E6" s="1333"/>
      <c r="F6" s="1333"/>
      <c r="G6" s="1333"/>
      <c r="H6" s="1333"/>
      <c r="I6" s="1333"/>
      <c r="J6" s="1333"/>
      <c r="K6" s="1333"/>
      <c r="L6" s="1333"/>
      <c r="M6" s="1333"/>
      <c r="N6" s="1333"/>
      <c r="O6" s="1333"/>
      <c r="P6" s="1333"/>
      <c r="Q6" s="1368"/>
      <c r="R6" s="1368"/>
      <c r="S6" s="1368"/>
      <c r="T6" s="1320"/>
      <c r="U6" s="1336" t="s">
        <v>280</v>
      </c>
      <c r="V6" s="1336"/>
      <c r="W6" s="1336"/>
      <c r="X6" s="1336"/>
      <c r="Y6" s="1336"/>
      <c r="Z6" s="1336"/>
      <c r="AA6" s="1336"/>
      <c r="AB6" s="1336"/>
      <c r="AC6" s="1337"/>
    </row>
    <row r="7" spans="1:29" x14ac:dyDescent="0.35">
      <c r="B7" s="1321"/>
      <c r="C7" s="1322"/>
      <c r="D7" s="296">
        <v>2018</v>
      </c>
      <c r="E7" s="1338">
        <v>2019</v>
      </c>
      <c r="F7" s="1339"/>
      <c r="G7" s="1339"/>
      <c r="H7" s="1340"/>
      <c r="I7" s="1338">
        <v>2020</v>
      </c>
      <c r="J7" s="1339"/>
      <c r="K7" s="1339"/>
      <c r="L7" s="1339"/>
      <c r="M7" s="1338">
        <v>2021</v>
      </c>
      <c r="N7" s="1339"/>
      <c r="O7" s="1339"/>
      <c r="P7" s="1339"/>
      <c r="Q7" s="1338">
        <v>2022</v>
      </c>
      <c r="R7" s="1346"/>
      <c r="S7" s="1346"/>
      <c r="T7" s="1340"/>
      <c r="U7" s="1326">
        <v>2023</v>
      </c>
      <c r="V7" s="1331"/>
      <c r="W7" s="1331"/>
      <c r="X7" s="1331"/>
      <c r="Y7" s="1325">
        <v>2024</v>
      </c>
      <c r="Z7" s="1331"/>
      <c r="AA7" s="1331"/>
      <c r="AB7" s="1330"/>
      <c r="AC7" s="304">
        <v>2025</v>
      </c>
    </row>
    <row r="8" spans="1:29"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1"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9">
        <f t="shared" si="0"/>
        <v>0</v>
      </c>
      <c r="T10" s="1042">
        <f t="shared" si="0"/>
        <v>0</v>
      </c>
      <c r="U10" s="1037"/>
      <c r="V10" s="1037"/>
      <c r="W10" s="1037"/>
      <c r="X10" s="1037"/>
      <c r="Y10" s="1037"/>
      <c r="Z10" s="1037"/>
      <c r="AA10" s="1037"/>
      <c r="AB10" s="1037"/>
      <c r="AC10" s="1038"/>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40"/>
      <c r="U11" s="1044"/>
      <c r="V11" s="1044"/>
      <c r="W11" s="1044"/>
      <c r="X11" s="1044"/>
      <c r="Y11" s="1044"/>
      <c r="Z11" s="1044"/>
      <c r="AA11" s="1044"/>
      <c r="AB11" s="1044"/>
      <c r="AC11" s="1032"/>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5" t="s">
        <v>460</v>
      </c>
      <c r="C15" s="1445">
        <v>2021</v>
      </c>
      <c r="D15" s="1446"/>
      <c r="E15" s="1446"/>
      <c r="F15" s="1446"/>
      <c r="G15" s="67"/>
      <c r="K15" s="1415"/>
      <c r="L15" s="1415"/>
      <c r="M15" s="56"/>
      <c r="N15" s="56"/>
    </row>
    <row r="16" spans="1:29" x14ac:dyDescent="0.35">
      <c r="B16" s="1456"/>
      <c r="C16" s="1034" t="s">
        <v>234</v>
      </c>
      <c r="D16" s="1024" t="s">
        <v>235</v>
      </c>
      <c r="E16" s="1024" t="s">
        <v>236</v>
      </c>
      <c r="F16" s="1024" t="s">
        <v>237</v>
      </c>
      <c r="G16" s="1043"/>
      <c r="H16" s="214"/>
      <c r="I16" s="214"/>
      <c r="J16" s="214"/>
      <c r="K16" s="214"/>
      <c r="L16" s="214"/>
      <c r="M16" s="214"/>
      <c r="N16" s="214"/>
    </row>
    <row r="17" spans="2:29" ht="16.399999999999999" customHeight="1" x14ac:dyDescent="0.35">
      <c r="B17" s="1033" t="s">
        <v>461</v>
      </c>
      <c r="C17" s="1035">
        <v>1660.9</v>
      </c>
      <c r="D17" s="1035">
        <v>95.9</v>
      </c>
      <c r="E17" s="1035">
        <v>4044.2</v>
      </c>
      <c r="F17" s="1036">
        <v>688</v>
      </c>
      <c r="G17" s="147"/>
      <c r="H17" s="147"/>
      <c r="I17" s="147"/>
      <c r="J17" s="147"/>
      <c r="K17" s="147"/>
      <c r="L17" s="147"/>
      <c r="M17" s="249"/>
      <c r="N17" s="249"/>
    </row>
    <row r="18" spans="2:29" x14ac:dyDescent="0.35">
      <c r="B18" s="999"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9"/>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 xr:uid="{00000000-0004-0000-1C00-000000000000}"/>
  </hyperlink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6" t="s">
        <v>520</v>
      </c>
      <c r="B4" s="1047"/>
      <c r="C4" s="1047"/>
    </row>
    <row r="7" spans="1:17" x14ac:dyDescent="0.35">
      <c r="A7" s="1458" t="s">
        <v>521</v>
      </c>
      <c r="B7" s="1459"/>
      <c r="C7" s="1459"/>
      <c r="D7" s="1459"/>
      <c r="E7" s="1459"/>
      <c r="F7" s="1459"/>
      <c r="G7" s="1459"/>
      <c r="H7" s="1459"/>
      <c r="I7" s="1459"/>
      <c r="J7" s="1459"/>
      <c r="K7" s="1459"/>
      <c r="L7" s="1459"/>
      <c r="M7" s="1459"/>
      <c r="N7" s="1459"/>
      <c r="O7" s="1459"/>
      <c r="P7" s="1459"/>
    </row>
    <row r="8" spans="1:17" x14ac:dyDescent="0.35">
      <c r="A8" s="370" t="s">
        <v>522</v>
      </c>
      <c r="B8" s="370"/>
      <c r="C8" s="370"/>
      <c r="D8" s="1051"/>
      <c r="E8" s="370"/>
      <c r="F8" s="370"/>
      <c r="G8" s="370"/>
      <c r="H8" s="370"/>
      <c r="I8" s="370"/>
      <c r="J8" s="370"/>
      <c r="K8" s="370"/>
      <c r="L8" s="370"/>
      <c r="M8" s="370"/>
      <c r="N8" s="370"/>
      <c r="O8" s="370"/>
      <c r="P8" s="370"/>
    </row>
    <row r="9" spans="1:17" x14ac:dyDescent="0.35">
      <c r="A9" s="249"/>
      <c r="B9" s="249"/>
      <c r="C9" s="249"/>
      <c r="D9" s="974"/>
      <c r="E9" s="249"/>
      <c r="F9" s="249"/>
      <c r="G9" s="249"/>
      <c r="H9" s="249"/>
      <c r="I9" s="249"/>
      <c r="J9" s="249"/>
      <c r="K9" s="249"/>
      <c r="L9" s="249"/>
      <c r="M9" s="249"/>
      <c r="N9" s="249"/>
      <c r="O9" s="249"/>
      <c r="P9" s="249"/>
    </row>
    <row r="10" spans="1:17" x14ac:dyDescent="0.35">
      <c r="A10" s="249"/>
      <c r="B10" s="249"/>
      <c r="C10" s="249"/>
      <c r="D10" s="974"/>
      <c r="E10" s="249"/>
      <c r="F10" s="249"/>
      <c r="G10" s="249"/>
      <c r="H10" s="249"/>
      <c r="I10" s="249"/>
      <c r="J10" s="249"/>
      <c r="K10" s="249"/>
      <c r="L10" s="249"/>
      <c r="M10" s="249"/>
      <c r="N10" s="249"/>
      <c r="O10" s="1460" t="s">
        <v>311</v>
      </c>
      <c r="P10" s="1460"/>
    </row>
    <row r="11" spans="1:17" x14ac:dyDescent="0.35">
      <c r="A11" s="249"/>
      <c r="B11" s="249"/>
      <c r="C11" s="744"/>
      <c r="D11" s="270"/>
      <c r="E11" s="744"/>
      <c r="F11" s="744"/>
      <c r="G11" s="744"/>
      <c r="H11" s="744"/>
      <c r="I11" s="744"/>
      <c r="J11" s="744"/>
      <c r="K11" s="744"/>
      <c r="L11" s="744"/>
      <c r="M11" s="744"/>
      <c r="N11" s="744"/>
      <c r="O11" s="1050" t="s">
        <v>523</v>
      </c>
      <c r="P11" s="1050" t="s">
        <v>523</v>
      </c>
    </row>
    <row r="12" spans="1:17" x14ac:dyDescent="0.35">
      <c r="A12" s="370"/>
      <c r="B12" s="370"/>
      <c r="C12" s="370"/>
      <c r="D12" s="1051">
        <v>2020</v>
      </c>
      <c r="E12" s="1051">
        <v>2021</v>
      </c>
      <c r="F12" s="1051">
        <v>2022</v>
      </c>
      <c r="G12" s="1051">
        <v>2023</v>
      </c>
      <c r="H12" s="1051">
        <v>2024</v>
      </c>
      <c r="I12" s="1051">
        <v>2025</v>
      </c>
      <c r="J12" s="1051">
        <v>2026</v>
      </c>
      <c r="K12" s="1051">
        <v>2027</v>
      </c>
      <c r="L12" s="1051">
        <v>2028</v>
      </c>
      <c r="M12" s="1051">
        <v>2029</v>
      </c>
      <c r="N12" s="1051">
        <v>2030</v>
      </c>
      <c r="O12" s="764">
        <v>2025</v>
      </c>
      <c r="P12" s="764">
        <v>2030</v>
      </c>
    </row>
    <row r="13" spans="1:17" x14ac:dyDescent="0.35">
      <c r="A13" s="744" t="s">
        <v>524</v>
      </c>
      <c r="B13" s="744"/>
      <c r="C13" s="744"/>
      <c r="D13" s="1055">
        <v>540.56299999999999</v>
      </c>
      <c r="E13" s="1055">
        <v>0</v>
      </c>
      <c r="F13" s="1055">
        <v>0</v>
      </c>
      <c r="G13" s="1055">
        <v>0</v>
      </c>
      <c r="H13" s="1055">
        <v>0</v>
      </c>
      <c r="I13" s="1055">
        <v>0</v>
      </c>
      <c r="J13" s="1055">
        <v>0</v>
      </c>
      <c r="K13" s="1055">
        <v>0</v>
      </c>
      <c r="L13" s="1055">
        <v>0</v>
      </c>
      <c r="M13" s="1055">
        <v>0</v>
      </c>
      <c r="N13" s="1055">
        <v>0</v>
      </c>
      <c r="O13" s="1055">
        <v>0</v>
      </c>
      <c r="P13" s="1055">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9"/>
      <c r="B34" s="1049"/>
      <c r="C34" s="1049" t="s">
        <v>311</v>
      </c>
      <c r="D34" s="1056">
        <v>1777.13</v>
      </c>
      <c r="E34" s="1056">
        <v>307.48399999999998</v>
      </c>
      <c r="F34" s="1056">
        <v>99.084999999999994</v>
      </c>
      <c r="G34" s="1056">
        <v>20.696999999999999</v>
      </c>
      <c r="H34" s="1056">
        <v>10.087999999999999</v>
      </c>
      <c r="I34" s="1056">
        <v>6.1630000000000003</v>
      </c>
      <c r="J34" s="1056">
        <v>4.7300000000000004</v>
      </c>
      <c r="K34" s="1056">
        <v>4.415</v>
      </c>
      <c r="L34" s="1056">
        <v>4.468</v>
      </c>
      <c r="M34" s="1056">
        <v>14.403</v>
      </c>
      <c r="N34" s="1056">
        <v>-31.518000000000001</v>
      </c>
      <c r="O34" s="1056">
        <v>443.517</v>
      </c>
      <c r="P34" s="1056">
        <v>440.01499999999999</v>
      </c>
    </row>
    <row r="35" spans="1:16" x14ac:dyDescent="0.35">
      <c r="A35" s="249"/>
      <c r="B35" s="249"/>
      <c r="C35" s="249"/>
      <c r="D35" s="1048"/>
      <c r="E35" s="502"/>
      <c r="F35" s="744"/>
      <c r="G35" s="744"/>
      <c r="H35" s="744"/>
      <c r="I35" s="744"/>
      <c r="J35" s="744"/>
      <c r="K35" s="744"/>
      <c r="L35" s="744"/>
      <c r="M35" s="744"/>
      <c r="N35" s="744"/>
      <c r="O35" s="744"/>
      <c r="P35" s="744"/>
    </row>
    <row r="36" spans="1:16" x14ac:dyDescent="0.35">
      <c r="A36" s="1052" t="s">
        <v>547</v>
      </c>
      <c r="B36" s="1052"/>
      <c r="C36" s="1052"/>
      <c r="D36" s="1053"/>
      <c r="E36" s="1052"/>
      <c r="F36" s="1052"/>
      <c r="G36" s="1052"/>
      <c r="H36" s="1052"/>
      <c r="I36" s="1052"/>
      <c r="J36" s="1052"/>
      <c r="K36" s="1052"/>
      <c r="L36" s="1052"/>
      <c r="M36" s="1052"/>
      <c r="N36" s="1052"/>
      <c r="O36" s="1052"/>
      <c r="P36" s="1052"/>
    </row>
    <row r="37" spans="1:16" x14ac:dyDescent="0.35">
      <c r="A37" s="1052"/>
      <c r="B37" s="1052"/>
      <c r="C37" s="1052"/>
      <c r="D37" s="1053"/>
      <c r="E37" s="1052"/>
      <c r="F37" s="1052"/>
      <c r="G37" s="1052"/>
      <c r="H37" s="1052"/>
      <c r="I37" s="1052"/>
      <c r="J37" s="1052"/>
      <c r="K37" s="1052"/>
      <c r="L37" s="1052"/>
      <c r="M37" s="1052"/>
      <c r="N37" s="1052"/>
      <c r="O37" s="1052"/>
      <c r="P37" s="1052"/>
    </row>
    <row r="38" spans="1:16" x14ac:dyDescent="0.35">
      <c r="A38" s="1463" t="s">
        <v>548</v>
      </c>
      <c r="B38" s="1463"/>
      <c r="C38" s="1463"/>
      <c r="D38" s="1463"/>
      <c r="E38" s="1463"/>
      <c r="F38" s="1463"/>
      <c r="G38" s="1463"/>
      <c r="H38" s="1463"/>
      <c r="I38" s="1463"/>
      <c r="J38" s="1463"/>
      <c r="K38" s="1463"/>
      <c r="L38" s="1463"/>
      <c r="M38" s="1463"/>
      <c r="N38" s="1463"/>
      <c r="O38" s="1463"/>
      <c r="P38" s="1463"/>
    </row>
    <row r="39" spans="1:16" x14ac:dyDescent="0.35">
      <c r="A39" s="1463"/>
      <c r="B39" s="1463"/>
      <c r="C39" s="1463"/>
      <c r="D39" s="1463"/>
      <c r="E39" s="1463"/>
      <c r="F39" s="1463"/>
      <c r="G39" s="1463"/>
      <c r="H39" s="1463"/>
      <c r="I39" s="1463"/>
      <c r="J39" s="1463"/>
      <c r="K39" s="1463"/>
      <c r="L39" s="1463"/>
      <c r="M39" s="1463"/>
      <c r="N39" s="1463"/>
      <c r="O39" s="1463"/>
      <c r="P39" s="1463"/>
    </row>
    <row r="40" spans="1:16" x14ac:dyDescent="0.35">
      <c r="A40" s="1463"/>
      <c r="B40" s="1463"/>
      <c r="C40" s="1463"/>
      <c r="D40" s="1463"/>
      <c r="E40" s="1463"/>
      <c r="F40" s="1463"/>
      <c r="G40" s="1463"/>
      <c r="H40" s="1463"/>
      <c r="I40" s="1463"/>
      <c r="J40" s="1463"/>
      <c r="K40" s="1463"/>
      <c r="L40" s="1463"/>
      <c r="M40" s="1463"/>
      <c r="N40" s="1463"/>
      <c r="O40" s="1463"/>
      <c r="P40" s="1463"/>
    </row>
    <row r="41" spans="1:16" x14ac:dyDescent="0.35">
      <c r="A41" s="1463"/>
      <c r="B41" s="1463"/>
      <c r="C41" s="1463"/>
      <c r="D41" s="1463"/>
      <c r="E41" s="1463"/>
      <c r="F41" s="1463"/>
      <c r="G41" s="1463"/>
      <c r="H41" s="1463"/>
      <c r="I41" s="1463"/>
      <c r="J41" s="1463"/>
      <c r="K41" s="1463"/>
      <c r="L41" s="1463"/>
      <c r="M41" s="1463"/>
      <c r="N41" s="1463"/>
      <c r="O41" s="1463"/>
      <c r="P41" s="1463"/>
    </row>
    <row r="42" spans="1:16" x14ac:dyDescent="0.35">
      <c r="A42" s="1463"/>
      <c r="B42" s="1463"/>
      <c r="C42" s="1463"/>
      <c r="D42" s="1463"/>
      <c r="E42" s="1463"/>
      <c r="F42" s="1463"/>
      <c r="G42" s="1463"/>
      <c r="H42" s="1463"/>
      <c r="I42" s="1463"/>
      <c r="J42" s="1463"/>
      <c r="K42" s="1463"/>
      <c r="L42" s="1463"/>
      <c r="M42" s="1463"/>
      <c r="N42" s="1463"/>
      <c r="O42" s="1463"/>
      <c r="P42" s="1463"/>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49" t="s">
        <v>549</v>
      </c>
      <c r="B44" s="1349"/>
      <c r="C44" s="1349"/>
      <c r="D44" s="1349"/>
      <c r="E44" s="1349"/>
      <c r="F44" s="1349"/>
      <c r="G44" s="1349"/>
      <c r="H44" s="1349"/>
      <c r="I44" s="1349"/>
      <c r="J44" s="1349"/>
      <c r="K44" s="1349"/>
      <c r="L44" s="1349"/>
      <c r="M44" s="1349"/>
      <c r="N44" s="1349"/>
      <c r="O44" s="1349"/>
      <c r="P44" s="1349"/>
    </row>
    <row r="45" spans="1:16" x14ac:dyDescent="0.35">
      <c r="A45" s="1349"/>
      <c r="B45" s="1349"/>
      <c r="C45" s="1349"/>
      <c r="D45" s="1349"/>
      <c r="E45" s="1349"/>
      <c r="F45" s="1349"/>
      <c r="G45" s="1349"/>
      <c r="H45" s="1349"/>
      <c r="I45" s="1349"/>
      <c r="J45" s="1349"/>
      <c r="K45" s="1349"/>
      <c r="L45" s="1349"/>
      <c r="M45" s="1349"/>
      <c r="N45" s="1349"/>
      <c r="O45" s="1349"/>
      <c r="P45" s="1349"/>
    </row>
    <row r="46" spans="1:16" x14ac:dyDescent="0.35">
      <c r="A46" s="1349"/>
      <c r="B46" s="1349"/>
      <c r="C46" s="1349"/>
      <c r="D46" s="1349"/>
      <c r="E46" s="1349"/>
      <c r="F46" s="1349"/>
      <c r="G46" s="1349"/>
      <c r="H46" s="1349"/>
      <c r="I46" s="1349"/>
      <c r="J46" s="1349"/>
      <c r="K46" s="1349"/>
      <c r="L46" s="1349"/>
      <c r="M46" s="1349"/>
      <c r="N46" s="1349"/>
      <c r="O46" s="1349"/>
      <c r="P46" s="1349"/>
    </row>
    <row r="47" spans="1:16" x14ac:dyDescent="0.35">
      <c r="A47" s="1052"/>
      <c r="B47" s="1052"/>
      <c r="C47" s="1052"/>
      <c r="D47" s="1053"/>
      <c r="E47" s="1052"/>
      <c r="F47" s="1052"/>
      <c r="G47" s="1052"/>
      <c r="H47" s="1052"/>
      <c r="I47" s="1052"/>
      <c r="J47" s="1052"/>
      <c r="K47" s="1052"/>
      <c r="L47" s="1052"/>
      <c r="M47" s="1052"/>
      <c r="N47" s="1052"/>
      <c r="O47" s="1052"/>
      <c r="P47" s="1052"/>
    </row>
    <row r="48" spans="1:16" x14ac:dyDescent="0.35">
      <c r="A48" s="1461" t="s">
        <v>550</v>
      </c>
      <c r="B48" s="1462"/>
      <c r="C48" s="1462"/>
      <c r="D48" s="1462"/>
      <c r="E48" s="1462"/>
      <c r="F48" s="1462"/>
      <c r="G48" s="1462"/>
      <c r="H48" s="1462"/>
      <c r="I48" s="1462"/>
      <c r="J48" s="1462"/>
      <c r="K48" s="1462"/>
      <c r="L48" s="1462"/>
      <c r="M48" s="1462"/>
      <c r="N48" s="1462"/>
      <c r="O48" s="1462"/>
      <c r="P48" s="1462"/>
    </row>
    <row r="49" spans="1:16" x14ac:dyDescent="0.35">
      <c r="A49" s="1462"/>
      <c r="B49" s="1462"/>
      <c r="C49" s="1462"/>
      <c r="D49" s="1462"/>
      <c r="E49" s="1462"/>
      <c r="F49" s="1462"/>
      <c r="G49" s="1462"/>
      <c r="H49" s="1462"/>
      <c r="I49" s="1462"/>
      <c r="J49" s="1462"/>
      <c r="K49" s="1462"/>
      <c r="L49" s="1462"/>
      <c r="M49" s="1462"/>
      <c r="N49" s="1462"/>
      <c r="O49" s="1462"/>
      <c r="P49" s="1462"/>
    </row>
    <row r="50" spans="1:16" x14ac:dyDescent="0.35">
      <c r="A50" s="1052"/>
      <c r="B50" s="1052"/>
      <c r="C50" s="1052"/>
      <c r="D50" s="1053"/>
      <c r="E50" s="1052"/>
      <c r="F50" s="1052"/>
      <c r="G50" s="1052"/>
      <c r="H50" s="1052"/>
      <c r="I50" s="1052"/>
      <c r="J50" s="1052"/>
      <c r="K50" s="1052"/>
      <c r="L50" s="1052"/>
      <c r="M50" s="1052"/>
      <c r="N50" s="1052"/>
      <c r="O50" s="1052"/>
      <c r="P50" s="1052"/>
    </row>
    <row r="51" spans="1:16" x14ac:dyDescent="0.35">
      <c r="A51" s="1457" t="s">
        <v>551</v>
      </c>
      <c r="B51" s="1457"/>
      <c r="C51" s="1457"/>
      <c r="D51" s="1457"/>
      <c r="E51" s="1457"/>
      <c r="F51" s="1457"/>
      <c r="G51" s="1457"/>
      <c r="H51" s="1457"/>
      <c r="I51" s="1457"/>
      <c r="J51" s="1457"/>
      <c r="K51" s="1457"/>
      <c r="L51" s="1457"/>
      <c r="M51" s="1457"/>
      <c r="N51" s="1457"/>
      <c r="O51" s="1457"/>
      <c r="P51" s="1457"/>
    </row>
    <row r="52" spans="1:16" x14ac:dyDescent="0.35">
      <c r="A52" s="1457"/>
      <c r="B52" s="1457"/>
      <c r="C52" s="1457"/>
      <c r="D52" s="1457"/>
      <c r="E52" s="1457"/>
      <c r="F52" s="1457"/>
      <c r="G52" s="1457"/>
      <c r="H52" s="1457"/>
      <c r="I52" s="1457"/>
      <c r="J52" s="1457"/>
      <c r="K52" s="1457"/>
      <c r="L52" s="1457"/>
      <c r="M52" s="1457"/>
      <c r="N52" s="1457"/>
      <c r="O52" s="1457"/>
      <c r="P52" s="1457"/>
    </row>
    <row r="53" spans="1:16" x14ac:dyDescent="0.35">
      <c r="A53" s="1457"/>
      <c r="B53" s="1457"/>
      <c r="C53" s="1457"/>
      <c r="D53" s="1457"/>
      <c r="E53" s="1457"/>
      <c r="F53" s="1457"/>
      <c r="G53" s="1457"/>
      <c r="H53" s="1457"/>
      <c r="I53" s="1457"/>
      <c r="J53" s="1457"/>
      <c r="K53" s="1457"/>
      <c r="L53" s="1457"/>
      <c r="M53" s="1457"/>
      <c r="N53" s="1457"/>
      <c r="O53" s="1457"/>
      <c r="P53" s="1457"/>
    </row>
    <row r="54" spans="1:16" x14ac:dyDescent="0.35">
      <c r="A54" s="1054"/>
      <c r="B54" s="1054"/>
      <c r="C54" s="1054"/>
      <c r="D54" s="1045"/>
      <c r="E54" s="1054"/>
      <c r="F54" s="1054"/>
      <c r="G54" s="1054"/>
      <c r="H54" s="1054"/>
      <c r="I54" s="1054"/>
      <c r="J54" s="1054"/>
      <c r="K54" s="1054"/>
      <c r="L54" s="1054"/>
      <c r="M54" s="1054"/>
      <c r="N54" s="1054"/>
      <c r="O54" s="1054"/>
      <c r="P54" s="1054"/>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topLeftCell="A15" workbookViewId="0">
      <selection activeCell="A26" sqref="A26"/>
    </sheetView>
  </sheetViews>
  <sheetFormatPr defaultColWidth="10.90625" defaultRowHeight="14.5" x14ac:dyDescent="0.35"/>
  <cols>
    <col min="1" max="1" width="36" customWidth="1"/>
    <col min="2" max="2" width="15.54296875" customWidth="1"/>
    <col min="3" max="19" width="10.7265625" customWidth="1"/>
    <col min="20" max="20" width="125.81640625" customWidth="1"/>
  </cols>
  <sheetData>
    <row r="1" spans="1:19" x14ac:dyDescent="0.35">
      <c r="A1" s="153" t="s">
        <v>1380</v>
      </c>
      <c r="D1" s="1135">
        <v>2022</v>
      </c>
      <c r="E1" s="1135">
        <v>2023</v>
      </c>
      <c r="F1" s="1135">
        <v>2024</v>
      </c>
      <c r="G1" s="1135">
        <v>2025</v>
      </c>
      <c r="H1" s="1135">
        <v>2026</v>
      </c>
      <c r="I1" s="1135">
        <v>2027</v>
      </c>
      <c r="J1" s="1135">
        <v>2028</v>
      </c>
      <c r="K1" s="1135">
        <v>2029</v>
      </c>
      <c r="L1" s="1135">
        <v>2030</v>
      </c>
      <c r="M1" s="1136">
        <v>2031</v>
      </c>
      <c r="N1" s="1137" t="s">
        <v>1182</v>
      </c>
      <c r="O1" s="1137" t="s">
        <v>1183</v>
      </c>
      <c r="P1" s="1122"/>
      <c r="Q1" s="1122"/>
      <c r="R1" s="1122"/>
      <c r="S1" s="1122"/>
    </row>
    <row r="2" spans="1:19" x14ac:dyDescent="0.35">
      <c r="C2" s="1464" t="s">
        <v>1381</v>
      </c>
      <c r="D2" s="1464"/>
      <c r="E2" s="1464"/>
      <c r="F2" s="1464"/>
      <c r="G2" s="1464"/>
      <c r="H2" s="1464"/>
      <c r="I2" s="1464"/>
      <c r="J2" s="1464"/>
      <c r="K2" s="1464"/>
      <c r="L2" s="1464"/>
      <c r="M2" s="1464"/>
      <c r="N2" s="1464"/>
      <c r="O2" s="1464"/>
      <c r="P2" s="1121"/>
      <c r="Q2" s="1121"/>
      <c r="R2" s="1121"/>
      <c r="S2" s="1121"/>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5" t="s">
        <v>1391</v>
      </c>
      <c r="D42" s="1465"/>
      <c r="E42" s="1465"/>
      <c r="F42" s="1465"/>
      <c r="G42" s="1465"/>
      <c r="H42" s="1465"/>
      <c r="I42" s="1465"/>
      <c r="J42" s="1465"/>
      <c r="K42" s="1465"/>
      <c r="L42" s="1465"/>
      <c r="M42" s="1465"/>
      <c r="N42" s="1465"/>
      <c r="O42" s="1465"/>
      <c r="P42" s="1121"/>
      <c r="Q42" s="1121"/>
      <c r="R42" s="1121"/>
      <c r="S42" s="1121"/>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8" t="s">
        <v>1412</v>
      </c>
      <c r="B60" s="1139">
        <v>10301</v>
      </c>
      <c r="C60" s="1139" t="s">
        <v>239</v>
      </c>
      <c r="D60" s="1139">
        <v>0</v>
      </c>
      <c r="E60" s="1140">
        <v>2012</v>
      </c>
      <c r="F60" s="1140">
        <v>5106</v>
      </c>
      <c r="G60" s="1140">
        <v>11125</v>
      </c>
      <c r="H60" s="1140">
        <v>16116</v>
      </c>
      <c r="I60" s="1140">
        <v>21716</v>
      </c>
      <c r="J60" s="1140">
        <v>26314</v>
      </c>
      <c r="K60" s="1140">
        <v>31218</v>
      </c>
      <c r="L60" s="1140">
        <v>34877</v>
      </c>
      <c r="M60" s="1140">
        <v>31904</v>
      </c>
      <c r="N60" s="1140">
        <v>34359</v>
      </c>
      <c r="O60" s="1141">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2">
        <v>2022</v>
      </c>
      <c r="E67" s="1142">
        <v>2023</v>
      </c>
      <c r="F67" s="1142">
        <v>2024</v>
      </c>
      <c r="G67" s="1142">
        <v>2025</v>
      </c>
      <c r="H67" s="1142">
        <v>2026</v>
      </c>
      <c r="I67" s="1142">
        <v>2027</v>
      </c>
      <c r="J67" s="1142">
        <v>2028</v>
      </c>
      <c r="K67" s="1142">
        <v>2029</v>
      </c>
      <c r="L67" s="1142">
        <v>2030</v>
      </c>
      <c r="M67" s="1143">
        <v>2031</v>
      </c>
      <c r="N67" s="1122" t="s">
        <v>1362</v>
      </c>
      <c r="O67" s="1144" t="s">
        <v>1363</v>
      </c>
      <c r="P67" s="1122"/>
      <c r="Q67" s="1122"/>
      <c r="R67" s="1122"/>
      <c r="S67" s="1122"/>
    </row>
    <row r="68" spans="3:19" x14ac:dyDescent="0.35">
      <c r="C68" s="1466" t="s">
        <v>1421</v>
      </c>
      <c r="D68" s="1467"/>
      <c r="E68" s="1467"/>
      <c r="F68" s="1467"/>
      <c r="G68" s="1467"/>
      <c r="H68" s="1467"/>
      <c r="I68" s="1467"/>
      <c r="J68" s="1467"/>
      <c r="K68" s="1467"/>
      <c r="L68" s="1467"/>
      <c r="M68" s="1467"/>
      <c r="N68" s="1467"/>
      <c r="O68" s="1468"/>
      <c r="P68" s="1121"/>
      <c r="Q68" s="1121"/>
      <c r="R68" s="1121"/>
      <c r="S68" s="1121"/>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6" t="s">
        <v>1422</v>
      </c>
      <c r="D75" s="1467"/>
      <c r="E75" s="1467"/>
      <c r="F75" s="1467"/>
      <c r="G75" s="1467"/>
      <c r="H75" s="1467"/>
      <c r="I75" s="1467"/>
      <c r="J75" s="1467"/>
      <c r="K75" s="1467"/>
      <c r="L75" s="1467"/>
      <c r="M75" s="1467"/>
      <c r="N75" s="1467"/>
      <c r="O75" s="1468"/>
      <c r="P75" s="1121"/>
      <c r="Q75" s="1121"/>
      <c r="R75" s="1121"/>
      <c r="S75" s="1121"/>
    </row>
    <row r="76" spans="3:19" x14ac:dyDescent="0.35">
      <c r="C76" s="67" t="s">
        <v>384</v>
      </c>
      <c r="D76" s="56">
        <v>0</v>
      </c>
      <c r="E76" s="56">
        <v>596</v>
      </c>
      <c r="F76" s="56">
        <v>1406</v>
      </c>
      <c r="G76" s="56">
        <v>1885</v>
      </c>
      <c r="H76" s="56">
        <v>2113</v>
      </c>
      <c r="I76" s="56">
        <v>2058</v>
      </c>
      <c r="J76" s="56">
        <v>1745</v>
      </c>
      <c r="K76" s="56">
        <v>1369</v>
      </c>
      <c r="L76" s="56">
        <v>970</v>
      </c>
      <c r="M76" s="56">
        <v>369</v>
      </c>
      <c r="N76" s="893">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6" t="s">
        <v>1391</v>
      </c>
      <c r="D82" s="1467"/>
      <c r="E82" s="1467"/>
      <c r="F82" s="1467"/>
      <c r="G82" s="1467"/>
      <c r="H82" s="1467"/>
      <c r="I82" s="1467"/>
      <c r="J82" s="1467"/>
      <c r="K82" s="1467"/>
      <c r="L82" s="1467"/>
      <c r="M82" s="1467"/>
      <c r="N82" s="1467"/>
      <c r="O82" s="1468"/>
      <c r="P82" s="1121"/>
      <c r="Q82" s="1121"/>
      <c r="R82" s="1121"/>
      <c r="S82" s="1121"/>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7" t="s">
        <v>1180</v>
      </c>
      <c r="B88" s="1058" t="s">
        <v>1181</v>
      </c>
      <c r="C88" s="1059">
        <v>2022</v>
      </c>
      <c r="D88" s="1059">
        <v>2023</v>
      </c>
      <c r="E88" s="1059">
        <v>2024</v>
      </c>
      <c r="F88" s="1059">
        <v>2025</v>
      </c>
      <c r="G88" s="1059">
        <v>2026</v>
      </c>
      <c r="H88" s="1059">
        <v>2027</v>
      </c>
      <c r="I88" s="1059">
        <v>2028</v>
      </c>
      <c r="J88" s="1059">
        <v>2029</v>
      </c>
      <c r="K88" s="1059">
        <v>2030</v>
      </c>
      <c r="L88" s="1059">
        <v>2031</v>
      </c>
      <c r="M88" s="1060" t="s">
        <v>1182</v>
      </c>
      <c r="N88" s="1060" t="s">
        <v>1183</v>
      </c>
      <c r="O88" s="1061" t="s">
        <v>1184</v>
      </c>
      <c r="P88" s="1061"/>
      <c r="Q88" s="1061"/>
      <c r="R88" s="1061"/>
      <c r="S88" s="1061"/>
      <c r="T88" s="1062" t="s">
        <v>1185</v>
      </c>
    </row>
    <row r="89" spans="1:20" x14ac:dyDescent="0.35">
      <c r="A89" s="1063" t="s">
        <v>1186</v>
      </c>
      <c r="B89" s="1064" t="s">
        <v>1187</v>
      </c>
      <c r="C89" s="1065">
        <v>0</v>
      </c>
      <c r="D89" s="1065">
        <v>3</v>
      </c>
      <c r="E89" s="1065">
        <v>3</v>
      </c>
      <c r="F89" s="1065">
        <v>3</v>
      </c>
      <c r="G89" s="1065">
        <v>3</v>
      </c>
      <c r="H89" s="1065">
        <v>1</v>
      </c>
      <c r="I89" s="1065">
        <v>0</v>
      </c>
      <c r="J89" s="1065">
        <v>0</v>
      </c>
      <c r="K89" s="1065">
        <v>0</v>
      </c>
      <c r="L89" s="1065">
        <v>0</v>
      </c>
      <c r="M89" s="1065">
        <v>12</v>
      </c>
      <c r="N89" s="1065">
        <v>13</v>
      </c>
      <c r="O89" s="1066" t="s">
        <v>1188</v>
      </c>
      <c r="P89" s="1066"/>
      <c r="Q89" s="1066"/>
      <c r="R89" s="1066"/>
      <c r="S89" s="1066"/>
      <c r="T89" s="1067"/>
    </row>
    <row r="90" spans="1:20" ht="24" customHeight="1" x14ac:dyDescent="0.35">
      <c r="A90" s="1063" t="s">
        <v>1189</v>
      </c>
      <c r="B90" s="1064" t="s">
        <v>1190</v>
      </c>
      <c r="C90" s="1065">
        <v>0</v>
      </c>
      <c r="D90" s="1065">
        <v>65</v>
      </c>
      <c r="E90" s="1065">
        <v>1360</v>
      </c>
      <c r="F90" s="1065">
        <v>2430</v>
      </c>
      <c r="G90" s="1065">
        <v>2800</v>
      </c>
      <c r="H90" s="1065">
        <v>1740</v>
      </c>
      <c r="I90" s="1065">
        <v>570</v>
      </c>
      <c r="J90" s="1065">
        <v>35</v>
      </c>
      <c r="K90" s="1065">
        <v>0</v>
      </c>
      <c r="L90" s="1065">
        <v>0</v>
      </c>
      <c r="M90" s="1065">
        <v>6655</v>
      </c>
      <c r="N90" s="1065">
        <v>9000</v>
      </c>
      <c r="O90" s="1066" t="s">
        <v>1188</v>
      </c>
      <c r="P90" s="1066"/>
      <c r="Q90" s="1066"/>
      <c r="R90" s="1066"/>
      <c r="S90" s="1066"/>
      <c r="T90" s="1068"/>
    </row>
    <row r="91" spans="1:20" x14ac:dyDescent="0.35">
      <c r="A91" s="1069" t="s">
        <v>1191</v>
      </c>
      <c r="B91" s="1070" t="s">
        <v>1192</v>
      </c>
      <c r="C91" s="1071">
        <v>0</v>
      </c>
      <c r="D91" s="1071">
        <v>0</v>
      </c>
      <c r="E91" s="1071">
        <v>601</v>
      </c>
      <c r="F91" s="1072">
        <v>1038</v>
      </c>
      <c r="G91" s="1072">
        <v>1251</v>
      </c>
      <c r="H91" s="1072">
        <v>1431</v>
      </c>
      <c r="I91" s="1072">
        <v>1492</v>
      </c>
      <c r="J91" s="1072">
        <v>1530</v>
      </c>
      <c r="K91" s="1072">
        <v>1567</v>
      </c>
      <c r="L91" s="1072">
        <v>1606</v>
      </c>
      <c r="M91" s="1072">
        <v>2890</v>
      </c>
      <c r="N91" s="1072">
        <v>10516</v>
      </c>
      <c r="O91" s="1073" t="s">
        <v>1193</v>
      </c>
      <c r="P91" s="1073"/>
      <c r="Q91" s="1073"/>
      <c r="R91" s="1073"/>
      <c r="S91" s="1073"/>
      <c r="T91" s="1074"/>
    </row>
    <row r="92" spans="1:20" x14ac:dyDescent="0.35">
      <c r="A92" s="1075" t="s">
        <v>1194</v>
      </c>
      <c r="B92" s="1076" t="s">
        <v>1195</v>
      </c>
      <c r="C92" s="1142">
        <v>0</v>
      </c>
      <c r="D92" s="1142">
        <v>30</v>
      </c>
      <c r="E92" s="1142">
        <v>120</v>
      </c>
      <c r="F92" s="1142">
        <v>165</v>
      </c>
      <c r="G92" s="1142">
        <v>370</v>
      </c>
      <c r="H92" s="1142">
        <v>470</v>
      </c>
      <c r="I92" s="1142">
        <v>420</v>
      </c>
      <c r="J92" s="1142">
        <v>285</v>
      </c>
      <c r="K92" s="1142">
        <v>220</v>
      </c>
      <c r="L92" s="1143">
        <v>65</v>
      </c>
      <c r="M92" s="1142">
        <v>685</v>
      </c>
      <c r="N92" s="1077">
        <v>2145</v>
      </c>
      <c r="O92" s="1078" t="s">
        <v>1196</v>
      </c>
      <c r="P92" s="1123"/>
      <c r="Q92" s="1123"/>
      <c r="R92" s="1123"/>
      <c r="S92" s="1123"/>
      <c r="T92" s="1079" t="s">
        <v>1197</v>
      </c>
    </row>
    <row r="93" spans="1:20" x14ac:dyDescent="0.35">
      <c r="A93" s="1063" t="s">
        <v>1198</v>
      </c>
      <c r="B93" s="1064" t="s">
        <v>1199</v>
      </c>
      <c r="C93" s="1065">
        <v>0</v>
      </c>
      <c r="D93" s="1065">
        <v>2</v>
      </c>
      <c r="E93" s="1065">
        <v>10</v>
      </c>
      <c r="F93" s="1065">
        <v>25</v>
      </c>
      <c r="G93" s="1065">
        <v>28</v>
      </c>
      <c r="H93" s="1065">
        <v>17</v>
      </c>
      <c r="I93" s="1065">
        <v>11</v>
      </c>
      <c r="J93" s="1065">
        <v>4</v>
      </c>
      <c r="K93" s="1065">
        <v>2</v>
      </c>
      <c r="L93" s="1065">
        <v>1</v>
      </c>
      <c r="M93" s="1065">
        <v>65</v>
      </c>
      <c r="N93" s="1065">
        <v>100</v>
      </c>
      <c r="O93" s="1066" t="s">
        <v>1196</v>
      </c>
      <c r="P93" s="1066"/>
      <c r="Q93" s="1066"/>
      <c r="R93" s="1066"/>
      <c r="S93" s="1066"/>
      <c r="T93" s="1067" t="s">
        <v>1200</v>
      </c>
    </row>
    <row r="94" spans="1:20" ht="24" customHeight="1" x14ac:dyDescent="0.35">
      <c r="A94" s="1080" t="s">
        <v>1201</v>
      </c>
      <c r="B94" s="1081" t="s">
        <v>1202</v>
      </c>
      <c r="C94" s="1065">
        <v>0</v>
      </c>
      <c r="D94" s="1065">
        <v>36</v>
      </c>
      <c r="E94" s="1065">
        <v>30</v>
      </c>
      <c r="F94" s="1065">
        <v>14</v>
      </c>
      <c r="G94" s="1065">
        <v>7</v>
      </c>
      <c r="H94" s="1065">
        <v>0</v>
      </c>
      <c r="I94" s="1065">
        <v>0</v>
      </c>
      <c r="J94" s="1065">
        <v>0</v>
      </c>
      <c r="K94" s="1065">
        <v>0</v>
      </c>
      <c r="L94" s="1065">
        <v>0</v>
      </c>
      <c r="M94" s="1065">
        <v>87</v>
      </c>
      <c r="N94" s="1065">
        <v>87</v>
      </c>
      <c r="O94" s="1066" t="s">
        <v>1196</v>
      </c>
      <c r="P94" s="1066"/>
      <c r="Q94" s="1066"/>
      <c r="R94" s="1066"/>
      <c r="S94" s="1066"/>
      <c r="T94" s="1067" t="s">
        <v>1203</v>
      </c>
    </row>
    <row r="95" spans="1:20" x14ac:dyDescent="0.35">
      <c r="A95" s="1063" t="s">
        <v>1204</v>
      </c>
      <c r="B95" s="1064" t="s">
        <v>1205</v>
      </c>
      <c r="C95" s="1065">
        <v>0</v>
      </c>
      <c r="D95" s="1082">
        <v>5240</v>
      </c>
      <c r="E95" s="1082">
        <v>4175</v>
      </c>
      <c r="F95" s="1082">
        <v>5215</v>
      </c>
      <c r="G95" s="1082">
        <v>6493</v>
      </c>
      <c r="H95" s="1082">
        <v>7982</v>
      </c>
      <c r="I95" s="1082">
        <v>9820</v>
      </c>
      <c r="J95" s="1082">
        <v>11813</v>
      </c>
      <c r="K95" s="1082">
        <v>14269</v>
      </c>
      <c r="L95" s="1082">
        <v>14605</v>
      </c>
      <c r="M95" s="1082">
        <v>21123</v>
      </c>
      <c r="N95" s="1082">
        <v>79612</v>
      </c>
      <c r="O95" s="1083" t="s">
        <v>1196</v>
      </c>
      <c r="P95" s="1083"/>
      <c r="Q95" s="1083"/>
      <c r="R95" s="1083"/>
      <c r="S95" s="1083"/>
      <c r="T95" s="1067"/>
    </row>
    <row r="96" spans="1:20" x14ac:dyDescent="0.35">
      <c r="A96" s="1063" t="s">
        <v>1206</v>
      </c>
      <c r="B96" s="1064" t="s">
        <v>1207</v>
      </c>
      <c r="C96" s="1084">
        <v>0</v>
      </c>
      <c r="D96" s="1084">
        <v>55</v>
      </c>
      <c r="E96" s="1084">
        <v>55</v>
      </c>
      <c r="F96" s="1084">
        <v>55</v>
      </c>
      <c r="G96" s="1084">
        <v>55</v>
      </c>
      <c r="H96" s="1084">
        <v>55</v>
      </c>
      <c r="I96" s="1084">
        <v>55</v>
      </c>
      <c r="J96" s="1084">
        <v>55</v>
      </c>
      <c r="K96" s="1084">
        <v>55</v>
      </c>
      <c r="L96" s="1084">
        <v>55</v>
      </c>
      <c r="M96" s="1084">
        <v>220</v>
      </c>
      <c r="N96" s="1084">
        <v>495</v>
      </c>
      <c r="O96" s="1085" t="s">
        <v>1196</v>
      </c>
      <c r="P96" s="1085"/>
      <c r="Q96" s="1085"/>
      <c r="R96" s="1085"/>
      <c r="S96" s="1085"/>
      <c r="T96" s="1068"/>
    </row>
    <row r="97" spans="1:20" x14ac:dyDescent="0.35">
      <c r="A97" s="1063" t="s">
        <v>1208</v>
      </c>
      <c r="B97" s="1064" t="s">
        <v>1209</v>
      </c>
      <c r="C97" s="1065">
        <v>0</v>
      </c>
      <c r="D97" s="1065">
        <v>19</v>
      </c>
      <c r="E97" s="1065">
        <v>26</v>
      </c>
      <c r="F97" s="1065">
        <v>27</v>
      </c>
      <c r="G97" s="1065">
        <v>17</v>
      </c>
      <c r="H97" s="1065">
        <v>7</v>
      </c>
      <c r="I97" s="1065">
        <v>3</v>
      </c>
      <c r="J97" s="1065">
        <v>1</v>
      </c>
      <c r="K97" s="1065">
        <v>0</v>
      </c>
      <c r="L97" s="1065">
        <v>0</v>
      </c>
      <c r="M97" s="1065">
        <v>89</v>
      </c>
      <c r="N97" s="1065">
        <v>100</v>
      </c>
      <c r="O97" s="1083" t="s">
        <v>1196</v>
      </c>
      <c r="P97" s="1083"/>
      <c r="Q97" s="1083"/>
      <c r="R97" s="1083"/>
      <c r="S97" s="1083"/>
      <c r="T97" s="1068"/>
    </row>
    <row r="98" spans="1:20" x14ac:dyDescent="0.35">
      <c r="A98" s="1063" t="s">
        <v>1210</v>
      </c>
      <c r="B98" s="1064" t="s">
        <v>1211</v>
      </c>
      <c r="C98" s="1065">
        <v>0</v>
      </c>
      <c r="D98" s="1065">
        <v>15</v>
      </c>
      <c r="E98" s="1065">
        <v>15</v>
      </c>
      <c r="F98" s="1065">
        <v>15</v>
      </c>
      <c r="G98" s="1065">
        <v>10</v>
      </c>
      <c r="H98" s="1065">
        <v>10</v>
      </c>
      <c r="I98" s="1065">
        <v>10</v>
      </c>
      <c r="J98" s="1065">
        <v>10</v>
      </c>
      <c r="K98" s="1065">
        <v>10</v>
      </c>
      <c r="L98" s="1065">
        <v>5</v>
      </c>
      <c r="M98" s="1065">
        <v>55</v>
      </c>
      <c r="N98" s="1065">
        <v>100</v>
      </c>
      <c r="O98" s="1066" t="s">
        <v>1196</v>
      </c>
      <c r="P98" s="1066"/>
      <c r="Q98" s="1066"/>
      <c r="R98" s="1066"/>
      <c r="S98" s="1066"/>
      <c r="T98" s="1068"/>
    </row>
    <row r="99" spans="1:20" ht="36" customHeight="1" x14ac:dyDescent="0.35">
      <c r="A99" s="1063" t="s">
        <v>1212</v>
      </c>
      <c r="B99" s="1064" t="s">
        <v>1213</v>
      </c>
      <c r="C99" s="1086">
        <v>0</v>
      </c>
      <c r="D99" s="1086">
        <v>22</v>
      </c>
      <c r="E99" s="1086">
        <v>96</v>
      </c>
      <c r="F99" s="1086">
        <v>170</v>
      </c>
      <c r="G99" s="1086">
        <v>213</v>
      </c>
      <c r="H99" s="1086">
        <v>160</v>
      </c>
      <c r="I99" s="1086">
        <v>47</v>
      </c>
      <c r="J99" s="1086">
        <v>2</v>
      </c>
      <c r="K99" s="1086">
        <v>0</v>
      </c>
      <c r="L99" s="1086">
        <v>0</v>
      </c>
      <c r="M99" s="1086">
        <v>501</v>
      </c>
      <c r="N99" s="1086">
        <v>710</v>
      </c>
      <c r="O99" s="1065" t="s">
        <v>1196</v>
      </c>
      <c r="P99" s="1065"/>
      <c r="Q99" s="1065"/>
      <c r="R99" s="1065"/>
      <c r="S99" s="1065"/>
      <c r="T99" s="1068"/>
    </row>
    <row r="100" spans="1:20" ht="36" customHeight="1" x14ac:dyDescent="0.35">
      <c r="A100" s="1063" t="s">
        <v>1214</v>
      </c>
      <c r="B100" s="1064" t="s">
        <v>1215</v>
      </c>
      <c r="C100" s="1087"/>
      <c r="D100" s="1087">
        <v>90</v>
      </c>
      <c r="E100" s="1087">
        <v>260</v>
      </c>
      <c r="F100" s="1087">
        <v>427</v>
      </c>
      <c r="G100" s="1087">
        <v>560</v>
      </c>
      <c r="H100" s="1087">
        <v>572</v>
      </c>
      <c r="I100" s="1087">
        <v>534</v>
      </c>
      <c r="J100" s="1087">
        <v>275</v>
      </c>
      <c r="K100" s="1087">
        <v>162</v>
      </c>
      <c r="L100" s="1087">
        <v>70</v>
      </c>
      <c r="M100" s="1087">
        <v>1347</v>
      </c>
      <c r="N100" s="1087">
        <v>2960</v>
      </c>
      <c r="O100" s="1088" t="s">
        <v>1196</v>
      </c>
      <c r="P100" s="1088"/>
      <c r="Q100" s="1088"/>
      <c r="R100" s="1088"/>
      <c r="S100" s="1088"/>
      <c r="T100" s="1068"/>
    </row>
    <row r="101" spans="1:20" x14ac:dyDescent="0.35">
      <c r="A101" s="1063" t="s">
        <v>1216</v>
      </c>
      <c r="B101" s="1064" t="s">
        <v>1217</v>
      </c>
      <c r="C101" s="1065">
        <v>0</v>
      </c>
      <c r="D101" s="1065">
        <v>40</v>
      </c>
      <c r="E101" s="1065">
        <v>60</v>
      </c>
      <c r="F101" s="1065">
        <v>52</v>
      </c>
      <c r="G101" s="1065">
        <v>40</v>
      </c>
      <c r="H101" s="1065">
        <v>27</v>
      </c>
      <c r="I101" s="1065">
        <v>19</v>
      </c>
      <c r="J101" s="1065">
        <v>10</v>
      </c>
      <c r="K101" s="1065">
        <v>2</v>
      </c>
      <c r="L101" s="1065">
        <v>0</v>
      </c>
      <c r="M101" s="1065">
        <v>192</v>
      </c>
      <c r="N101" s="1065">
        <v>250</v>
      </c>
      <c r="O101" s="1066" t="s">
        <v>1196</v>
      </c>
      <c r="P101" s="1066"/>
      <c r="Q101" s="1066"/>
      <c r="R101" s="1066"/>
      <c r="S101" s="1066"/>
      <c r="T101" s="1068"/>
    </row>
    <row r="102" spans="1:20" x14ac:dyDescent="0.35">
      <c r="A102" s="1080" t="s">
        <v>1218</v>
      </c>
      <c r="B102" s="1081" t="s">
        <v>1219</v>
      </c>
      <c r="C102" s="1065">
        <v>0</v>
      </c>
      <c r="D102" s="1065">
        <v>49</v>
      </c>
      <c r="E102" s="1065">
        <v>62</v>
      </c>
      <c r="F102" s="1065">
        <v>62</v>
      </c>
      <c r="G102" s="1065">
        <v>62</v>
      </c>
      <c r="H102" s="1065">
        <v>63</v>
      </c>
      <c r="I102" s="1065">
        <v>63</v>
      </c>
      <c r="J102" s="1065">
        <v>63</v>
      </c>
      <c r="K102" s="1065">
        <v>64</v>
      </c>
      <c r="L102" s="1065">
        <v>12</v>
      </c>
      <c r="M102" s="1065">
        <v>235</v>
      </c>
      <c r="N102" s="1065">
        <v>500</v>
      </c>
      <c r="O102" s="1066" t="s">
        <v>1196</v>
      </c>
      <c r="P102" s="1066"/>
      <c r="Q102" s="1066"/>
      <c r="R102" s="1066"/>
      <c r="S102" s="1066"/>
      <c r="T102" s="1068"/>
    </row>
    <row r="103" spans="1:20" x14ac:dyDescent="0.35">
      <c r="A103" s="1063" t="s">
        <v>1220</v>
      </c>
      <c r="B103" s="1064" t="s">
        <v>1221</v>
      </c>
      <c r="C103" s="1065">
        <v>0</v>
      </c>
      <c r="D103" s="1065">
        <v>0</v>
      </c>
      <c r="E103" s="1065">
        <v>0</v>
      </c>
      <c r="F103" s="1065">
        <v>0</v>
      </c>
      <c r="G103" s="1065">
        <v>-20</v>
      </c>
      <c r="H103" s="1065">
        <v>-28</v>
      </c>
      <c r="I103" s="1065">
        <v>-28</v>
      </c>
      <c r="J103" s="1065">
        <v>-28</v>
      </c>
      <c r="K103" s="1065">
        <v>-28</v>
      </c>
      <c r="L103" s="1065">
        <v>-28</v>
      </c>
      <c r="M103" s="1065">
        <v>-20</v>
      </c>
      <c r="N103" s="1065">
        <v>-160</v>
      </c>
      <c r="O103" s="1066" t="s">
        <v>1196</v>
      </c>
      <c r="P103" s="1066"/>
      <c r="Q103" s="1066"/>
      <c r="R103" s="1066"/>
      <c r="S103" s="1066"/>
      <c r="T103" s="1068"/>
    </row>
    <row r="104" spans="1:20" ht="24" customHeight="1" x14ac:dyDescent="0.35">
      <c r="A104" s="1063" t="s">
        <v>1222</v>
      </c>
      <c r="B104" s="1064" t="s">
        <v>1223</v>
      </c>
      <c r="C104" s="1065">
        <v>0</v>
      </c>
      <c r="D104" s="1065">
        <v>-235</v>
      </c>
      <c r="E104" s="1065">
        <v>-44</v>
      </c>
      <c r="F104" s="1065">
        <v>-22</v>
      </c>
      <c r="G104" s="1065">
        <v>-26</v>
      </c>
      <c r="H104" s="1065">
        <v>-23</v>
      </c>
      <c r="I104" s="1065">
        <v>-19</v>
      </c>
      <c r="J104" s="1065">
        <v>-41</v>
      </c>
      <c r="K104" s="1065">
        <v>-35</v>
      </c>
      <c r="L104" s="1065">
        <v>-39</v>
      </c>
      <c r="M104" s="1065">
        <v>-327</v>
      </c>
      <c r="N104" s="1065">
        <v>-484</v>
      </c>
      <c r="O104" s="1066" t="s">
        <v>1196</v>
      </c>
      <c r="P104" s="1066"/>
      <c r="Q104" s="1066"/>
      <c r="R104" s="1066"/>
      <c r="S104" s="1066"/>
      <c r="T104" s="1068"/>
    </row>
    <row r="105" spans="1:20" x14ac:dyDescent="0.35">
      <c r="A105" s="1063" t="s">
        <v>1224</v>
      </c>
      <c r="B105" s="1064" t="s">
        <v>1225</v>
      </c>
      <c r="C105" s="1065">
        <v>0</v>
      </c>
      <c r="D105" s="1065">
        <v>7</v>
      </c>
      <c r="E105" s="1065">
        <v>8</v>
      </c>
      <c r="F105" s="1065">
        <v>6</v>
      </c>
      <c r="G105" s="1065">
        <v>2</v>
      </c>
      <c r="H105" s="1065">
        <v>1</v>
      </c>
      <c r="I105" s="1065">
        <v>0</v>
      </c>
      <c r="J105" s="1065">
        <v>0</v>
      </c>
      <c r="K105" s="1065">
        <v>0</v>
      </c>
      <c r="L105" s="1065">
        <v>0</v>
      </c>
      <c r="M105" s="1065">
        <v>23</v>
      </c>
      <c r="N105" s="1065">
        <v>24</v>
      </c>
      <c r="O105" s="1066" t="s">
        <v>1196</v>
      </c>
      <c r="P105" s="1066"/>
      <c r="Q105" s="1066"/>
      <c r="R105" s="1066"/>
      <c r="S105" s="1066"/>
      <c r="T105" s="1068"/>
    </row>
    <row r="106" spans="1:20" ht="36" customHeight="1" x14ac:dyDescent="0.35">
      <c r="A106" s="1063" t="s">
        <v>1226</v>
      </c>
      <c r="B106" s="1064" t="s">
        <v>1227</v>
      </c>
      <c r="C106" s="1065">
        <v>0</v>
      </c>
      <c r="D106" s="1065">
        <v>50</v>
      </c>
      <c r="E106" s="1065">
        <v>77</v>
      </c>
      <c r="F106" s="1065">
        <v>87</v>
      </c>
      <c r="G106" s="1065">
        <v>81</v>
      </c>
      <c r="H106" s="1065">
        <v>50</v>
      </c>
      <c r="I106" s="1065">
        <v>30</v>
      </c>
      <c r="J106" s="1065">
        <v>10</v>
      </c>
      <c r="K106" s="1065">
        <v>0</v>
      </c>
      <c r="L106" s="1065">
        <v>0</v>
      </c>
      <c r="M106" s="1065">
        <v>295</v>
      </c>
      <c r="N106" s="1065">
        <v>385</v>
      </c>
      <c r="O106" s="1066" t="s">
        <v>1196</v>
      </c>
      <c r="P106" s="1066"/>
      <c r="Q106" s="1066"/>
      <c r="R106" s="1066"/>
      <c r="S106" s="1066"/>
      <c r="T106" s="1068"/>
    </row>
    <row r="107" spans="1:20" x14ac:dyDescent="0.35">
      <c r="A107" s="1080" t="s">
        <v>1228</v>
      </c>
      <c r="B107" s="1081" t="s">
        <v>1229</v>
      </c>
      <c r="C107" s="1065">
        <v>0</v>
      </c>
      <c r="D107" s="1065">
        <v>3</v>
      </c>
      <c r="E107" s="1065">
        <v>2</v>
      </c>
      <c r="F107" s="1065">
        <v>0</v>
      </c>
      <c r="G107" s="1065">
        <v>0</v>
      </c>
      <c r="H107" s="1065">
        <v>0</v>
      </c>
      <c r="I107" s="1065">
        <v>0</v>
      </c>
      <c r="J107" s="1065">
        <v>0</v>
      </c>
      <c r="K107" s="1065">
        <v>0</v>
      </c>
      <c r="L107" s="1065">
        <v>0</v>
      </c>
      <c r="M107" s="1065">
        <v>5</v>
      </c>
      <c r="N107" s="1065">
        <v>5</v>
      </c>
      <c r="O107" s="1066" t="s">
        <v>1230</v>
      </c>
      <c r="P107" s="1066"/>
      <c r="Q107" s="1066"/>
      <c r="R107" s="1066"/>
      <c r="S107" s="1066"/>
      <c r="T107" s="1068"/>
    </row>
    <row r="108" spans="1:20" x14ac:dyDescent="0.35">
      <c r="A108" s="1080" t="s">
        <v>1231</v>
      </c>
      <c r="B108" s="1081" t="s">
        <v>1232</v>
      </c>
      <c r="C108" s="1065">
        <v>0</v>
      </c>
      <c r="D108" s="1065">
        <v>70</v>
      </c>
      <c r="E108" s="1065">
        <v>80</v>
      </c>
      <c r="F108" s="1065">
        <v>62</v>
      </c>
      <c r="G108" s="1065">
        <v>25</v>
      </c>
      <c r="H108" s="1065">
        <v>13</v>
      </c>
      <c r="I108" s="1065">
        <v>0</v>
      </c>
      <c r="J108" s="1065">
        <v>0</v>
      </c>
      <c r="K108" s="1065">
        <v>0</v>
      </c>
      <c r="L108" s="1065">
        <v>0</v>
      </c>
      <c r="M108" s="1065">
        <v>237</v>
      </c>
      <c r="N108" s="1065">
        <v>250</v>
      </c>
      <c r="O108" s="1066" t="s">
        <v>1230</v>
      </c>
      <c r="P108" s="1066"/>
      <c r="Q108" s="1066"/>
      <c r="R108" s="1066"/>
      <c r="S108" s="1066"/>
      <c r="T108" s="1068"/>
    </row>
    <row r="109" spans="1:20" ht="24" customHeight="1" x14ac:dyDescent="0.35">
      <c r="A109" s="1080" t="s">
        <v>1233</v>
      </c>
      <c r="B109" s="1081" t="s">
        <v>1234</v>
      </c>
      <c r="C109" s="1084">
        <v>0</v>
      </c>
      <c r="D109" s="1084">
        <v>33</v>
      </c>
      <c r="E109" s="1084">
        <v>54</v>
      </c>
      <c r="F109" s="1084">
        <v>37</v>
      </c>
      <c r="G109" s="1084">
        <v>16</v>
      </c>
      <c r="H109" s="1084">
        <v>0</v>
      </c>
      <c r="I109" s="1084">
        <v>0</v>
      </c>
      <c r="J109" s="1084">
        <v>0</v>
      </c>
      <c r="K109" s="1084">
        <v>0</v>
      </c>
      <c r="L109" s="1084">
        <v>0</v>
      </c>
      <c r="M109" s="1084">
        <v>140</v>
      </c>
      <c r="N109" s="1084">
        <v>140</v>
      </c>
      <c r="O109" s="1066" t="s">
        <v>1196</v>
      </c>
      <c r="P109" s="1066"/>
      <c r="Q109" s="1066"/>
      <c r="R109" s="1066"/>
      <c r="S109" s="1066"/>
      <c r="T109" s="1068"/>
    </row>
    <row r="110" spans="1:20" x14ac:dyDescent="0.35">
      <c r="A110" s="1063" t="s">
        <v>1235</v>
      </c>
      <c r="B110" s="1064" t="s">
        <v>1236</v>
      </c>
      <c r="C110" s="1065">
        <v>0</v>
      </c>
      <c r="D110" s="1065">
        <v>40</v>
      </c>
      <c r="E110" s="1065">
        <v>40</v>
      </c>
      <c r="F110" s="1065">
        <v>30</v>
      </c>
      <c r="G110" s="1065">
        <v>10</v>
      </c>
      <c r="H110" s="1065">
        <v>5</v>
      </c>
      <c r="I110" s="1065">
        <v>0</v>
      </c>
      <c r="J110" s="1065">
        <v>0</v>
      </c>
      <c r="K110" s="1065">
        <v>0</v>
      </c>
      <c r="L110" s="1065">
        <v>0</v>
      </c>
      <c r="M110" s="1065">
        <v>120</v>
      </c>
      <c r="N110" s="1065">
        <v>125</v>
      </c>
      <c r="O110" s="1066" t="s">
        <v>1196</v>
      </c>
      <c r="P110" s="1066"/>
      <c r="Q110" s="1066"/>
      <c r="R110" s="1066"/>
      <c r="S110" s="1066"/>
      <c r="T110" s="1068"/>
    </row>
    <row r="111" spans="1:20" x14ac:dyDescent="0.35">
      <c r="A111" s="1080" t="s">
        <v>1237</v>
      </c>
      <c r="B111" s="1064" t="s">
        <v>1238</v>
      </c>
      <c r="C111" s="1065">
        <v>0</v>
      </c>
      <c r="D111" s="1065">
        <v>5</v>
      </c>
      <c r="E111" s="1065">
        <v>8</v>
      </c>
      <c r="F111" s="1065">
        <v>8</v>
      </c>
      <c r="G111" s="1065">
        <v>8</v>
      </c>
      <c r="H111" s="1065">
        <v>4</v>
      </c>
      <c r="I111" s="1065">
        <v>0</v>
      </c>
      <c r="J111" s="1065">
        <v>0</v>
      </c>
      <c r="K111" s="1065">
        <v>0</v>
      </c>
      <c r="L111" s="1065">
        <v>0</v>
      </c>
      <c r="M111" s="1065">
        <v>29</v>
      </c>
      <c r="N111" s="1065">
        <v>33</v>
      </c>
      <c r="O111" s="1066" t="s">
        <v>1196</v>
      </c>
      <c r="P111" s="1066"/>
      <c r="Q111" s="1066"/>
      <c r="R111" s="1066"/>
      <c r="S111" s="1066"/>
      <c r="T111" s="1068"/>
    </row>
    <row r="112" spans="1:20" x14ac:dyDescent="0.35">
      <c r="A112" s="1063" t="s">
        <v>1239</v>
      </c>
      <c r="B112" s="1081" t="s">
        <v>1240</v>
      </c>
      <c r="C112" s="1065">
        <v>0</v>
      </c>
      <c r="D112" s="1065">
        <v>3</v>
      </c>
      <c r="E112" s="1065">
        <v>8</v>
      </c>
      <c r="F112" s="1065">
        <v>8</v>
      </c>
      <c r="G112" s="1065">
        <v>8</v>
      </c>
      <c r="H112" s="1065">
        <v>3</v>
      </c>
      <c r="I112" s="1065">
        <v>0</v>
      </c>
      <c r="J112" s="1065">
        <v>0</v>
      </c>
      <c r="K112" s="1065">
        <v>0</v>
      </c>
      <c r="L112" s="1065">
        <v>0</v>
      </c>
      <c r="M112" s="1065">
        <v>27</v>
      </c>
      <c r="N112" s="1065">
        <v>30</v>
      </c>
      <c r="O112" s="1066" t="s">
        <v>1196</v>
      </c>
      <c r="P112" s="1066"/>
      <c r="Q112" s="1066"/>
      <c r="R112" s="1066"/>
      <c r="S112" s="1066"/>
      <c r="T112" s="1068"/>
    </row>
    <row r="113" spans="1:20" ht="24" customHeight="1" x14ac:dyDescent="0.35">
      <c r="A113" s="1063" t="s">
        <v>1241</v>
      </c>
      <c r="B113" s="1064" t="s">
        <v>1242</v>
      </c>
      <c r="C113" s="1084">
        <v>0</v>
      </c>
      <c r="D113" s="1084">
        <v>165</v>
      </c>
      <c r="E113" s="1084">
        <v>165</v>
      </c>
      <c r="F113" s="1084">
        <v>230</v>
      </c>
      <c r="G113" s="1084">
        <v>340</v>
      </c>
      <c r="H113" s="1084">
        <v>490</v>
      </c>
      <c r="I113" s="1084">
        <v>540</v>
      </c>
      <c r="J113" s="1084">
        <v>640</v>
      </c>
      <c r="K113" s="1084">
        <v>475</v>
      </c>
      <c r="L113" s="1084">
        <v>330</v>
      </c>
      <c r="M113" s="1084">
        <v>900</v>
      </c>
      <c r="N113" s="1084">
        <v>3375</v>
      </c>
      <c r="O113" s="1083" t="s">
        <v>1196</v>
      </c>
      <c r="P113" s="1083"/>
      <c r="Q113" s="1083"/>
      <c r="R113" s="1083"/>
      <c r="S113" s="1083"/>
      <c r="T113" s="1068"/>
    </row>
    <row r="114" spans="1:20" ht="24" customHeight="1" x14ac:dyDescent="0.35">
      <c r="A114" s="1089" t="s">
        <v>1212</v>
      </c>
      <c r="B114" s="1090" t="s">
        <v>1243</v>
      </c>
      <c r="C114" s="1065">
        <v>0</v>
      </c>
      <c r="D114" s="1065">
        <v>195</v>
      </c>
      <c r="E114" s="1065">
        <v>448</v>
      </c>
      <c r="F114" s="1065">
        <v>641</v>
      </c>
      <c r="G114" s="1065">
        <v>716</v>
      </c>
      <c r="H114" s="1065">
        <v>681</v>
      </c>
      <c r="I114" s="1065">
        <v>528</v>
      </c>
      <c r="J114" s="1065">
        <v>421</v>
      </c>
      <c r="K114" s="1065">
        <v>323</v>
      </c>
      <c r="L114" s="1065">
        <v>23</v>
      </c>
      <c r="M114" s="1082">
        <v>2000</v>
      </c>
      <c r="N114" s="1082">
        <v>3976</v>
      </c>
      <c r="O114" s="1083" t="s">
        <v>1196</v>
      </c>
      <c r="P114" s="1083"/>
      <c r="Q114" s="1083"/>
      <c r="R114" s="1083"/>
      <c r="S114" s="1083"/>
      <c r="T114" s="1091"/>
    </row>
    <row r="115" spans="1:20" ht="30" customHeight="1" x14ac:dyDescent="0.35">
      <c r="A115" s="1075" t="s">
        <v>1244</v>
      </c>
      <c r="B115" s="1076" t="s">
        <v>1245</v>
      </c>
      <c r="C115" s="1092">
        <v>0</v>
      </c>
      <c r="D115" s="1092">
        <v>20</v>
      </c>
      <c r="E115" s="1092">
        <v>57</v>
      </c>
      <c r="F115" s="1092">
        <v>96</v>
      </c>
      <c r="G115" s="1092">
        <v>150</v>
      </c>
      <c r="H115" s="1092">
        <v>200</v>
      </c>
      <c r="I115" s="1092">
        <v>185</v>
      </c>
      <c r="J115" s="1092">
        <v>147</v>
      </c>
      <c r="K115" s="1092">
        <v>106</v>
      </c>
      <c r="L115" s="1092">
        <v>39</v>
      </c>
      <c r="M115" s="1092">
        <v>323</v>
      </c>
      <c r="N115" s="1093">
        <v>1000</v>
      </c>
      <c r="O115" s="1094" t="s">
        <v>1246</v>
      </c>
      <c r="P115" s="1124"/>
      <c r="Q115" s="1124"/>
      <c r="R115" s="1124"/>
      <c r="S115" s="1124"/>
      <c r="T115" s="1095" t="s">
        <v>1247</v>
      </c>
    </row>
    <row r="116" spans="1:20" x14ac:dyDescent="0.35">
      <c r="A116" s="1080" t="s">
        <v>1248</v>
      </c>
      <c r="B116" s="1064" t="s">
        <v>1249</v>
      </c>
      <c r="C116" s="1065">
        <v>0</v>
      </c>
      <c r="D116" s="1065">
        <v>15</v>
      </c>
      <c r="E116" s="1065">
        <v>53</v>
      </c>
      <c r="F116" s="1065">
        <v>57</v>
      </c>
      <c r="G116" s="1065">
        <v>48</v>
      </c>
      <c r="H116" s="1065">
        <v>43</v>
      </c>
      <c r="I116" s="1065">
        <v>17</v>
      </c>
      <c r="J116" s="1065">
        <v>2</v>
      </c>
      <c r="K116" s="1065">
        <v>0</v>
      </c>
      <c r="L116" s="1065">
        <v>0</v>
      </c>
      <c r="M116" s="1065">
        <v>173</v>
      </c>
      <c r="N116" s="1065">
        <v>235</v>
      </c>
      <c r="O116" s="1066" t="s">
        <v>1250</v>
      </c>
      <c r="P116" s="1066"/>
      <c r="Q116" s="1066"/>
      <c r="R116" s="1066"/>
      <c r="S116" s="1066"/>
      <c r="T116" s="1067" t="s">
        <v>1251</v>
      </c>
    </row>
    <row r="117" spans="1:20" x14ac:dyDescent="0.35">
      <c r="A117" s="1063" t="s">
        <v>1252</v>
      </c>
      <c r="B117" s="1064" t="s">
        <v>1253</v>
      </c>
      <c r="C117" s="1065">
        <v>0</v>
      </c>
      <c r="D117" s="1065">
        <v>15</v>
      </c>
      <c r="E117" s="1065">
        <v>53</v>
      </c>
      <c r="F117" s="1065">
        <v>57</v>
      </c>
      <c r="G117" s="1065">
        <v>48</v>
      </c>
      <c r="H117" s="1065">
        <v>43</v>
      </c>
      <c r="I117" s="1065">
        <v>17</v>
      </c>
      <c r="J117" s="1065">
        <v>2</v>
      </c>
      <c r="K117" s="1065">
        <v>0</v>
      </c>
      <c r="L117" s="1065">
        <v>0</v>
      </c>
      <c r="M117" s="1065">
        <v>173</v>
      </c>
      <c r="N117" s="1065">
        <v>235</v>
      </c>
      <c r="O117" s="1066" t="s">
        <v>1250</v>
      </c>
      <c r="P117" s="1066"/>
      <c r="Q117" s="1066"/>
      <c r="R117" s="1066"/>
      <c r="S117" s="1066"/>
      <c r="T117" s="1067" t="s">
        <v>1251</v>
      </c>
    </row>
    <row r="118" spans="1:20" x14ac:dyDescent="0.35">
      <c r="A118" s="1080" t="s">
        <v>1254</v>
      </c>
      <c r="B118" s="1081" t="s">
        <v>1255</v>
      </c>
      <c r="C118" s="1065">
        <v>0</v>
      </c>
      <c r="D118" s="1065">
        <v>42</v>
      </c>
      <c r="E118" s="1065">
        <v>18</v>
      </c>
      <c r="F118" s="1065">
        <v>0</v>
      </c>
      <c r="G118" s="1065">
        <v>0</v>
      </c>
      <c r="H118" s="1065">
        <v>0</v>
      </c>
      <c r="I118" s="1065">
        <v>0</v>
      </c>
      <c r="J118" s="1065">
        <v>0</v>
      </c>
      <c r="K118" s="1065">
        <v>0</v>
      </c>
      <c r="L118" s="1065">
        <v>0</v>
      </c>
      <c r="M118" s="1065">
        <v>60</v>
      </c>
      <c r="N118" s="1065">
        <v>60</v>
      </c>
      <c r="O118" s="1066" t="s">
        <v>1246</v>
      </c>
      <c r="P118" s="1066"/>
      <c r="Q118" s="1066"/>
      <c r="R118" s="1066"/>
      <c r="S118" s="1066"/>
      <c r="T118" s="1068" t="s">
        <v>1256</v>
      </c>
    </row>
    <row r="119" spans="1:20" x14ac:dyDescent="0.35">
      <c r="A119" s="1063" t="s">
        <v>1257</v>
      </c>
      <c r="B119" s="1064" t="s">
        <v>1258</v>
      </c>
      <c r="C119" s="1065">
        <v>0</v>
      </c>
      <c r="D119" s="1065">
        <v>2</v>
      </c>
      <c r="E119" s="1065">
        <v>13</v>
      </c>
      <c r="F119" s="1065">
        <v>26</v>
      </c>
      <c r="G119" s="1065">
        <v>30</v>
      </c>
      <c r="H119" s="1065">
        <v>24</v>
      </c>
      <c r="I119" s="1065">
        <v>0</v>
      </c>
      <c r="J119" s="1065">
        <v>0</v>
      </c>
      <c r="K119" s="1065">
        <v>0</v>
      </c>
      <c r="L119" s="1065">
        <v>0</v>
      </c>
      <c r="M119" s="1065">
        <v>71</v>
      </c>
      <c r="N119" s="1065">
        <v>95</v>
      </c>
      <c r="O119" s="1066" t="s">
        <v>1246</v>
      </c>
      <c r="P119" s="1066"/>
      <c r="Q119" s="1066"/>
      <c r="R119" s="1066"/>
      <c r="S119" s="1066"/>
      <c r="T119" s="1067" t="s">
        <v>1259</v>
      </c>
    </row>
    <row r="120" spans="1:20" ht="36" customHeight="1" x14ac:dyDescent="0.35">
      <c r="A120" s="1063" t="s">
        <v>1260</v>
      </c>
      <c r="B120" s="1064" t="s">
        <v>1261</v>
      </c>
      <c r="C120" s="1065">
        <v>0</v>
      </c>
      <c r="D120" s="1065">
        <v>3</v>
      </c>
      <c r="E120" s="1065">
        <v>19</v>
      </c>
      <c r="F120" s="1065">
        <v>67</v>
      </c>
      <c r="G120" s="1065">
        <v>86</v>
      </c>
      <c r="H120" s="1065">
        <v>59</v>
      </c>
      <c r="I120" s="1065">
        <v>35</v>
      </c>
      <c r="J120" s="1065">
        <v>19</v>
      </c>
      <c r="K120" s="1065">
        <v>6</v>
      </c>
      <c r="L120" s="1065">
        <v>0</v>
      </c>
      <c r="M120" s="1065">
        <v>175</v>
      </c>
      <c r="N120" s="1065">
        <v>294</v>
      </c>
      <c r="O120" s="1066" t="s">
        <v>1246</v>
      </c>
      <c r="P120" s="1066"/>
      <c r="Q120" s="1066"/>
      <c r="R120" s="1066"/>
      <c r="S120" s="1066"/>
      <c r="T120" s="1091" t="s">
        <v>1262</v>
      </c>
    </row>
    <row r="121" spans="1:20" x14ac:dyDescent="0.35">
      <c r="A121" s="1063" t="s">
        <v>1263</v>
      </c>
      <c r="B121" s="1064" t="s">
        <v>1264</v>
      </c>
      <c r="C121" s="1065">
        <v>0</v>
      </c>
      <c r="D121" s="1065">
        <v>65</v>
      </c>
      <c r="E121" s="1065">
        <v>150</v>
      </c>
      <c r="F121" s="1065">
        <v>290</v>
      </c>
      <c r="G121" s="1065">
        <v>290</v>
      </c>
      <c r="H121" s="1065">
        <v>290</v>
      </c>
      <c r="I121" s="1065">
        <v>285</v>
      </c>
      <c r="J121" s="1065">
        <v>250</v>
      </c>
      <c r="K121" s="1065">
        <v>220</v>
      </c>
      <c r="L121" s="1065">
        <v>160</v>
      </c>
      <c r="M121" s="1065">
        <v>795</v>
      </c>
      <c r="N121" s="1082">
        <v>2000</v>
      </c>
      <c r="O121" s="1066" t="s">
        <v>1246</v>
      </c>
      <c r="P121" s="1066"/>
      <c r="Q121" s="1066"/>
      <c r="R121" s="1066"/>
      <c r="S121" s="1066"/>
      <c r="T121" s="1068"/>
    </row>
    <row r="122" spans="1:20" x14ac:dyDescent="0.35">
      <c r="A122" s="1063" t="s">
        <v>1265</v>
      </c>
      <c r="B122" s="1064" t="s">
        <v>1266</v>
      </c>
      <c r="C122" s="1065">
        <v>0</v>
      </c>
      <c r="D122" s="1065">
        <v>5</v>
      </c>
      <c r="E122" s="1065">
        <v>20</v>
      </c>
      <c r="F122" s="1065">
        <v>65</v>
      </c>
      <c r="G122" s="1065">
        <v>105</v>
      </c>
      <c r="H122" s="1065">
        <v>140</v>
      </c>
      <c r="I122" s="1065">
        <v>175</v>
      </c>
      <c r="J122" s="1065">
        <v>210</v>
      </c>
      <c r="K122" s="1065">
        <v>150</v>
      </c>
      <c r="L122" s="1065">
        <v>35</v>
      </c>
      <c r="M122" s="1065">
        <v>195</v>
      </c>
      <c r="N122" s="1065">
        <v>905</v>
      </c>
      <c r="O122" s="1096" t="s">
        <v>1246</v>
      </c>
      <c r="P122" s="1096"/>
      <c r="Q122" s="1096"/>
      <c r="R122" s="1096"/>
      <c r="S122" s="1096"/>
      <c r="T122" s="1097"/>
    </row>
    <row r="123" spans="1:20" x14ac:dyDescent="0.35">
      <c r="A123" s="1063" t="s">
        <v>1267</v>
      </c>
      <c r="B123" s="1064" t="s">
        <v>1268</v>
      </c>
      <c r="C123" s="1065">
        <v>0</v>
      </c>
      <c r="D123" s="1065">
        <v>10</v>
      </c>
      <c r="E123" s="1065">
        <v>150</v>
      </c>
      <c r="F123" s="1065">
        <v>300</v>
      </c>
      <c r="G123" s="1065">
        <v>590</v>
      </c>
      <c r="H123" s="1065">
        <v>460</v>
      </c>
      <c r="I123" s="1065">
        <v>295</v>
      </c>
      <c r="J123" s="1065">
        <v>195</v>
      </c>
      <c r="K123" s="1065">
        <v>0</v>
      </c>
      <c r="L123" s="1065">
        <v>0</v>
      </c>
      <c r="M123" s="1082">
        <v>1050</v>
      </c>
      <c r="N123" s="1082">
        <v>2000</v>
      </c>
      <c r="O123" s="1066" t="s">
        <v>1246</v>
      </c>
      <c r="P123" s="1066"/>
      <c r="Q123" s="1066"/>
      <c r="R123" s="1066"/>
      <c r="S123" s="1066"/>
      <c r="T123" s="1068"/>
    </row>
    <row r="124" spans="1:20" x14ac:dyDescent="0.35">
      <c r="A124" s="1063" t="s">
        <v>1269</v>
      </c>
      <c r="B124" s="1064" t="s">
        <v>1270</v>
      </c>
      <c r="C124" s="1065"/>
      <c r="D124" s="1065"/>
      <c r="E124" s="1065"/>
      <c r="F124" s="1065"/>
      <c r="G124" s="1065"/>
      <c r="H124" s="1065"/>
      <c r="I124" s="1065"/>
      <c r="J124" s="1065"/>
      <c r="K124" s="1065"/>
      <c r="L124" s="1065"/>
      <c r="M124" s="1065"/>
      <c r="N124" s="1065"/>
      <c r="O124" s="1066"/>
      <c r="P124" s="1066"/>
      <c r="Q124" s="1066"/>
      <c r="R124" s="1066"/>
      <c r="S124" s="1066"/>
      <c r="T124" s="1068"/>
    </row>
    <row r="125" spans="1:20" ht="24" customHeight="1" x14ac:dyDescent="0.35">
      <c r="A125" s="1080" t="s">
        <v>1271</v>
      </c>
      <c r="B125" s="1081" t="s">
        <v>1272</v>
      </c>
      <c r="C125" s="1084">
        <v>0</v>
      </c>
      <c r="D125" s="1084">
        <v>72</v>
      </c>
      <c r="E125" s="1084">
        <v>123</v>
      </c>
      <c r="F125" s="1084">
        <v>122</v>
      </c>
      <c r="G125" s="1084">
        <v>115</v>
      </c>
      <c r="H125" s="1084">
        <v>55</v>
      </c>
      <c r="I125" s="1084">
        <v>55</v>
      </c>
      <c r="J125" s="1084">
        <v>33</v>
      </c>
      <c r="K125" s="1084">
        <v>0</v>
      </c>
      <c r="L125" s="1084">
        <v>0</v>
      </c>
      <c r="M125" s="1084">
        <v>432</v>
      </c>
      <c r="N125" s="1084">
        <v>575</v>
      </c>
      <c r="O125" s="1065" t="s">
        <v>1246</v>
      </c>
      <c r="P125" s="1065"/>
      <c r="Q125" s="1065"/>
      <c r="R125" s="1065"/>
      <c r="S125" s="1065"/>
      <c r="T125" s="1068"/>
    </row>
    <row r="126" spans="1:20" x14ac:dyDescent="0.35">
      <c r="A126" s="1063" t="s">
        <v>1273</v>
      </c>
      <c r="B126" s="1064" t="s">
        <v>1274</v>
      </c>
      <c r="C126" s="1065">
        <v>0</v>
      </c>
      <c r="D126" s="1065">
        <v>1</v>
      </c>
      <c r="E126" s="1065">
        <v>2</v>
      </c>
      <c r="F126" s="1065">
        <v>2</v>
      </c>
      <c r="G126" s="1065">
        <v>2</v>
      </c>
      <c r="H126" s="1065">
        <v>2</v>
      </c>
      <c r="I126" s="1065">
        <v>2</v>
      </c>
      <c r="J126" s="1065">
        <v>2</v>
      </c>
      <c r="K126" s="1065">
        <v>2</v>
      </c>
      <c r="L126" s="1065">
        <v>1</v>
      </c>
      <c r="M126" s="1065">
        <v>7</v>
      </c>
      <c r="N126" s="1065">
        <v>16</v>
      </c>
      <c r="O126" s="1066" t="s">
        <v>1246</v>
      </c>
      <c r="P126" s="1066"/>
      <c r="Q126" s="1066"/>
      <c r="R126" s="1066"/>
      <c r="S126" s="1066"/>
      <c r="T126" s="1068"/>
    </row>
    <row r="127" spans="1:20" x14ac:dyDescent="0.35">
      <c r="A127" s="1063" t="s">
        <v>1275</v>
      </c>
      <c r="B127" s="1064" t="s">
        <v>1276</v>
      </c>
      <c r="C127" s="1065">
        <v>0</v>
      </c>
      <c r="D127" s="1065">
        <v>49</v>
      </c>
      <c r="E127" s="1065">
        <v>190</v>
      </c>
      <c r="F127" s="1065">
        <v>379</v>
      </c>
      <c r="G127" s="1065">
        <v>531</v>
      </c>
      <c r="H127" s="1065">
        <v>619</v>
      </c>
      <c r="I127" s="1065">
        <v>580</v>
      </c>
      <c r="J127" s="1065">
        <v>387</v>
      </c>
      <c r="K127" s="1065">
        <v>196</v>
      </c>
      <c r="L127" s="1065">
        <v>69</v>
      </c>
      <c r="M127" s="1082">
        <v>1149</v>
      </c>
      <c r="N127" s="1082">
        <v>3000</v>
      </c>
      <c r="O127" s="1066" t="s">
        <v>1246</v>
      </c>
      <c r="P127" s="1066"/>
      <c r="Q127" s="1066"/>
      <c r="R127" s="1066"/>
      <c r="S127" s="1066"/>
      <c r="T127" s="1068"/>
    </row>
    <row r="128" spans="1:20" x14ac:dyDescent="0.35">
      <c r="A128" s="1080" t="s">
        <v>1277</v>
      </c>
      <c r="B128" s="1081" t="s">
        <v>1278</v>
      </c>
      <c r="C128" s="1065">
        <v>0</v>
      </c>
      <c r="D128" s="1065">
        <v>22</v>
      </c>
      <c r="E128" s="1065">
        <v>22</v>
      </c>
      <c r="F128" s="1065">
        <v>6</v>
      </c>
      <c r="G128" s="1065">
        <v>0</v>
      </c>
      <c r="H128" s="1065">
        <v>0</v>
      </c>
      <c r="I128" s="1065">
        <v>0</v>
      </c>
      <c r="J128" s="1065">
        <v>0</v>
      </c>
      <c r="K128" s="1065">
        <v>0</v>
      </c>
      <c r="L128" s="1065">
        <v>0</v>
      </c>
      <c r="M128" s="1065">
        <v>50</v>
      </c>
      <c r="N128" s="1065">
        <v>50</v>
      </c>
      <c r="O128" s="1066" t="s">
        <v>1246</v>
      </c>
      <c r="P128" s="1066"/>
      <c r="Q128" s="1066"/>
      <c r="R128" s="1066"/>
      <c r="S128" s="1066"/>
      <c r="T128" s="1067"/>
    </row>
    <row r="129" spans="1:20" x14ac:dyDescent="0.35">
      <c r="A129" s="1063" t="s">
        <v>1279</v>
      </c>
      <c r="B129" s="1064" t="s">
        <v>1280</v>
      </c>
      <c r="C129" s="1065">
        <v>0</v>
      </c>
      <c r="D129" s="1065">
        <v>30</v>
      </c>
      <c r="E129" s="1065">
        <v>30</v>
      </c>
      <c r="F129" s="1065">
        <v>40</v>
      </c>
      <c r="G129" s="1065">
        <v>15</v>
      </c>
      <c r="H129" s="1065">
        <v>5</v>
      </c>
      <c r="I129" s="1065">
        <v>5</v>
      </c>
      <c r="J129" s="1065">
        <v>0</v>
      </c>
      <c r="K129" s="1065">
        <v>0</v>
      </c>
      <c r="L129" s="1065">
        <v>0</v>
      </c>
      <c r="M129" s="1065">
        <v>115</v>
      </c>
      <c r="N129" s="1065">
        <v>125</v>
      </c>
      <c r="O129" s="1066" t="s">
        <v>1246</v>
      </c>
      <c r="P129" s="1066"/>
      <c r="Q129" s="1066"/>
      <c r="R129" s="1066"/>
      <c r="S129" s="1066"/>
      <c r="T129" s="1068"/>
    </row>
    <row r="130" spans="1:20" x14ac:dyDescent="0.35">
      <c r="A130" s="1063" t="s">
        <v>1281</v>
      </c>
      <c r="B130" s="1064" t="s">
        <v>1282</v>
      </c>
      <c r="C130" s="1065">
        <v>0</v>
      </c>
      <c r="D130" s="1065">
        <v>10</v>
      </c>
      <c r="E130" s="1065">
        <v>230</v>
      </c>
      <c r="F130" s="1065">
        <v>660</v>
      </c>
      <c r="G130" s="1065">
        <v>945</v>
      </c>
      <c r="H130" s="1065">
        <v>605</v>
      </c>
      <c r="I130" s="1065">
        <v>100</v>
      </c>
      <c r="J130" s="1065">
        <v>0</v>
      </c>
      <c r="K130" s="1065">
        <v>0</v>
      </c>
      <c r="L130" s="1065">
        <v>0</v>
      </c>
      <c r="M130" s="1082">
        <v>1845</v>
      </c>
      <c r="N130" s="1082">
        <v>2550</v>
      </c>
      <c r="O130" s="1066" t="s">
        <v>1246</v>
      </c>
      <c r="P130" s="1066"/>
      <c r="Q130" s="1066"/>
      <c r="R130" s="1066"/>
      <c r="S130" s="1066"/>
      <c r="T130" s="1068"/>
    </row>
    <row r="131" spans="1:20" x14ac:dyDescent="0.35">
      <c r="A131" s="1063" t="s">
        <v>1283</v>
      </c>
      <c r="B131" s="1064" t="s">
        <v>1284</v>
      </c>
      <c r="C131" s="1065">
        <v>0</v>
      </c>
      <c r="D131" s="1065">
        <v>10</v>
      </c>
      <c r="E131" s="1065">
        <v>45</v>
      </c>
      <c r="F131" s="1065">
        <v>70</v>
      </c>
      <c r="G131" s="1065">
        <v>100</v>
      </c>
      <c r="H131" s="1065">
        <v>100</v>
      </c>
      <c r="I131" s="1065">
        <v>100</v>
      </c>
      <c r="J131" s="1065">
        <v>100</v>
      </c>
      <c r="K131" s="1065">
        <v>100</v>
      </c>
      <c r="L131" s="1065">
        <v>100</v>
      </c>
      <c r="M131" s="1065">
        <v>225</v>
      </c>
      <c r="N131" s="1065">
        <v>725</v>
      </c>
      <c r="O131" s="1066" t="s">
        <v>1246</v>
      </c>
      <c r="P131" s="1066"/>
      <c r="Q131" s="1066"/>
      <c r="R131" s="1066"/>
      <c r="S131" s="1066"/>
      <c r="T131" s="1068"/>
    </row>
    <row r="132" spans="1:20" x14ac:dyDescent="0.35">
      <c r="A132" s="1080" t="s">
        <v>1285</v>
      </c>
      <c r="B132" s="1081" t="s">
        <v>1286</v>
      </c>
      <c r="C132" s="1065">
        <v>0</v>
      </c>
      <c r="D132" s="1065">
        <v>14</v>
      </c>
      <c r="E132" s="1065">
        <v>11</v>
      </c>
      <c r="F132" s="1065">
        <v>0</v>
      </c>
      <c r="G132" s="1065">
        <v>0</v>
      </c>
      <c r="H132" s="1065">
        <v>0</v>
      </c>
      <c r="I132" s="1065">
        <v>0</v>
      </c>
      <c r="J132" s="1065">
        <v>0</v>
      </c>
      <c r="K132" s="1065">
        <v>0</v>
      </c>
      <c r="L132" s="1065">
        <v>0</v>
      </c>
      <c r="M132" s="1065">
        <v>25</v>
      </c>
      <c r="N132" s="1065">
        <v>25</v>
      </c>
      <c r="O132" s="1066" t="s">
        <v>1250</v>
      </c>
      <c r="P132" s="1066"/>
      <c r="Q132" s="1066"/>
      <c r="R132" s="1066"/>
      <c r="S132" s="1066"/>
      <c r="T132" s="1067"/>
    </row>
    <row r="133" spans="1:20" x14ac:dyDescent="0.35">
      <c r="A133" s="1080" t="s">
        <v>1287</v>
      </c>
      <c r="B133" s="1081" t="s">
        <v>1288</v>
      </c>
      <c r="C133" s="1065">
        <v>0</v>
      </c>
      <c r="D133" s="1065">
        <v>84</v>
      </c>
      <c r="E133" s="1065">
        <v>320</v>
      </c>
      <c r="F133" s="1065">
        <v>638</v>
      </c>
      <c r="G133" s="1065">
        <v>928</v>
      </c>
      <c r="H133" s="1065">
        <v>940</v>
      </c>
      <c r="I133" s="1065">
        <v>720</v>
      </c>
      <c r="J133" s="1065">
        <v>300</v>
      </c>
      <c r="K133" s="1065">
        <v>120</v>
      </c>
      <c r="L133" s="1065">
        <v>0</v>
      </c>
      <c r="M133" s="1082">
        <v>1970</v>
      </c>
      <c r="N133" s="1082">
        <v>4050</v>
      </c>
      <c r="O133" s="1066" t="s">
        <v>1250</v>
      </c>
      <c r="P133" s="1066"/>
      <c r="Q133" s="1066"/>
      <c r="R133" s="1066"/>
      <c r="S133" s="1066"/>
      <c r="T133" s="1068"/>
    </row>
    <row r="134" spans="1:20" x14ac:dyDescent="0.35">
      <c r="A134" s="1063" t="s">
        <v>1289</v>
      </c>
      <c r="B134" s="1064" t="s">
        <v>1290</v>
      </c>
      <c r="C134" s="1065">
        <v>0</v>
      </c>
      <c r="D134" s="1065">
        <v>40</v>
      </c>
      <c r="E134" s="1065">
        <v>200</v>
      </c>
      <c r="F134" s="1065">
        <v>400</v>
      </c>
      <c r="G134" s="1065">
        <v>660</v>
      </c>
      <c r="H134" s="1065">
        <v>640</v>
      </c>
      <c r="I134" s="1065">
        <v>515</v>
      </c>
      <c r="J134" s="1065">
        <v>240</v>
      </c>
      <c r="K134" s="1065">
        <v>105</v>
      </c>
      <c r="L134" s="1065">
        <v>0</v>
      </c>
      <c r="M134" s="1082">
        <v>1300</v>
      </c>
      <c r="N134" s="1082">
        <v>2800</v>
      </c>
      <c r="O134" s="1066" t="s">
        <v>1250</v>
      </c>
      <c r="P134" s="1066"/>
      <c r="Q134" s="1066"/>
      <c r="R134" s="1066"/>
      <c r="S134" s="1066"/>
      <c r="T134" s="1068"/>
    </row>
    <row r="135" spans="1:20" x14ac:dyDescent="0.35">
      <c r="A135" s="1063" t="s">
        <v>1291</v>
      </c>
      <c r="B135" s="1064" t="s">
        <v>1292</v>
      </c>
      <c r="C135" s="1098">
        <v>0</v>
      </c>
      <c r="D135" s="1098">
        <v>138</v>
      </c>
      <c r="E135" s="1098">
        <v>566</v>
      </c>
      <c r="F135" s="1098">
        <v>994</v>
      </c>
      <c r="G135" s="1099">
        <v>1328</v>
      </c>
      <c r="H135" s="1099">
        <v>1791</v>
      </c>
      <c r="I135" s="1099">
        <v>2350</v>
      </c>
      <c r="J135" s="1099">
        <v>2928</v>
      </c>
      <c r="K135" s="1099">
        <v>3548</v>
      </c>
      <c r="L135" s="1099">
        <v>4162</v>
      </c>
      <c r="M135" s="1099">
        <v>3026</v>
      </c>
      <c r="N135" s="1099">
        <v>17805</v>
      </c>
      <c r="O135" s="1100" t="s">
        <v>54</v>
      </c>
      <c r="P135" s="1100"/>
      <c r="Q135" s="1100"/>
      <c r="R135" s="1100"/>
      <c r="S135" s="1100"/>
      <c r="T135" s="1101"/>
    </row>
    <row r="136" spans="1:20" x14ac:dyDescent="0.35">
      <c r="A136" s="1063" t="s">
        <v>1293</v>
      </c>
      <c r="B136" s="1064" t="s">
        <v>1294</v>
      </c>
      <c r="C136" s="1098">
        <v>0</v>
      </c>
      <c r="D136" s="1098">
        <v>0</v>
      </c>
      <c r="E136" s="1098">
        <v>235</v>
      </c>
      <c r="F136" s="1098">
        <v>317</v>
      </c>
      <c r="G136" s="1098">
        <v>304</v>
      </c>
      <c r="H136" s="1098">
        <v>314</v>
      </c>
      <c r="I136" s="1098">
        <v>324</v>
      </c>
      <c r="J136" s="1098">
        <v>335</v>
      </c>
      <c r="K136" s="1098">
        <v>346</v>
      </c>
      <c r="L136" s="1098">
        <v>359</v>
      </c>
      <c r="M136" s="1098">
        <v>856</v>
      </c>
      <c r="N136" s="1099">
        <v>2534</v>
      </c>
      <c r="O136" s="1100" t="s">
        <v>54</v>
      </c>
      <c r="P136" s="1100"/>
      <c r="Q136" s="1100"/>
      <c r="R136" s="1100"/>
      <c r="S136" s="1100"/>
      <c r="T136" s="1068"/>
    </row>
    <row r="137" spans="1:20" ht="24" customHeight="1" x14ac:dyDescent="0.35">
      <c r="A137" s="1063" t="s">
        <v>1295</v>
      </c>
      <c r="B137" s="1064" t="s">
        <v>1296</v>
      </c>
      <c r="C137" s="1102"/>
      <c r="D137" s="1102">
        <v>333</v>
      </c>
      <c r="E137" s="1102">
        <v>314</v>
      </c>
      <c r="F137" s="1102">
        <v>314</v>
      </c>
      <c r="G137" s="1102">
        <v>-4530</v>
      </c>
      <c r="H137" s="1102">
        <v>-9118</v>
      </c>
      <c r="I137" s="1102">
        <v>-18184</v>
      </c>
      <c r="J137" s="1102">
        <v>-20493</v>
      </c>
      <c r="K137" s="1102">
        <v>-23289</v>
      </c>
      <c r="L137" s="1102">
        <v>-24298</v>
      </c>
      <c r="M137" s="1102">
        <v>-569</v>
      </c>
      <c r="N137" s="1102">
        <v>-95951</v>
      </c>
      <c r="O137" s="1103" t="s">
        <v>55</v>
      </c>
      <c r="P137" s="1103"/>
      <c r="Q137" s="1103"/>
      <c r="R137" s="1103"/>
      <c r="S137" s="1103"/>
      <c r="T137" s="1104"/>
    </row>
    <row r="138" spans="1:20" ht="36" customHeight="1" x14ac:dyDescent="0.35">
      <c r="A138" s="1063" t="s">
        <v>1291</v>
      </c>
      <c r="B138" s="1064" t="s">
        <v>1297</v>
      </c>
      <c r="C138" s="1105">
        <v>0</v>
      </c>
      <c r="D138" s="1105">
        <v>-2447</v>
      </c>
      <c r="E138" s="1105">
        <v>-3716</v>
      </c>
      <c r="F138" s="1105">
        <v>-19171</v>
      </c>
      <c r="G138" s="1105">
        <v>-7014</v>
      </c>
      <c r="H138" s="1105">
        <v>-7706</v>
      </c>
      <c r="I138" s="1105">
        <v>-8497</v>
      </c>
      <c r="J138" s="1105">
        <v>-9360</v>
      </c>
      <c r="K138" s="1105">
        <v>-10602</v>
      </c>
      <c r="L138" s="1105">
        <v>-11603</v>
      </c>
      <c r="M138" s="1105">
        <v>-32348</v>
      </c>
      <c r="N138" s="1105">
        <v>-80116</v>
      </c>
      <c r="O138" s="1103" t="s">
        <v>55</v>
      </c>
      <c r="P138" s="1103"/>
      <c r="Q138" s="1103"/>
      <c r="R138" s="1103"/>
      <c r="S138" s="1103"/>
      <c r="T138" s="1068"/>
    </row>
    <row r="139" spans="1:20" x14ac:dyDescent="0.35">
      <c r="A139" s="1063" t="s">
        <v>1298</v>
      </c>
      <c r="B139" s="1064" t="s">
        <v>1299</v>
      </c>
      <c r="C139" s="1102">
        <v>0</v>
      </c>
      <c r="D139" s="1102">
        <v>53</v>
      </c>
      <c r="E139" s="1102">
        <v>1991</v>
      </c>
      <c r="F139" s="1102">
        <v>3308</v>
      </c>
      <c r="G139" s="1102">
        <v>3545</v>
      </c>
      <c r="H139" s="1102">
        <v>4537</v>
      </c>
      <c r="I139" s="1102">
        <v>4476</v>
      </c>
      <c r="J139" s="1102">
        <v>3947</v>
      </c>
      <c r="K139" s="1102">
        <v>1781</v>
      </c>
      <c r="L139" s="1102">
        <v>1462</v>
      </c>
      <c r="M139" s="1102">
        <v>8897</v>
      </c>
      <c r="N139" s="1102">
        <v>25100</v>
      </c>
      <c r="O139" s="1103" t="s">
        <v>55</v>
      </c>
      <c r="P139" s="1103"/>
      <c r="Q139" s="1103"/>
      <c r="R139" s="1103"/>
      <c r="S139" s="1103"/>
      <c r="T139" s="1068"/>
    </row>
    <row r="140" spans="1:20" x14ac:dyDescent="0.35">
      <c r="A140" s="1063" t="s">
        <v>1300</v>
      </c>
      <c r="B140" s="1064" t="s">
        <v>1301</v>
      </c>
      <c r="C140" s="1106">
        <v>0</v>
      </c>
      <c r="D140" s="1106">
        <v>0</v>
      </c>
      <c r="E140" s="1106">
        <v>0</v>
      </c>
      <c r="F140" s="1106">
        <v>0</v>
      </c>
      <c r="G140" s="1106">
        <v>0</v>
      </c>
      <c r="H140" s="1107">
        <v>-16290</v>
      </c>
      <c r="I140" s="1107">
        <v>-25656</v>
      </c>
      <c r="J140" s="1107">
        <v>-23394</v>
      </c>
      <c r="K140" s="1107">
        <v>-27561</v>
      </c>
      <c r="L140" s="1107">
        <v>-29250</v>
      </c>
      <c r="M140" s="1106">
        <v>0</v>
      </c>
      <c r="N140" s="1107">
        <v>-122151</v>
      </c>
      <c r="O140" s="1103" t="s">
        <v>55</v>
      </c>
      <c r="P140" s="1103"/>
      <c r="Q140" s="1103"/>
      <c r="R140" s="1103"/>
      <c r="S140" s="1103"/>
      <c r="T140" s="1068"/>
    </row>
    <row r="141" spans="1:20" ht="36" customHeight="1" x14ac:dyDescent="0.35">
      <c r="A141" s="1063" t="s">
        <v>1302</v>
      </c>
      <c r="B141" s="1064" t="s">
        <v>1303</v>
      </c>
      <c r="C141" s="1102">
        <v>0</v>
      </c>
      <c r="D141" s="1102">
        <v>-70</v>
      </c>
      <c r="E141" s="1102">
        <v>300</v>
      </c>
      <c r="F141" s="1102">
        <v>862</v>
      </c>
      <c r="G141" s="1102">
        <v>577</v>
      </c>
      <c r="H141" s="1102">
        <v>464</v>
      </c>
      <c r="I141" s="1102">
        <v>549</v>
      </c>
      <c r="J141" s="1102">
        <v>501</v>
      </c>
      <c r="K141" s="1102">
        <v>591</v>
      </c>
      <c r="L141" s="1102">
        <v>630</v>
      </c>
      <c r="M141" s="1102">
        <v>1669</v>
      </c>
      <c r="N141" s="1102">
        <v>4404</v>
      </c>
      <c r="O141" s="1103" t="s">
        <v>55</v>
      </c>
      <c r="P141" s="1103"/>
      <c r="Q141" s="1103"/>
      <c r="R141" s="1103"/>
      <c r="S141" s="1103"/>
      <c r="T141" s="1068"/>
    </row>
    <row r="142" spans="1:20" x14ac:dyDescent="0.35">
      <c r="A142" s="1063" t="s">
        <v>1304</v>
      </c>
      <c r="B142" s="1064" t="s">
        <v>1305</v>
      </c>
      <c r="C142" s="1106">
        <v>0</v>
      </c>
      <c r="D142" s="1106">
        <v>0</v>
      </c>
      <c r="E142" s="1106">
        <v>195</v>
      </c>
      <c r="F142" s="1106">
        <v>230</v>
      </c>
      <c r="G142" s="1106">
        <v>248</v>
      </c>
      <c r="H142" s="1106">
        <v>266</v>
      </c>
      <c r="I142" s="1106">
        <v>311</v>
      </c>
      <c r="J142" s="1106">
        <v>281</v>
      </c>
      <c r="K142" s="1106">
        <v>327</v>
      </c>
      <c r="L142" s="1106">
        <v>347</v>
      </c>
      <c r="M142" s="1106">
        <v>673</v>
      </c>
      <c r="N142" s="1107">
        <v>2205</v>
      </c>
      <c r="O142" s="1103" t="s">
        <v>55</v>
      </c>
      <c r="P142" s="1103"/>
      <c r="Q142" s="1103"/>
      <c r="R142" s="1103"/>
      <c r="S142" s="1103"/>
      <c r="T142" s="1068"/>
    </row>
    <row r="143" spans="1:20" x14ac:dyDescent="0.35">
      <c r="A143" s="1080" t="s">
        <v>1306</v>
      </c>
      <c r="B143" s="1081" t="s">
        <v>1307</v>
      </c>
      <c r="C143" s="1108">
        <v>0</v>
      </c>
      <c r="D143" s="1108">
        <v>70</v>
      </c>
      <c r="E143" s="1108">
        <v>132</v>
      </c>
      <c r="F143" s="1108">
        <v>51</v>
      </c>
      <c r="G143" s="1108">
        <v>20</v>
      </c>
      <c r="H143" s="1108">
        <v>8</v>
      </c>
      <c r="I143" s="1108">
        <v>0</v>
      </c>
      <c r="J143" s="1108">
        <v>0</v>
      </c>
      <c r="K143" s="1108">
        <v>0</v>
      </c>
      <c r="L143" s="1108">
        <v>0</v>
      </c>
      <c r="M143" s="1108">
        <v>273</v>
      </c>
      <c r="N143" s="1108">
        <v>281</v>
      </c>
      <c r="O143" s="1109" t="s">
        <v>1308</v>
      </c>
      <c r="P143" s="1109"/>
      <c r="Q143" s="1109"/>
      <c r="R143" s="1109"/>
      <c r="S143" s="1109"/>
      <c r="T143" s="1068" t="s">
        <v>1309</v>
      </c>
    </row>
    <row r="144" spans="1:20" x14ac:dyDescent="0.35">
      <c r="A144" s="1080" t="s">
        <v>1310</v>
      </c>
      <c r="B144" s="1081" t="s">
        <v>1311</v>
      </c>
      <c r="C144" s="1108">
        <v>0</v>
      </c>
      <c r="D144" s="1108">
        <v>465</v>
      </c>
      <c r="E144" s="1110">
        <v>2420</v>
      </c>
      <c r="F144" s="1110">
        <v>4755</v>
      </c>
      <c r="G144" s="1110">
        <v>5980</v>
      </c>
      <c r="H144" s="1110">
        <v>4694</v>
      </c>
      <c r="I144" s="1110">
        <v>1573</v>
      </c>
      <c r="J144" s="1108">
        <v>93</v>
      </c>
      <c r="K144" s="1108">
        <v>0</v>
      </c>
      <c r="L144" s="1108">
        <v>0</v>
      </c>
      <c r="M144" s="1110">
        <v>13620</v>
      </c>
      <c r="N144" s="1110">
        <v>19980</v>
      </c>
      <c r="O144" s="1109" t="s">
        <v>1308</v>
      </c>
      <c r="P144" s="1109"/>
      <c r="Q144" s="1109"/>
      <c r="R144" s="1109"/>
      <c r="S144" s="1109"/>
      <c r="T144" s="1068" t="s">
        <v>1312</v>
      </c>
    </row>
    <row r="145" spans="1:20" x14ac:dyDescent="0.35">
      <c r="A145" s="1063" t="s">
        <v>1313</v>
      </c>
      <c r="B145" s="1064" t="s">
        <v>1314</v>
      </c>
      <c r="C145" s="1108">
        <v>0</v>
      </c>
      <c r="D145" s="1108">
        <v>20</v>
      </c>
      <c r="E145" s="1108">
        <v>65</v>
      </c>
      <c r="F145" s="1108">
        <v>110</v>
      </c>
      <c r="G145" s="1108">
        <v>135</v>
      </c>
      <c r="H145" s="1108">
        <v>180</v>
      </c>
      <c r="I145" s="1108">
        <v>230</v>
      </c>
      <c r="J145" s="1108">
        <v>180</v>
      </c>
      <c r="K145" s="1108">
        <v>60</v>
      </c>
      <c r="L145" s="1108">
        <v>10</v>
      </c>
      <c r="M145" s="1108">
        <v>330</v>
      </c>
      <c r="N145" s="1108">
        <v>990</v>
      </c>
      <c r="O145" s="1109" t="s">
        <v>1308</v>
      </c>
      <c r="P145" s="1109"/>
      <c r="Q145" s="1109"/>
      <c r="R145" s="1109"/>
      <c r="S145" s="1109"/>
      <c r="T145" s="1091" t="s">
        <v>1315</v>
      </c>
    </row>
    <row r="146" spans="1:20" x14ac:dyDescent="0.35">
      <c r="A146" s="1063" t="s">
        <v>1316</v>
      </c>
      <c r="B146" s="1064" t="s">
        <v>1317</v>
      </c>
      <c r="C146" s="1108">
        <v>0</v>
      </c>
      <c r="D146" s="1110">
        <v>20892</v>
      </c>
      <c r="E146" s="1110">
        <v>11288</v>
      </c>
      <c r="F146" s="1110">
        <v>9651</v>
      </c>
      <c r="G146" s="1110">
        <v>-8548</v>
      </c>
      <c r="H146" s="1108">
        <v>-463</v>
      </c>
      <c r="I146" s="1108">
        <v>0</v>
      </c>
      <c r="J146" s="1108">
        <v>0</v>
      </c>
      <c r="K146" s="1108">
        <v>0</v>
      </c>
      <c r="L146" s="1108">
        <v>0</v>
      </c>
      <c r="M146" s="1110">
        <v>33283</v>
      </c>
      <c r="N146" s="1110">
        <v>32820</v>
      </c>
      <c r="O146" s="1111" t="s">
        <v>1308</v>
      </c>
      <c r="P146" s="1111"/>
      <c r="Q146" s="1111"/>
      <c r="R146" s="1111"/>
      <c r="S146" s="1111"/>
      <c r="T146" s="1068"/>
    </row>
    <row r="147" spans="1:20" x14ac:dyDescent="0.35">
      <c r="A147" s="1063" t="s">
        <v>1318</v>
      </c>
      <c r="B147" s="1064" t="s">
        <v>1319</v>
      </c>
      <c r="C147" s="1108">
        <v>0</v>
      </c>
      <c r="D147" s="1108">
        <v>24</v>
      </c>
      <c r="E147" s="1108">
        <v>65</v>
      </c>
      <c r="F147" s="1108">
        <v>112</v>
      </c>
      <c r="G147" s="1108">
        <v>130</v>
      </c>
      <c r="H147" s="1108">
        <v>98</v>
      </c>
      <c r="I147" s="1108">
        <v>56</v>
      </c>
      <c r="J147" s="1108">
        <v>15</v>
      </c>
      <c r="K147" s="1108">
        <v>0</v>
      </c>
      <c r="L147" s="1108">
        <v>0</v>
      </c>
      <c r="M147" s="1108">
        <v>331</v>
      </c>
      <c r="N147" s="1108">
        <v>500</v>
      </c>
      <c r="O147" s="1111" t="s">
        <v>1308</v>
      </c>
      <c r="P147" s="1111"/>
      <c r="Q147" s="1111"/>
      <c r="R147" s="1111"/>
      <c r="S147" s="1111"/>
      <c r="T147" s="1068"/>
    </row>
    <row r="148" spans="1:20" x14ac:dyDescent="0.35">
      <c r="A148" s="1112" t="s">
        <v>1320</v>
      </c>
      <c r="B148" s="1113" t="s">
        <v>1321</v>
      </c>
      <c r="C148" s="1108">
        <v>0</v>
      </c>
      <c r="D148" s="1108">
        <v>50</v>
      </c>
      <c r="E148" s="1108">
        <v>500</v>
      </c>
      <c r="F148" s="1108">
        <v>920</v>
      </c>
      <c r="G148" s="1110">
        <v>1310</v>
      </c>
      <c r="H148" s="1110">
        <v>1680</v>
      </c>
      <c r="I148" s="1110">
        <v>1780</v>
      </c>
      <c r="J148" s="1110">
        <v>1640</v>
      </c>
      <c r="K148" s="1110">
        <v>1090</v>
      </c>
      <c r="L148" s="1108">
        <v>630</v>
      </c>
      <c r="M148" s="1110">
        <v>2780</v>
      </c>
      <c r="N148" s="1110">
        <v>9600</v>
      </c>
      <c r="O148" s="1111" t="s">
        <v>1308</v>
      </c>
      <c r="P148" s="1111"/>
      <c r="Q148" s="1111"/>
      <c r="R148" s="1111"/>
      <c r="S148" s="1111"/>
      <c r="T148" s="1114"/>
    </row>
    <row r="149" spans="1:20" x14ac:dyDescent="0.35">
      <c r="A149" s="1063" t="s">
        <v>1322</v>
      </c>
      <c r="B149" s="1064" t="s">
        <v>1323</v>
      </c>
      <c r="C149" s="1108">
        <v>0</v>
      </c>
      <c r="D149" s="1108">
        <v>30</v>
      </c>
      <c r="E149" s="1108">
        <v>90</v>
      </c>
      <c r="F149" s="1108">
        <v>90</v>
      </c>
      <c r="G149" s="1108">
        <v>85</v>
      </c>
      <c r="H149" s="1108">
        <v>70</v>
      </c>
      <c r="I149" s="1108">
        <v>65</v>
      </c>
      <c r="J149" s="1108">
        <v>65</v>
      </c>
      <c r="K149" s="1108">
        <v>35</v>
      </c>
      <c r="L149" s="1108">
        <v>15</v>
      </c>
      <c r="M149" s="1108">
        <v>295</v>
      </c>
      <c r="N149" s="1108">
        <v>545</v>
      </c>
      <c r="O149" s="1111" t="s">
        <v>1308</v>
      </c>
      <c r="P149" s="1111"/>
      <c r="Q149" s="1111"/>
      <c r="R149" s="1111"/>
      <c r="S149" s="1111"/>
      <c r="T149" s="1068"/>
    </row>
    <row r="150" spans="1:20" x14ac:dyDescent="0.35">
      <c r="A150" s="1063" t="s">
        <v>1324</v>
      </c>
      <c r="B150" s="1064" t="s">
        <v>1325</v>
      </c>
      <c r="C150" s="1108">
        <v>0</v>
      </c>
      <c r="D150" s="1108">
        <v>185</v>
      </c>
      <c r="E150" s="1108">
        <v>394</v>
      </c>
      <c r="F150" s="1108">
        <v>639</v>
      </c>
      <c r="G150" s="1108">
        <v>722</v>
      </c>
      <c r="H150" s="1108">
        <v>595</v>
      </c>
      <c r="I150" s="1108">
        <v>346</v>
      </c>
      <c r="J150" s="1108">
        <v>101</v>
      </c>
      <c r="K150" s="1108">
        <v>18</v>
      </c>
      <c r="L150" s="1108">
        <v>0</v>
      </c>
      <c r="M150" s="1110">
        <v>1940</v>
      </c>
      <c r="N150" s="1110">
        <v>3000</v>
      </c>
      <c r="O150" s="1109" t="s">
        <v>1308</v>
      </c>
      <c r="P150" s="1109"/>
      <c r="Q150" s="1109"/>
      <c r="R150" s="1109"/>
      <c r="S150" s="1109"/>
      <c r="T150" s="1068"/>
    </row>
    <row r="151" spans="1:20" x14ac:dyDescent="0.35">
      <c r="A151" s="1063" t="s">
        <v>1326</v>
      </c>
      <c r="B151" s="1064" t="s">
        <v>1327</v>
      </c>
      <c r="C151" s="1108">
        <v>0</v>
      </c>
      <c r="D151" s="1108">
        <v>8</v>
      </c>
      <c r="E151" s="1108">
        <v>26</v>
      </c>
      <c r="F151" s="1108">
        <v>41</v>
      </c>
      <c r="G151" s="1108">
        <v>38</v>
      </c>
      <c r="H151" s="1108">
        <v>22</v>
      </c>
      <c r="I151" s="1108">
        <v>11</v>
      </c>
      <c r="J151" s="1108">
        <v>4</v>
      </c>
      <c r="K151" s="1108">
        <v>0</v>
      </c>
      <c r="L151" s="1108">
        <v>0</v>
      </c>
      <c r="M151" s="1108">
        <v>113</v>
      </c>
      <c r="N151" s="1108">
        <v>150</v>
      </c>
      <c r="O151" s="1109" t="s">
        <v>1308</v>
      </c>
      <c r="P151" s="1109"/>
      <c r="Q151" s="1109"/>
      <c r="R151" s="1109"/>
      <c r="S151" s="1109"/>
      <c r="T151" s="1068"/>
    </row>
    <row r="152" spans="1:20" ht="24" customHeight="1" x14ac:dyDescent="0.35">
      <c r="A152" s="1080" t="s">
        <v>1328</v>
      </c>
      <c r="B152" s="1081" t="s">
        <v>1329</v>
      </c>
      <c r="C152" s="1115">
        <v>0</v>
      </c>
      <c r="D152" s="1116">
        <v>77</v>
      </c>
      <c r="E152" s="1116">
        <v>232</v>
      </c>
      <c r="F152" s="1116">
        <v>341</v>
      </c>
      <c r="G152" s="1116">
        <v>496</v>
      </c>
      <c r="H152" s="1116">
        <v>310</v>
      </c>
      <c r="I152" s="1116">
        <v>47</v>
      </c>
      <c r="J152" s="1116">
        <v>31</v>
      </c>
      <c r="K152" s="1116">
        <v>15</v>
      </c>
      <c r="L152" s="1116">
        <v>1</v>
      </c>
      <c r="M152" s="1117">
        <v>1146</v>
      </c>
      <c r="N152" s="1117">
        <v>1550</v>
      </c>
      <c r="O152" s="1118" t="s">
        <v>1330</v>
      </c>
      <c r="P152" s="1125"/>
      <c r="Q152" s="1125"/>
      <c r="R152" s="1125"/>
      <c r="S152" s="1125"/>
      <c r="T152" s="1068" t="s">
        <v>1331</v>
      </c>
    </row>
    <row r="153" spans="1:20" ht="30" customHeight="1" x14ac:dyDescent="0.35">
      <c r="A153" s="1063" t="s">
        <v>1332</v>
      </c>
      <c r="B153" s="1064" t="s">
        <v>1333</v>
      </c>
      <c r="C153" s="1119">
        <v>0</v>
      </c>
      <c r="D153" s="1119">
        <v>264</v>
      </c>
      <c r="E153" s="1119">
        <v>715</v>
      </c>
      <c r="F153" s="1119">
        <v>1393</v>
      </c>
      <c r="G153" s="1119">
        <v>2492</v>
      </c>
      <c r="H153" s="1119">
        <v>3364</v>
      </c>
      <c r="I153" s="1119">
        <v>3209</v>
      </c>
      <c r="J153" s="1119">
        <v>2750</v>
      </c>
      <c r="K153" s="1119">
        <v>1783</v>
      </c>
      <c r="L153" s="1119">
        <v>744</v>
      </c>
      <c r="M153" s="1120">
        <v>4864</v>
      </c>
      <c r="N153" s="1120">
        <v>16714</v>
      </c>
      <c r="O153" s="1126" t="s">
        <v>52</v>
      </c>
      <c r="P153" s="1126"/>
      <c r="Q153" s="1126"/>
      <c r="R153" s="1126"/>
      <c r="S153" s="1126"/>
      <c r="T153" s="1127" t="s">
        <v>1334</v>
      </c>
    </row>
    <row r="154" spans="1:20" x14ac:dyDescent="0.35">
      <c r="A154" s="1063" t="s">
        <v>1335</v>
      </c>
      <c r="B154" s="1064" t="s">
        <v>1336</v>
      </c>
      <c r="C154" s="1128">
        <v>0</v>
      </c>
      <c r="D154" s="1128">
        <v>0</v>
      </c>
      <c r="E154" s="1128">
        <v>50</v>
      </c>
      <c r="F154" s="1128">
        <v>270</v>
      </c>
      <c r="G154" s="1128">
        <v>680</v>
      </c>
      <c r="H154" s="1128">
        <v>850</v>
      </c>
      <c r="I154" s="1128">
        <v>730</v>
      </c>
      <c r="J154" s="1128">
        <v>485</v>
      </c>
      <c r="K154" s="1128">
        <v>285</v>
      </c>
      <c r="L154" s="1128">
        <v>145</v>
      </c>
      <c r="M154" s="1129">
        <v>1000</v>
      </c>
      <c r="N154" s="1129">
        <v>3495</v>
      </c>
      <c r="O154" s="1130" t="s">
        <v>52</v>
      </c>
      <c r="P154" s="1130"/>
      <c r="Q154" s="1130"/>
      <c r="R154" s="1130"/>
      <c r="S154" s="1130"/>
      <c r="T154" s="1131" t="s">
        <v>1337</v>
      </c>
    </row>
    <row r="155" spans="1:20" x14ac:dyDescent="0.35">
      <c r="A155" s="1063" t="s">
        <v>1338</v>
      </c>
      <c r="B155" s="1064" t="s">
        <v>1339</v>
      </c>
      <c r="C155" s="1128">
        <v>0</v>
      </c>
      <c r="D155" s="1128">
        <v>5</v>
      </c>
      <c r="E155" s="1128">
        <v>5</v>
      </c>
      <c r="F155" s="1128">
        <v>10</v>
      </c>
      <c r="G155" s="1128">
        <v>25</v>
      </c>
      <c r="H155" s="1128">
        <v>70</v>
      </c>
      <c r="I155" s="1128">
        <v>175</v>
      </c>
      <c r="J155" s="1128">
        <v>385</v>
      </c>
      <c r="K155" s="1128">
        <v>460</v>
      </c>
      <c r="L155" s="1128">
        <v>325</v>
      </c>
      <c r="M155" s="1128">
        <v>45</v>
      </c>
      <c r="N155" s="1129">
        <v>1460</v>
      </c>
      <c r="O155" s="1132" t="s">
        <v>52</v>
      </c>
      <c r="P155" s="1132"/>
      <c r="Q155" s="1132"/>
      <c r="R155" s="1132"/>
      <c r="S155" s="1132"/>
      <c r="T155" s="1131" t="s">
        <v>1340</v>
      </c>
    </row>
    <row r="156" spans="1:20" x14ac:dyDescent="0.35">
      <c r="A156" s="1080" t="s">
        <v>1341</v>
      </c>
      <c r="B156" s="1081" t="s">
        <v>1342</v>
      </c>
      <c r="C156" s="1128">
        <v>0</v>
      </c>
      <c r="D156" s="1128">
        <v>6</v>
      </c>
      <c r="E156" s="1128">
        <v>8</v>
      </c>
      <c r="F156" s="1128">
        <v>1</v>
      </c>
      <c r="G156" s="1128">
        <v>0</v>
      </c>
      <c r="H156" s="1128">
        <v>0</v>
      </c>
      <c r="I156" s="1128">
        <v>0</v>
      </c>
      <c r="J156" s="1128">
        <v>0</v>
      </c>
      <c r="K156" s="1128">
        <v>0</v>
      </c>
      <c r="L156" s="1128">
        <v>0</v>
      </c>
      <c r="M156" s="1128">
        <v>15</v>
      </c>
      <c r="N156" s="1128">
        <v>15</v>
      </c>
      <c r="O156" s="1132" t="s">
        <v>52</v>
      </c>
      <c r="P156" s="1132"/>
      <c r="Q156" s="1132"/>
      <c r="R156" s="1132"/>
      <c r="S156" s="1132"/>
      <c r="T156" s="1131" t="s">
        <v>1343</v>
      </c>
    </row>
    <row r="157" spans="1:20" ht="24" customHeight="1" x14ac:dyDescent="0.35">
      <c r="A157" s="1063" t="s">
        <v>1344</v>
      </c>
      <c r="B157" s="1064" t="s">
        <v>1345</v>
      </c>
      <c r="C157" s="1128">
        <v>0</v>
      </c>
      <c r="D157" s="1128">
        <v>5</v>
      </c>
      <c r="E157" s="1128">
        <v>41</v>
      </c>
      <c r="F157" s="1128">
        <v>116</v>
      </c>
      <c r="G157" s="1128">
        <v>284</v>
      </c>
      <c r="H157" s="1128">
        <v>417</v>
      </c>
      <c r="I157" s="1128">
        <v>459</v>
      </c>
      <c r="J157" s="1128">
        <v>355</v>
      </c>
      <c r="K157" s="1128">
        <v>210</v>
      </c>
      <c r="L157" s="1128">
        <v>90</v>
      </c>
      <c r="M157" s="1128">
        <v>446</v>
      </c>
      <c r="N157" s="1129">
        <v>1977</v>
      </c>
      <c r="O157" s="1133" t="s">
        <v>52</v>
      </c>
      <c r="P157" s="1133"/>
      <c r="Q157" s="1133"/>
      <c r="R157" s="1133"/>
      <c r="S157" s="1133"/>
      <c r="T157" s="1134" t="s">
        <v>1346</v>
      </c>
    </row>
    <row r="158" spans="1:20" ht="24" customHeight="1" x14ac:dyDescent="0.35">
      <c r="A158" s="1063" t="s">
        <v>1347</v>
      </c>
      <c r="B158" s="1064" t="s">
        <v>1348</v>
      </c>
      <c r="C158" s="1128">
        <v>0</v>
      </c>
      <c r="D158" s="1128">
        <v>20</v>
      </c>
      <c r="E158" s="1128">
        <v>100</v>
      </c>
      <c r="F158" s="1128">
        <v>460</v>
      </c>
      <c r="G158" s="1129">
        <v>1070</v>
      </c>
      <c r="H158" s="1129">
        <v>1430</v>
      </c>
      <c r="I158" s="1129">
        <v>1110</v>
      </c>
      <c r="J158" s="1128">
        <v>660</v>
      </c>
      <c r="K158" s="1128">
        <v>300</v>
      </c>
      <c r="L158" s="1128">
        <v>100</v>
      </c>
      <c r="M158" s="1129">
        <v>1650</v>
      </c>
      <c r="N158" s="1129">
        <v>5250</v>
      </c>
      <c r="O158" s="1132" t="s">
        <v>52</v>
      </c>
      <c r="P158" s="1132"/>
      <c r="Q158" s="1132"/>
      <c r="R158" s="1132"/>
      <c r="S158" s="1132"/>
      <c r="T158" s="1131" t="s">
        <v>1349</v>
      </c>
    </row>
    <row r="159" spans="1:20" x14ac:dyDescent="0.35">
      <c r="A159" s="1063" t="s">
        <v>1350</v>
      </c>
      <c r="B159" s="1064" t="s">
        <v>1351</v>
      </c>
      <c r="C159" s="1146">
        <v>0</v>
      </c>
      <c r="D159" s="1146">
        <v>56</v>
      </c>
      <c r="E159" s="1146">
        <v>141</v>
      </c>
      <c r="F159" s="1146">
        <v>230</v>
      </c>
      <c r="G159" s="1146">
        <v>343</v>
      </c>
      <c r="H159" s="1146">
        <v>470</v>
      </c>
      <c r="I159" s="1146">
        <v>620</v>
      </c>
      <c r="J159" s="1146">
        <v>802</v>
      </c>
      <c r="K159" s="1146">
        <v>1024</v>
      </c>
      <c r="L159" s="1146">
        <v>1330</v>
      </c>
      <c r="M159" s="1146">
        <v>769</v>
      </c>
      <c r="N159" s="1146">
        <v>5015</v>
      </c>
      <c r="O159" s="1130" t="s">
        <v>52</v>
      </c>
      <c r="P159" s="1130"/>
      <c r="Q159" s="1130"/>
      <c r="R159" s="1130"/>
      <c r="S159" s="1130"/>
      <c r="T159" s="1068"/>
    </row>
    <row r="160" spans="1:20" x14ac:dyDescent="0.35">
      <c r="A160" s="1063" t="s">
        <v>1352</v>
      </c>
      <c r="B160" s="1064" t="s">
        <v>1353</v>
      </c>
      <c r="C160" s="1128"/>
      <c r="D160" s="1128"/>
      <c r="E160" s="1128"/>
      <c r="F160" s="1128"/>
      <c r="G160" s="1128"/>
      <c r="H160" s="1128"/>
      <c r="I160" s="1128"/>
      <c r="J160" s="1128"/>
      <c r="K160" s="1128"/>
      <c r="L160" s="1128"/>
      <c r="M160" s="1128"/>
      <c r="N160" s="1129"/>
      <c r="O160" s="1133"/>
      <c r="P160" s="1133"/>
      <c r="Q160" s="1133"/>
      <c r="R160" s="1133"/>
      <c r="S160" s="1133"/>
      <c r="T160" s="1068"/>
    </row>
    <row r="161" spans="1:21" x14ac:dyDescent="0.35">
      <c r="A161" s="1063" t="s">
        <v>1354</v>
      </c>
      <c r="B161" s="1064" t="s">
        <v>1355</v>
      </c>
      <c r="C161" s="1128"/>
      <c r="D161" s="1128"/>
      <c r="E161" s="1128"/>
      <c r="F161" s="1128"/>
      <c r="G161" s="1128"/>
      <c r="H161" s="1128"/>
      <c r="I161" s="1128"/>
      <c r="J161" s="1128"/>
      <c r="K161" s="1128"/>
      <c r="L161" s="1128"/>
      <c r="M161" s="1128"/>
      <c r="N161" s="1129"/>
      <c r="O161" s="1147"/>
      <c r="P161" s="1147"/>
      <c r="Q161" s="1147"/>
      <c r="R161" s="1147"/>
      <c r="S161" s="1147"/>
      <c r="T161" s="1148"/>
    </row>
    <row r="162" spans="1:21" x14ac:dyDescent="0.35">
      <c r="A162" s="1063" t="s">
        <v>1356</v>
      </c>
      <c r="B162" s="1064" t="s">
        <v>1357</v>
      </c>
      <c r="C162" s="1128">
        <v>0</v>
      </c>
      <c r="D162" s="1128">
        <v>20</v>
      </c>
      <c r="E162" s="1128">
        <v>70</v>
      </c>
      <c r="F162" s="1128">
        <v>130</v>
      </c>
      <c r="G162" s="1128">
        <v>155</v>
      </c>
      <c r="H162" s="1128">
        <v>155</v>
      </c>
      <c r="I162" s="1128">
        <v>155</v>
      </c>
      <c r="J162" s="1128">
        <v>135</v>
      </c>
      <c r="K162" s="1128">
        <v>80</v>
      </c>
      <c r="L162" s="1128">
        <v>20</v>
      </c>
      <c r="M162" s="1128">
        <v>375</v>
      </c>
      <c r="N162" s="1128">
        <v>920</v>
      </c>
      <c r="O162" s="1132" t="s">
        <v>52</v>
      </c>
      <c r="P162" s="1132"/>
      <c r="Q162" s="1132"/>
      <c r="R162" s="1132"/>
      <c r="S162" s="1132"/>
      <c r="T162" s="1068"/>
    </row>
    <row r="163" spans="1:21" x14ac:dyDescent="0.35">
      <c r="A163" s="1080" t="s">
        <v>1358</v>
      </c>
      <c r="B163" s="1081" t="s">
        <v>1359</v>
      </c>
      <c r="C163" s="1128">
        <v>0</v>
      </c>
      <c r="D163" s="1128">
        <v>15</v>
      </c>
      <c r="E163" s="1128">
        <v>12</v>
      </c>
      <c r="F163" s="1128">
        <v>8</v>
      </c>
      <c r="G163" s="1128">
        <v>4</v>
      </c>
      <c r="H163" s="1128">
        <v>0</v>
      </c>
      <c r="I163" s="1128">
        <v>0</v>
      </c>
      <c r="J163" s="1128">
        <v>0</v>
      </c>
      <c r="K163" s="1128">
        <v>0</v>
      </c>
      <c r="L163" s="1128">
        <v>0</v>
      </c>
      <c r="M163" s="1128">
        <v>39</v>
      </c>
      <c r="N163" s="1128">
        <v>39</v>
      </c>
      <c r="O163" s="1132" t="s">
        <v>52</v>
      </c>
      <c r="P163" s="1132"/>
      <c r="Q163" s="1132"/>
      <c r="R163" s="1132"/>
      <c r="S163" s="1132"/>
      <c r="T163" s="1068"/>
    </row>
    <row r="164" spans="1:21" x14ac:dyDescent="0.35">
      <c r="A164" s="1063" t="s">
        <v>1360</v>
      </c>
      <c r="B164" s="1064" t="s">
        <v>1361</v>
      </c>
      <c r="C164" s="1149">
        <v>0</v>
      </c>
      <c r="D164" s="1149">
        <v>25</v>
      </c>
      <c r="E164" s="1149">
        <v>100</v>
      </c>
      <c r="F164" s="1149">
        <v>125</v>
      </c>
      <c r="G164" s="1149">
        <v>100</v>
      </c>
      <c r="H164" s="1149">
        <v>75</v>
      </c>
      <c r="I164" s="1149">
        <v>30</v>
      </c>
      <c r="J164" s="1149">
        <v>20</v>
      </c>
      <c r="K164" s="1149">
        <v>0</v>
      </c>
      <c r="L164" s="1149">
        <v>0</v>
      </c>
      <c r="M164" s="1149">
        <v>350</v>
      </c>
      <c r="N164" s="1149">
        <v>475</v>
      </c>
      <c r="O164" s="1150" t="s">
        <v>52</v>
      </c>
      <c r="P164" s="1150"/>
      <c r="Q164" s="1150"/>
      <c r="R164" s="1150"/>
      <c r="S164" s="1150"/>
      <c r="T164" s="1068"/>
    </row>
    <row r="165" spans="1:21" x14ac:dyDescent="0.35">
      <c r="A165" s="42"/>
      <c r="B165" s="1016"/>
      <c r="C165" s="57"/>
      <c r="D165" s="57"/>
      <c r="E165" s="57"/>
      <c r="F165" s="57"/>
      <c r="G165" s="57"/>
      <c r="H165" s="57"/>
      <c r="I165" s="57"/>
      <c r="J165" s="57"/>
      <c r="K165" s="57"/>
      <c r="L165" s="57"/>
      <c r="M165" s="57"/>
      <c r="N165" s="57"/>
      <c r="O165" s="42"/>
      <c r="P165" s="42"/>
      <c r="Q165" s="42"/>
      <c r="R165" s="42"/>
      <c r="S165" s="42"/>
      <c r="T165" s="1016"/>
    </row>
    <row r="167" spans="1:21" x14ac:dyDescent="0.35">
      <c r="A167" s="43" t="s">
        <v>1369</v>
      </c>
    </row>
    <row r="168" spans="1:21" x14ac:dyDescent="0.35">
      <c r="A168" s="1151"/>
      <c r="B168" s="1151"/>
      <c r="C168" s="1135"/>
      <c r="D168" s="1135">
        <v>2022</v>
      </c>
      <c r="E168" s="1135">
        <v>2023</v>
      </c>
      <c r="F168" s="1135">
        <v>2024</v>
      </c>
      <c r="G168" s="1135">
        <v>2025</v>
      </c>
      <c r="H168" s="1135">
        <v>2026</v>
      </c>
      <c r="I168" s="1135">
        <v>2027</v>
      </c>
      <c r="J168" s="1135">
        <v>2028</v>
      </c>
      <c r="K168" s="1135">
        <v>2029</v>
      </c>
      <c r="L168" s="1135">
        <v>2030</v>
      </c>
      <c r="M168" s="1136">
        <v>2031</v>
      </c>
      <c r="N168" s="1137" t="s">
        <v>1362</v>
      </c>
      <c r="O168" s="1137" t="s">
        <v>1363</v>
      </c>
      <c r="P168" s="1122"/>
      <c r="Q168" s="1122"/>
      <c r="R168" s="1122"/>
      <c r="S168" s="1122"/>
      <c r="U168" s="29"/>
    </row>
    <row r="169" spans="1:21" x14ac:dyDescent="0.35">
      <c r="A169" s="1152" t="s">
        <v>1364</v>
      </c>
      <c r="B169" s="1152"/>
      <c r="C169" s="1158"/>
      <c r="D169" s="1158">
        <f t="shared" ref="D169:O169" si="9">D78/1000</f>
        <v>0</v>
      </c>
      <c r="E169" s="1158">
        <f t="shared" si="9"/>
        <v>6.8000000000000005E-2</v>
      </c>
      <c r="F169" s="1158">
        <f t="shared" si="9"/>
        <v>1.363</v>
      </c>
      <c r="G169" s="1158">
        <f t="shared" si="9"/>
        <v>2.4329999999999998</v>
      </c>
      <c r="H169" s="1158">
        <f t="shared" si="9"/>
        <v>2.8029999999999999</v>
      </c>
      <c r="I169" s="1158">
        <f t="shared" si="9"/>
        <v>1.7410000000000001</v>
      </c>
      <c r="J169" s="1158">
        <f t="shared" si="9"/>
        <v>0.56999999999999995</v>
      </c>
      <c r="K169" s="1158">
        <f t="shared" si="9"/>
        <v>3.5000000000000003E-2</v>
      </c>
      <c r="L169" s="1158">
        <f t="shared" si="9"/>
        <v>0</v>
      </c>
      <c r="M169" s="1158">
        <f t="shared" si="9"/>
        <v>0</v>
      </c>
      <c r="N169" s="1158">
        <f t="shared" si="9"/>
        <v>6.6669999999999998</v>
      </c>
      <c r="O169" s="1158">
        <f t="shared" si="9"/>
        <v>9.0129999999999999</v>
      </c>
      <c r="P169" s="1158"/>
      <c r="Q169" s="1158"/>
      <c r="R169" s="1158"/>
      <c r="S169" s="1158"/>
      <c r="U169" s="29"/>
    </row>
    <row r="170" spans="1:21" x14ac:dyDescent="0.35">
      <c r="A170" s="1152" t="s">
        <v>1365</v>
      </c>
      <c r="B170" s="1152"/>
      <c r="C170" s="1158"/>
      <c r="D170" s="1158">
        <f t="shared" ref="D170:O170" si="10">(D77+D70)/1000</f>
        <v>0</v>
      </c>
      <c r="E170" s="1158">
        <f t="shared" si="10"/>
        <v>0.81899999999999995</v>
      </c>
      <c r="F170" s="1158">
        <f t="shared" si="10"/>
        <v>2.4780000000000002</v>
      </c>
      <c r="G170" s="1158">
        <f t="shared" si="10"/>
        <v>4.0720000000000001</v>
      </c>
      <c r="H170" s="1158">
        <f t="shared" si="10"/>
        <v>5.4480000000000004</v>
      </c>
      <c r="I170" s="1158">
        <f t="shared" si="10"/>
        <v>4.8289999999999997</v>
      </c>
      <c r="J170" s="1158">
        <f t="shared" si="10"/>
        <v>3.2949999999999999</v>
      </c>
      <c r="K170" s="1158">
        <f t="shared" si="10"/>
        <v>1.98</v>
      </c>
      <c r="L170" s="1158">
        <f t="shared" si="10"/>
        <v>1.01</v>
      </c>
      <c r="M170" s="1158">
        <f t="shared" si="10"/>
        <v>0.40400000000000003</v>
      </c>
      <c r="N170" s="1158">
        <f t="shared" si="10"/>
        <v>12.817</v>
      </c>
      <c r="O170" s="1158">
        <f t="shared" si="10"/>
        <v>24.335000000000001</v>
      </c>
      <c r="P170" s="1158"/>
      <c r="Q170" s="1158"/>
      <c r="R170" s="1158"/>
      <c r="S170" s="1158"/>
      <c r="U170" s="29"/>
    </row>
    <row r="171" spans="1:21" x14ac:dyDescent="0.35">
      <c r="A171" s="1152" t="s">
        <v>1366</v>
      </c>
      <c r="B171" s="1152"/>
      <c r="C171" s="1158"/>
      <c r="D171" s="1158">
        <f t="shared" ref="D171:O171" si="11">(D69+D76)/1000</f>
        <v>0</v>
      </c>
      <c r="E171" s="1158">
        <f t="shared" si="11"/>
        <v>4.5430000000000001</v>
      </c>
      <c r="F171" s="1158">
        <f t="shared" si="11"/>
        <v>5.6079999999999997</v>
      </c>
      <c r="G171" s="1158">
        <f t="shared" si="11"/>
        <v>8.16</v>
      </c>
      <c r="H171" s="1158">
        <f t="shared" si="11"/>
        <v>10.069000000000001</v>
      </c>
      <c r="I171" s="1158">
        <f t="shared" si="11"/>
        <v>12.026999999999999</v>
      </c>
      <c r="J171" s="1158">
        <f t="shared" si="11"/>
        <v>13.826000000000001</v>
      </c>
      <c r="K171" s="1158">
        <f t="shared" si="11"/>
        <v>15.862</v>
      </c>
      <c r="L171" s="1158">
        <f t="shared" si="11"/>
        <v>17.890999999999998</v>
      </c>
      <c r="M171" s="1158">
        <f t="shared" si="11"/>
        <v>17.481000000000002</v>
      </c>
      <c r="N171" s="1158">
        <f t="shared" si="11"/>
        <v>28.38</v>
      </c>
      <c r="O171" s="1158">
        <f t="shared" si="11"/>
        <v>105.467</v>
      </c>
      <c r="P171" s="1158"/>
      <c r="Q171" s="1158"/>
      <c r="R171" s="1158"/>
      <c r="S171" s="1158"/>
      <c r="U171" s="29"/>
    </row>
    <row r="172" spans="1:21" x14ac:dyDescent="0.35">
      <c r="A172" s="1153" t="s">
        <v>52</v>
      </c>
      <c r="B172" s="1153"/>
      <c r="C172" s="1158"/>
      <c r="D172" s="1158">
        <f t="shared" ref="D172:O172" si="12">(D79+D74)/1000</f>
        <v>0</v>
      </c>
      <c r="E172" s="1158">
        <f t="shared" si="12"/>
        <v>1.2969999999999999</v>
      </c>
      <c r="F172" s="1158">
        <f t="shared" si="12"/>
        <v>3.8479999999999999</v>
      </c>
      <c r="G172" s="1158">
        <f t="shared" si="12"/>
        <v>6.4420000000000002</v>
      </c>
      <c r="H172" s="1158">
        <f t="shared" si="12"/>
        <v>9.532</v>
      </c>
      <c r="I172" s="1158">
        <f t="shared" si="12"/>
        <v>11.882</v>
      </c>
      <c r="J172" s="1158">
        <f t="shared" si="12"/>
        <v>11.727</v>
      </c>
      <c r="K172" s="1158">
        <f t="shared" si="12"/>
        <v>10.569000000000001</v>
      </c>
      <c r="L172" s="1158">
        <f t="shared" si="12"/>
        <v>8.8879999999999999</v>
      </c>
      <c r="M172" s="1158">
        <f t="shared" si="12"/>
        <v>7.1890000000000001</v>
      </c>
      <c r="N172" s="1158">
        <f t="shared" si="12"/>
        <v>21.117000000000001</v>
      </c>
      <c r="O172" s="1158">
        <f t="shared" si="12"/>
        <v>71.372</v>
      </c>
      <c r="P172" s="1158"/>
      <c r="Q172" s="1158"/>
      <c r="R172" s="1158"/>
      <c r="S172" s="1158"/>
      <c r="U172" s="29"/>
    </row>
    <row r="173" spans="1:21" x14ac:dyDescent="0.35">
      <c r="A173" s="1154" t="s">
        <v>526</v>
      </c>
      <c r="B173" s="1154"/>
      <c r="C173" s="1158"/>
      <c r="D173" s="1158"/>
      <c r="E173" s="1158"/>
      <c r="F173" s="1158"/>
      <c r="G173" s="1158"/>
      <c r="H173" s="1158"/>
      <c r="I173" s="1158"/>
      <c r="J173" s="1158"/>
      <c r="K173" s="1158"/>
      <c r="L173" s="1158"/>
      <c r="M173" s="1158"/>
      <c r="N173" s="1158"/>
      <c r="O173" s="1158"/>
      <c r="P173" s="1158"/>
      <c r="Q173" s="1158"/>
      <c r="R173" s="1158"/>
      <c r="S173" s="1158"/>
      <c r="U173" s="29"/>
    </row>
    <row r="174" spans="1:21" x14ac:dyDescent="0.35">
      <c r="A174" s="1155" t="s">
        <v>54</v>
      </c>
      <c r="B174" s="1155"/>
      <c r="C174" s="1158"/>
      <c r="D174" s="1158">
        <f t="shared" ref="D174:O174" si="13">D71/1000</f>
        <v>0</v>
      </c>
      <c r="E174" s="1158">
        <f t="shared" si="13"/>
        <v>0.11</v>
      </c>
      <c r="F174" s="1158">
        <f t="shared" si="13"/>
        <v>0.73899999999999999</v>
      </c>
      <c r="G174" s="1158">
        <f t="shared" si="13"/>
        <v>1.1950000000000001</v>
      </c>
      <c r="H174" s="1158">
        <f t="shared" si="13"/>
        <v>1.4970000000000001</v>
      </c>
      <c r="I174" s="1158">
        <f t="shared" si="13"/>
        <v>1.91</v>
      </c>
      <c r="J174" s="1158">
        <f t="shared" si="13"/>
        <v>2.4049999999999998</v>
      </c>
      <c r="K174" s="1158">
        <f t="shared" si="13"/>
        <v>2.9220000000000002</v>
      </c>
      <c r="L174" s="1158">
        <f t="shared" si="13"/>
        <v>3.4630000000000001</v>
      </c>
      <c r="M174" s="1158">
        <f t="shared" si="13"/>
        <v>4.0069999999999997</v>
      </c>
      <c r="N174" s="1158">
        <f t="shared" si="13"/>
        <v>3.5409999999999999</v>
      </c>
      <c r="O174" s="1158">
        <f t="shared" si="13"/>
        <v>18.248000000000001</v>
      </c>
      <c r="P174" s="1158"/>
      <c r="Q174" s="1158"/>
      <c r="R174" s="1158"/>
      <c r="S174" s="1158"/>
      <c r="U174" s="29"/>
    </row>
    <row r="175" spans="1:21" x14ac:dyDescent="0.35">
      <c r="A175" s="1155" t="s">
        <v>1367</v>
      </c>
      <c r="B175" s="1155"/>
      <c r="C175" s="1158"/>
      <c r="D175" s="1158">
        <f t="shared" ref="D175:O175" si="14">D72/1000</f>
        <v>0</v>
      </c>
      <c r="E175" s="1158">
        <f t="shared" si="14"/>
        <v>-0.41499999999999998</v>
      </c>
      <c r="F175" s="1158">
        <f t="shared" si="14"/>
        <v>2.7679999999999998</v>
      </c>
      <c r="G175" s="1158">
        <f t="shared" si="14"/>
        <v>-12.473000000000001</v>
      </c>
      <c r="H175" s="1158">
        <f t="shared" si="14"/>
        <v>-5.3739999999999997</v>
      </c>
      <c r="I175" s="1158">
        <f t="shared" si="14"/>
        <v>-25.515000000000001</v>
      </c>
      <c r="J175" s="1158">
        <f t="shared" si="14"/>
        <v>-43.975000000000001</v>
      </c>
      <c r="K175" s="1158">
        <f t="shared" si="14"/>
        <v>-46.426000000000002</v>
      </c>
      <c r="L175" s="1158">
        <f t="shared" si="14"/>
        <v>-56.228000000000002</v>
      </c>
      <c r="M175" s="1158">
        <f t="shared" si="14"/>
        <v>-60.581000000000003</v>
      </c>
      <c r="N175" s="1158">
        <f t="shared" si="14"/>
        <v>-15.494</v>
      </c>
      <c r="O175" s="1158">
        <f t="shared" si="14"/>
        <v>-248.21899999999999</v>
      </c>
      <c r="P175" s="1158"/>
      <c r="Q175" s="1158"/>
      <c r="R175" s="1158"/>
      <c r="S175" s="1158"/>
      <c r="U175" s="29"/>
    </row>
    <row r="176" spans="1:21" x14ac:dyDescent="0.35">
      <c r="A176" s="1156" t="s">
        <v>57</v>
      </c>
      <c r="B176" s="1156"/>
      <c r="C176" s="1158"/>
      <c r="D176" s="1158">
        <f t="shared" ref="D176:O176" si="15">(D80+D73)/1000</f>
        <v>-0.622</v>
      </c>
      <c r="E176" s="1158">
        <f t="shared" si="15"/>
        <v>21.89</v>
      </c>
      <c r="F176" s="1158">
        <f t="shared" si="15"/>
        <v>15.439</v>
      </c>
      <c r="G176" s="1158">
        <f t="shared" si="15"/>
        <v>16.966999999999999</v>
      </c>
      <c r="H176" s="1158">
        <f t="shared" si="15"/>
        <v>0.72799999999999998</v>
      </c>
      <c r="I176" s="1158">
        <f t="shared" si="15"/>
        <v>7.657</v>
      </c>
      <c r="J176" s="1158">
        <f t="shared" si="15"/>
        <v>4.5590000000000002</v>
      </c>
      <c r="K176" s="1158">
        <f t="shared" si="15"/>
        <v>2.4649999999999999</v>
      </c>
      <c r="L176" s="1158">
        <f t="shared" si="15"/>
        <v>1.444</v>
      </c>
      <c r="M176" s="1158">
        <f t="shared" si="15"/>
        <v>0.77300000000000002</v>
      </c>
      <c r="N176" s="1158">
        <f t="shared" si="15"/>
        <v>54.402000000000001</v>
      </c>
      <c r="O176" s="1158">
        <f t="shared" si="15"/>
        <v>71.3</v>
      </c>
      <c r="P176" s="1158"/>
      <c r="Q176" s="1158"/>
      <c r="R176" s="1158"/>
      <c r="S176" s="1158"/>
      <c r="U176" s="29"/>
    </row>
    <row r="177" spans="1:21" x14ac:dyDescent="0.35">
      <c r="A177" s="1157" t="s">
        <v>1423</v>
      </c>
      <c r="B177" s="1157"/>
      <c r="C177" s="1158"/>
      <c r="D177" s="1145">
        <f t="shared" ref="D177:O177" si="16">D84/1000</f>
        <v>0</v>
      </c>
      <c r="E177" s="1145">
        <f t="shared" si="16"/>
        <v>-3.1549999999999998</v>
      </c>
      <c r="F177" s="1145">
        <f t="shared" si="16"/>
        <v>-2.2309999999999999</v>
      </c>
      <c r="G177" s="1145">
        <f t="shared" si="16"/>
        <v>-1.6080000000000001</v>
      </c>
      <c r="H177" s="1145">
        <f t="shared" si="16"/>
        <v>-0.77</v>
      </c>
      <c r="I177" s="1145">
        <f t="shared" si="16"/>
        <v>-0.98299999999999998</v>
      </c>
      <c r="J177" s="1145">
        <f t="shared" si="16"/>
        <v>-1.2110000000000001</v>
      </c>
      <c r="K177" s="1145">
        <f t="shared" si="16"/>
        <v>-1.4710000000000001</v>
      </c>
      <c r="L177" s="1145">
        <f t="shared" si="16"/>
        <v>-1.81</v>
      </c>
      <c r="M177" s="1145">
        <f t="shared" si="16"/>
        <v>-2.3250000000000002</v>
      </c>
      <c r="N177" s="1145">
        <f t="shared" si="16"/>
        <v>-7.7670000000000003</v>
      </c>
      <c r="O177" s="1145">
        <f t="shared" si="16"/>
        <v>-15.566000000000001</v>
      </c>
      <c r="P177" s="1145"/>
      <c r="Q177" s="1145"/>
      <c r="R177" s="1145"/>
      <c r="S177" s="1145"/>
      <c r="U177" s="29"/>
    </row>
    <row r="178" spans="1:21" x14ac:dyDescent="0.35">
      <c r="A178" s="1157" t="s">
        <v>239</v>
      </c>
      <c r="B178" s="1157"/>
      <c r="C178" s="1158"/>
      <c r="D178" s="1145">
        <f t="shared" ref="D178:O178" si="17">D85/1000</f>
        <v>0</v>
      </c>
      <c r="E178" s="1145">
        <f t="shared" si="17"/>
        <v>0.45200000000000001</v>
      </c>
      <c r="F178" s="1145">
        <f t="shared" si="17"/>
        <v>-8.67</v>
      </c>
      <c r="G178" s="1145">
        <f t="shared" si="17"/>
        <v>-4.5270000000000001</v>
      </c>
      <c r="H178" s="1145">
        <f t="shared" si="17"/>
        <v>-0.70499999999999996</v>
      </c>
      <c r="I178" s="1145">
        <f t="shared" si="17"/>
        <v>15.813000000000001</v>
      </c>
      <c r="J178" s="1145">
        <f t="shared" si="17"/>
        <v>20.372</v>
      </c>
      <c r="K178" s="1145">
        <f t="shared" si="17"/>
        <v>24.847000000000001</v>
      </c>
      <c r="L178" s="1145">
        <f t="shared" si="17"/>
        <v>28.113</v>
      </c>
      <c r="M178" s="1145">
        <f t="shared" si="17"/>
        <v>24.777000000000001</v>
      </c>
      <c r="N178" s="1145">
        <f t="shared" si="17"/>
        <v>-13.451000000000001</v>
      </c>
      <c r="O178" s="1145">
        <f t="shared" si="17"/>
        <v>100.468</v>
      </c>
      <c r="P178" s="1145"/>
      <c r="Q178" s="1145"/>
      <c r="R178" s="1145"/>
      <c r="S178" s="1145"/>
      <c r="U178" s="29"/>
    </row>
    <row r="179" spans="1:21" x14ac:dyDescent="0.35">
      <c r="A179" s="1157" t="s">
        <v>106</v>
      </c>
      <c r="B179" s="1157"/>
      <c r="C179" s="1158"/>
      <c r="D179" s="1145">
        <f t="shared" ref="D179:O179" si="18">D83/1000</f>
        <v>0</v>
      </c>
      <c r="E179" s="1145">
        <f t="shared" si="18"/>
        <v>35.317</v>
      </c>
      <c r="F179" s="1145">
        <f t="shared" si="18"/>
        <v>36.033000000000001</v>
      </c>
      <c r="G179" s="1145">
        <f t="shared" si="18"/>
        <v>21.076000000000001</v>
      </c>
      <c r="H179" s="1145">
        <f t="shared" si="18"/>
        <v>13.346</v>
      </c>
      <c r="I179" s="1145">
        <f t="shared" si="18"/>
        <v>27.507999999999999</v>
      </c>
      <c r="J179" s="1145">
        <f t="shared" si="18"/>
        <v>35.85</v>
      </c>
      <c r="K179" s="1145">
        <f t="shared" si="18"/>
        <v>18.64</v>
      </c>
      <c r="L179" s="1145">
        <f t="shared" si="18"/>
        <v>8.3940000000000001</v>
      </c>
      <c r="M179" s="1145">
        <f t="shared" si="18"/>
        <v>7.9820000000000002</v>
      </c>
      <c r="N179" s="1145">
        <f t="shared" si="18"/>
        <v>105.76900000000001</v>
      </c>
      <c r="O179" s="1145">
        <f t="shared" si="18"/>
        <v>204.14400000000001</v>
      </c>
      <c r="P179" s="1145"/>
      <c r="Q179" s="1145"/>
      <c r="R179" s="1145"/>
      <c r="S179" s="1145"/>
      <c r="U179" s="29"/>
    </row>
    <row r="182" spans="1:21" x14ac:dyDescent="0.35">
      <c r="A182" s="43" t="s">
        <v>1368</v>
      </c>
    </row>
    <row r="183" spans="1:21" x14ac:dyDescent="0.35">
      <c r="A183" s="1151"/>
      <c r="B183" s="1151"/>
      <c r="C183" s="1151"/>
      <c r="D183" s="1151" t="s">
        <v>183</v>
      </c>
      <c r="E183" s="1151" t="s">
        <v>184</v>
      </c>
      <c r="F183" s="1151" t="s">
        <v>185</v>
      </c>
      <c r="G183" s="1151" t="s">
        <v>186</v>
      </c>
      <c r="H183" s="1151" t="s">
        <v>187</v>
      </c>
      <c r="I183" s="1151" t="s">
        <v>188</v>
      </c>
      <c r="J183" s="1151" t="s">
        <v>189</v>
      </c>
      <c r="K183" s="1151" t="s">
        <v>190</v>
      </c>
      <c r="L183" s="1151" t="s">
        <v>191</v>
      </c>
      <c r="M183" s="1151" t="s">
        <v>175</v>
      </c>
      <c r="N183" s="1151" t="s">
        <v>176</v>
      </c>
      <c r="O183" s="1151" t="s">
        <v>177</v>
      </c>
      <c r="P183" s="1151" t="s">
        <v>763</v>
      </c>
      <c r="Q183" s="1151" t="s">
        <v>764</v>
      </c>
      <c r="R183" s="1151" t="s">
        <v>765</v>
      </c>
      <c r="S183" s="1151" t="s">
        <v>1151</v>
      </c>
      <c r="U183" s="29"/>
    </row>
    <row r="184" spans="1:21" x14ac:dyDescent="0.35">
      <c r="A184" s="1152" t="s">
        <v>1364</v>
      </c>
      <c r="B184" s="1152"/>
      <c r="C184" s="1159"/>
      <c r="D184" s="1159">
        <f t="shared" ref="D184:D191" si="19">D169</f>
        <v>0</v>
      </c>
      <c r="E184" s="1159">
        <f>D184</f>
        <v>0</v>
      </c>
      <c r="F184" s="1159">
        <f t="shared" ref="F184:F191" si="20">E169</f>
        <v>6.8000000000000005E-2</v>
      </c>
      <c r="G184" s="1159">
        <f>F184</f>
        <v>6.8000000000000005E-2</v>
      </c>
      <c r="H184" s="1159">
        <f>G184</f>
        <v>6.8000000000000005E-2</v>
      </c>
      <c r="I184" s="1159">
        <f>H184</f>
        <v>6.8000000000000005E-2</v>
      </c>
      <c r="J184" s="1159">
        <f t="shared" ref="J184:J191" si="21">F169</f>
        <v>1.363</v>
      </c>
      <c r="K184" s="1159">
        <f t="shared" ref="K184:M191" si="22">J184</f>
        <v>1.363</v>
      </c>
      <c r="L184" s="1159">
        <f t="shared" si="22"/>
        <v>1.363</v>
      </c>
      <c r="M184" s="1159">
        <f>L184</f>
        <v>1.363</v>
      </c>
      <c r="N184" s="1159">
        <f>G169</f>
        <v>2.4329999999999998</v>
      </c>
      <c r="O184" s="1159">
        <f>N184</f>
        <v>2.4329999999999998</v>
      </c>
      <c r="P184" s="1159">
        <f t="shared" ref="P184:Q184" si="23">O184</f>
        <v>2.4329999999999998</v>
      </c>
      <c r="Q184" s="1159">
        <f t="shared" si="23"/>
        <v>2.4329999999999998</v>
      </c>
      <c r="R184" s="1159">
        <f>H169</f>
        <v>2.8029999999999999</v>
      </c>
      <c r="S184" s="1159">
        <f>R184</f>
        <v>2.8029999999999999</v>
      </c>
      <c r="U184" s="29"/>
    </row>
    <row r="185" spans="1:21" x14ac:dyDescent="0.35">
      <c r="A185" s="1152" t="s">
        <v>1365</v>
      </c>
      <c r="B185" s="1152"/>
      <c r="C185" s="1159"/>
      <c r="D185" s="1159">
        <f t="shared" si="19"/>
        <v>0</v>
      </c>
      <c r="E185" s="1159">
        <f t="shared" ref="E185:E191" si="24">D185</f>
        <v>0</v>
      </c>
      <c r="F185" s="1159">
        <f t="shared" si="20"/>
        <v>0.81899999999999995</v>
      </c>
      <c r="G185" s="1159">
        <f t="shared" ref="G185:I191" si="25">F185</f>
        <v>0.81899999999999995</v>
      </c>
      <c r="H185" s="1159">
        <f t="shared" si="25"/>
        <v>0.81899999999999995</v>
      </c>
      <c r="I185" s="1159">
        <f t="shared" si="25"/>
        <v>0.81899999999999995</v>
      </c>
      <c r="J185" s="1159">
        <f>F170</f>
        <v>2.4780000000000002</v>
      </c>
      <c r="K185" s="1159">
        <f t="shared" si="22"/>
        <v>2.4780000000000002</v>
      </c>
      <c r="L185" s="1159">
        <f t="shared" si="22"/>
        <v>2.4780000000000002</v>
      </c>
      <c r="M185" s="1159">
        <f>L185</f>
        <v>2.4780000000000002</v>
      </c>
      <c r="N185" s="1159">
        <f>G170</f>
        <v>4.0720000000000001</v>
      </c>
      <c r="O185" s="1159">
        <f>N185</f>
        <v>4.0720000000000001</v>
      </c>
      <c r="P185" s="1159">
        <f t="shared" ref="P185:Q194" si="26">O185</f>
        <v>4.0720000000000001</v>
      </c>
      <c r="Q185" s="1159">
        <f t="shared" si="26"/>
        <v>4.0720000000000001</v>
      </c>
      <c r="R185" s="1159">
        <f>H170</f>
        <v>5.4480000000000004</v>
      </c>
      <c r="S185" s="1159">
        <f t="shared" ref="S185:S194" si="27">R185</f>
        <v>5.4480000000000004</v>
      </c>
      <c r="U185" s="29"/>
    </row>
    <row r="186" spans="1:21" x14ac:dyDescent="0.35">
      <c r="A186" s="1152" t="s">
        <v>1366</v>
      </c>
      <c r="B186" s="1152"/>
      <c r="C186" s="1159"/>
      <c r="D186" s="1159">
        <f t="shared" si="19"/>
        <v>0</v>
      </c>
      <c r="E186" s="1159">
        <f t="shared" si="24"/>
        <v>0</v>
      </c>
      <c r="F186" s="1159">
        <f t="shared" si="20"/>
        <v>4.5430000000000001</v>
      </c>
      <c r="G186" s="1159">
        <f t="shared" si="25"/>
        <v>4.5430000000000001</v>
      </c>
      <c r="H186" s="1159">
        <f t="shared" si="25"/>
        <v>4.5430000000000001</v>
      </c>
      <c r="I186" s="1159">
        <f t="shared" si="25"/>
        <v>4.5430000000000001</v>
      </c>
      <c r="J186" s="1159">
        <f t="shared" si="21"/>
        <v>5.6079999999999997</v>
      </c>
      <c r="K186" s="1159">
        <f t="shared" si="22"/>
        <v>5.6079999999999997</v>
      </c>
      <c r="L186" s="1159">
        <f t="shared" si="22"/>
        <v>5.6079999999999997</v>
      </c>
      <c r="M186" s="1159">
        <f t="shared" si="22"/>
        <v>5.6079999999999997</v>
      </c>
      <c r="N186" s="1159">
        <f>G171</f>
        <v>8.16</v>
      </c>
      <c r="O186" s="1159">
        <f t="shared" ref="O186:O191" si="28">N186</f>
        <v>8.16</v>
      </c>
      <c r="P186" s="1159">
        <f t="shared" si="26"/>
        <v>8.16</v>
      </c>
      <c r="Q186" s="1159">
        <f t="shared" si="26"/>
        <v>8.16</v>
      </c>
      <c r="R186" s="1159">
        <f t="shared" ref="R186:R194" si="29">H171</f>
        <v>10.069000000000001</v>
      </c>
      <c r="S186" s="1159">
        <f t="shared" si="27"/>
        <v>10.069000000000001</v>
      </c>
      <c r="U186" s="29"/>
    </row>
    <row r="187" spans="1:21" x14ac:dyDescent="0.35">
      <c r="A187" s="1153" t="s">
        <v>52</v>
      </c>
      <c r="B187" s="1153"/>
      <c r="C187" s="1159"/>
      <c r="D187" s="1159">
        <f t="shared" si="19"/>
        <v>0</v>
      </c>
      <c r="E187" s="1159">
        <f t="shared" si="24"/>
        <v>0</v>
      </c>
      <c r="F187" s="1159">
        <f t="shared" si="20"/>
        <v>1.2969999999999999</v>
      </c>
      <c r="G187" s="1159">
        <f t="shared" si="25"/>
        <v>1.2969999999999999</v>
      </c>
      <c r="H187" s="1159">
        <f t="shared" si="25"/>
        <v>1.2969999999999999</v>
      </c>
      <c r="I187" s="1159">
        <f t="shared" si="25"/>
        <v>1.2969999999999999</v>
      </c>
      <c r="J187" s="1159">
        <f t="shared" si="21"/>
        <v>3.8479999999999999</v>
      </c>
      <c r="K187" s="1159">
        <f t="shared" si="22"/>
        <v>3.8479999999999999</v>
      </c>
      <c r="L187" s="1159">
        <f t="shared" si="22"/>
        <v>3.8479999999999999</v>
      </c>
      <c r="M187" s="1159">
        <f t="shared" si="22"/>
        <v>3.8479999999999999</v>
      </c>
      <c r="N187" s="1159">
        <f t="shared" ref="N187:N191" si="30">G172</f>
        <v>6.4420000000000002</v>
      </c>
      <c r="O187" s="1159">
        <f t="shared" si="28"/>
        <v>6.4420000000000002</v>
      </c>
      <c r="P187" s="1159">
        <f t="shared" si="26"/>
        <v>6.4420000000000002</v>
      </c>
      <c r="Q187" s="1159">
        <f t="shared" si="26"/>
        <v>6.4420000000000002</v>
      </c>
      <c r="R187" s="1159">
        <f t="shared" si="29"/>
        <v>9.532</v>
      </c>
      <c r="S187" s="1159">
        <f t="shared" si="27"/>
        <v>9.532</v>
      </c>
      <c r="U187" s="29"/>
    </row>
    <row r="188" spans="1:21" x14ac:dyDescent="0.35">
      <c r="A188" s="1154" t="s">
        <v>526</v>
      </c>
      <c r="B188" s="1154"/>
      <c r="C188" s="1159"/>
      <c r="D188" s="1159">
        <f t="shared" si="19"/>
        <v>0</v>
      </c>
      <c r="E188" s="1159">
        <f t="shared" si="24"/>
        <v>0</v>
      </c>
      <c r="F188" s="1159">
        <f t="shared" si="20"/>
        <v>0</v>
      </c>
      <c r="G188" s="1159">
        <f t="shared" si="25"/>
        <v>0</v>
      </c>
      <c r="H188" s="1159">
        <f t="shared" si="25"/>
        <v>0</v>
      </c>
      <c r="I188" s="1159">
        <f t="shared" si="25"/>
        <v>0</v>
      </c>
      <c r="J188" s="1159">
        <f t="shared" si="21"/>
        <v>0</v>
      </c>
      <c r="K188" s="1159">
        <f t="shared" si="22"/>
        <v>0</v>
      </c>
      <c r="L188" s="1159">
        <f t="shared" si="22"/>
        <v>0</v>
      </c>
      <c r="M188" s="1159">
        <f t="shared" si="22"/>
        <v>0</v>
      </c>
      <c r="N188" s="1159">
        <f t="shared" si="30"/>
        <v>0</v>
      </c>
      <c r="O188" s="1159">
        <f t="shared" si="28"/>
        <v>0</v>
      </c>
      <c r="P188" s="1159">
        <f t="shared" si="26"/>
        <v>0</v>
      </c>
      <c r="Q188" s="1159">
        <f t="shared" si="26"/>
        <v>0</v>
      </c>
      <c r="R188" s="1159">
        <f t="shared" si="29"/>
        <v>0</v>
      </c>
      <c r="S188" s="1159">
        <f t="shared" si="27"/>
        <v>0</v>
      </c>
      <c r="U188" s="29"/>
    </row>
    <row r="189" spans="1:21" x14ac:dyDescent="0.35">
      <c r="A189" s="1155" t="s">
        <v>54</v>
      </c>
      <c r="B189" s="1155"/>
      <c r="C189" s="1159"/>
      <c r="D189" s="1159">
        <f t="shared" si="19"/>
        <v>0</v>
      </c>
      <c r="E189" s="1159">
        <f t="shared" si="24"/>
        <v>0</v>
      </c>
      <c r="F189" s="1159">
        <f t="shared" si="20"/>
        <v>0.11</v>
      </c>
      <c r="G189" s="1159">
        <f t="shared" si="25"/>
        <v>0.11</v>
      </c>
      <c r="H189" s="1159">
        <f t="shared" si="25"/>
        <v>0.11</v>
      </c>
      <c r="I189" s="1159">
        <f t="shared" si="25"/>
        <v>0.11</v>
      </c>
      <c r="J189" s="1159">
        <f t="shared" si="21"/>
        <v>0.73899999999999999</v>
      </c>
      <c r="K189" s="1159">
        <f t="shared" si="22"/>
        <v>0.73899999999999999</v>
      </c>
      <c r="L189" s="1159">
        <f t="shared" si="22"/>
        <v>0.73899999999999999</v>
      </c>
      <c r="M189" s="1159">
        <f t="shared" si="22"/>
        <v>0.73899999999999999</v>
      </c>
      <c r="N189" s="1159">
        <f t="shared" si="30"/>
        <v>1.1950000000000001</v>
      </c>
      <c r="O189" s="1159">
        <f t="shared" si="28"/>
        <v>1.1950000000000001</v>
      </c>
      <c r="P189" s="1159">
        <f t="shared" si="26"/>
        <v>1.1950000000000001</v>
      </c>
      <c r="Q189" s="1159">
        <f t="shared" si="26"/>
        <v>1.1950000000000001</v>
      </c>
      <c r="R189" s="1159">
        <f t="shared" si="29"/>
        <v>1.4970000000000001</v>
      </c>
      <c r="S189" s="1159">
        <f t="shared" si="27"/>
        <v>1.4970000000000001</v>
      </c>
      <c r="U189" s="29"/>
    </row>
    <row r="190" spans="1:21" x14ac:dyDescent="0.35">
      <c r="A190" s="1155" t="s">
        <v>1367</v>
      </c>
      <c r="B190" s="1155"/>
      <c r="C190" s="1159"/>
      <c r="D190" s="1159">
        <f t="shared" si="19"/>
        <v>0</v>
      </c>
      <c r="E190" s="1159">
        <f t="shared" si="24"/>
        <v>0</v>
      </c>
      <c r="F190" s="1159">
        <f t="shared" si="20"/>
        <v>-0.41499999999999998</v>
      </c>
      <c r="G190" s="1159">
        <f t="shared" si="25"/>
        <v>-0.41499999999999998</v>
      </c>
      <c r="H190" s="1159">
        <f t="shared" si="25"/>
        <v>-0.41499999999999998</v>
      </c>
      <c r="I190" s="1159">
        <f t="shared" si="25"/>
        <v>-0.41499999999999998</v>
      </c>
      <c r="J190" s="1159">
        <f t="shared" si="21"/>
        <v>2.7679999999999998</v>
      </c>
      <c r="K190" s="1159">
        <f t="shared" si="22"/>
        <v>2.7679999999999998</v>
      </c>
      <c r="L190" s="1159">
        <f t="shared" si="22"/>
        <v>2.7679999999999998</v>
      </c>
      <c r="M190" s="1159">
        <f t="shared" si="22"/>
        <v>2.7679999999999998</v>
      </c>
      <c r="N190" s="1159">
        <f t="shared" si="30"/>
        <v>-12.473000000000001</v>
      </c>
      <c r="O190" s="1159">
        <f t="shared" si="28"/>
        <v>-12.473000000000001</v>
      </c>
      <c r="P190" s="1159">
        <f t="shared" si="26"/>
        <v>-12.473000000000001</v>
      </c>
      <c r="Q190" s="1159">
        <f t="shared" si="26"/>
        <v>-12.473000000000001</v>
      </c>
      <c r="R190" s="1159">
        <f t="shared" si="29"/>
        <v>-5.3739999999999997</v>
      </c>
      <c r="S190" s="1159">
        <f t="shared" si="27"/>
        <v>-5.3739999999999997</v>
      </c>
      <c r="U190" s="29"/>
    </row>
    <row r="191" spans="1:21" x14ac:dyDescent="0.35">
      <c r="A191" s="1156" t="s">
        <v>57</v>
      </c>
      <c r="B191" s="1156"/>
      <c r="C191" s="1159"/>
      <c r="D191" s="1159">
        <f t="shared" si="19"/>
        <v>-0.622</v>
      </c>
      <c r="E191" s="1159">
        <f t="shared" si="24"/>
        <v>-0.622</v>
      </c>
      <c r="F191" s="1159">
        <f t="shared" si="20"/>
        <v>21.89</v>
      </c>
      <c r="G191" s="1159">
        <f t="shared" si="25"/>
        <v>21.89</v>
      </c>
      <c r="H191" s="1159">
        <f t="shared" si="25"/>
        <v>21.89</v>
      </c>
      <c r="I191" s="1159">
        <f t="shared" si="25"/>
        <v>21.89</v>
      </c>
      <c r="J191" s="1159">
        <f t="shared" si="21"/>
        <v>15.439</v>
      </c>
      <c r="K191" s="1159">
        <f t="shared" si="22"/>
        <v>15.439</v>
      </c>
      <c r="L191" s="1159">
        <f t="shared" si="22"/>
        <v>15.439</v>
      </c>
      <c r="M191" s="1159">
        <f t="shared" si="22"/>
        <v>15.439</v>
      </c>
      <c r="N191" s="1159">
        <f t="shared" si="30"/>
        <v>16.966999999999999</v>
      </c>
      <c r="O191" s="1159">
        <f t="shared" si="28"/>
        <v>16.966999999999999</v>
      </c>
      <c r="P191" s="1159">
        <f t="shared" si="26"/>
        <v>16.966999999999999</v>
      </c>
      <c r="Q191" s="1159">
        <f t="shared" si="26"/>
        <v>16.966999999999999</v>
      </c>
      <c r="R191" s="1159">
        <f t="shared" si="29"/>
        <v>0.72799999999999998</v>
      </c>
      <c r="S191" s="1159">
        <f t="shared" si="27"/>
        <v>0.72799999999999998</v>
      </c>
      <c r="U191" s="29"/>
    </row>
    <row r="192" spans="1:21" x14ac:dyDescent="0.35">
      <c r="A192" s="1157" t="s">
        <v>484</v>
      </c>
      <c r="B192" s="1157"/>
      <c r="C192" s="1159"/>
      <c r="D192" s="1145">
        <f t="shared" ref="D192:D194" si="31">D177</f>
        <v>0</v>
      </c>
      <c r="E192" s="1145">
        <f t="shared" ref="E192:E194" si="32">D192</f>
        <v>0</v>
      </c>
      <c r="F192" s="1145">
        <f t="shared" ref="F192:F194" si="33">E177</f>
        <v>-3.1549999999999998</v>
      </c>
      <c r="G192" s="1145">
        <f t="shared" ref="G192:G194" si="34">F192</f>
        <v>-3.1549999999999998</v>
      </c>
      <c r="H192" s="1145">
        <f t="shared" ref="H192:H194" si="35">G192</f>
        <v>-3.1549999999999998</v>
      </c>
      <c r="I192" s="1145">
        <f t="shared" ref="I192:I194" si="36">H192</f>
        <v>-3.1549999999999998</v>
      </c>
      <c r="J192" s="1145">
        <f t="shared" ref="J192:J194" si="37">F177</f>
        <v>-2.2309999999999999</v>
      </c>
      <c r="K192" s="1145">
        <f t="shared" ref="K192:K194" si="38">J192</f>
        <v>-2.2309999999999999</v>
      </c>
      <c r="L192" s="1145">
        <f t="shared" ref="L192:L194" si="39">K192</f>
        <v>-2.2309999999999999</v>
      </c>
      <c r="M192" s="1145">
        <f t="shared" ref="M192:M194" si="40">L192</f>
        <v>-2.2309999999999999</v>
      </c>
      <c r="N192" s="1145">
        <f t="shared" ref="N192:N194" si="41">G177</f>
        <v>-1.6080000000000001</v>
      </c>
      <c r="O192" s="1145">
        <f t="shared" ref="O192:O194" si="42">N192</f>
        <v>-1.6080000000000001</v>
      </c>
      <c r="P192" s="1145">
        <f t="shared" si="26"/>
        <v>-1.6080000000000001</v>
      </c>
      <c r="Q192" s="1145">
        <f t="shared" si="26"/>
        <v>-1.6080000000000001</v>
      </c>
      <c r="R192" s="1159">
        <f t="shared" si="29"/>
        <v>-0.77</v>
      </c>
      <c r="S192" s="1159">
        <f t="shared" si="27"/>
        <v>-0.77</v>
      </c>
      <c r="U192" s="29"/>
    </row>
    <row r="193" spans="1:21" x14ac:dyDescent="0.35">
      <c r="A193" s="1157" t="s">
        <v>482</v>
      </c>
      <c r="B193" s="1157"/>
      <c r="C193" s="1159"/>
      <c r="D193" s="1145">
        <f t="shared" si="31"/>
        <v>0</v>
      </c>
      <c r="E193" s="1145">
        <f t="shared" si="32"/>
        <v>0</v>
      </c>
      <c r="F193" s="1145">
        <f t="shared" si="33"/>
        <v>0.45200000000000001</v>
      </c>
      <c r="G193" s="1145">
        <f t="shared" si="34"/>
        <v>0.45200000000000001</v>
      </c>
      <c r="H193" s="1145">
        <f t="shared" si="35"/>
        <v>0.45200000000000001</v>
      </c>
      <c r="I193" s="1145">
        <f t="shared" si="36"/>
        <v>0.45200000000000001</v>
      </c>
      <c r="J193" s="1145">
        <f t="shared" si="37"/>
        <v>-8.67</v>
      </c>
      <c r="K193" s="1145">
        <f t="shared" si="38"/>
        <v>-8.67</v>
      </c>
      <c r="L193" s="1145">
        <f t="shared" si="39"/>
        <v>-8.67</v>
      </c>
      <c r="M193" s="1145">
        <f t="shared" si="40"/>
        <v>-8.67</v>
      </c>
      <c r="N193" s="1145">
        <f t="shared" si="41"/>
        <v>-4.5270000000000001</v>
      </c>
      <c r="O193" s="1145">
        <f t="shared" si="42"/>
        <v>-4.5270000000000001</v>
      </c>
      <c r="P193" s="1145">
        <f t="shared" si="26"/>
        <v>-4.5270000000000001</v>
      </c>
      <c r="Q193" s="1145">
        <f t="shared" si="26"/>
        <v>-4.5270000000000001</v>
      </c>
      <c r="R193" s="1159">
        <f t="shared" si="29"/>
        <v>-0.70499999999999996</v>
      </c>
      <c r="S193" s="1159">
        <f t="shared" si="27"/>
        <v>-0.70499999999999996</v>
      </c>
      <c r="U193" s="29"/>
    </row>
    <row r="194" spans="1:21" x14ac:dyDescent="0.35">
      <c r="A194" s="1157" t="s">
        <v>106</v>
      </c>
      <c r="B194" s="1157"/>
      <c r="C194" s="1159"/>
      <c r="D194" s="1145">
        <f t="shared" si="31"/>
        <v>0</v>
      </c>
      <c r="E194" s="1145">
        <f t="shared" si="32"/>
        <v>0</v>
      </c>
      <c r="F194" s="1145">
        <f t="shared" si="33"/>
        <v>35.317</v>
      </c>
      <c r="G194" s="1145">
        <f t="shared" si="34"/>
        <v>35.317</v>
      </c>
      <c r="H194" s="1145">
        <f t="shared" si="35"/>
        <v>35.317</v>
      </c>
      <c r="I194" s="1145">
        <f t="shared" si="36"/>
        <v>35.317</v>
      </c>
      <c r="J194" s="1145">
        <f t="shared" si="37"/>
        <v>36.033000000000001</v>
      </c>
      <c r="K194" s="1145">
        <f t="shared" si="38"/>
        <v>36.033000000000001</v>
      </c>
      <c r="L194" s="1145">
        <f t="shared" si="39"/>
        <v>36.033000000000001</v>
      </c>
      <c r="M194" s="1145">
        <f t="shared" si="40"/>
        <v>36.033000000000001</v>
      </c>
      <c r="N194" s="1145">
        <f t="shared" si="41"/>
        <v>21.076000000000001</v>
      </c>
      <c r="O194" s="1145">
        <f t="shared" si="42"/>
        <v>21.076000000000001</v>
      </c>
      <c r="P194" s="1145">
        <f t="shared" si="26"/>
        <v>21.076000000000001</v>
      </c>
      <c r="Q194" s="1145">
        <f t="shared" si="26"/>
        <v>21.076000000000001</v>
      </c>
      <c r="R194" s="1159">
        <f t="shared" si="29"/>
        <v>13.346</v>
      </c>
      <c r="S194" s="1159">
        <f t="shared" si="27"/>
        <v>13.346</v>
      </c>
      <c r="U194" s="29"/>
    </row>
    <row r="197" spans="1:21" x14ac:dyDescent="0.35">
      <c r="A197" s="43" t="s">
        <v>1370</v>
      </c>
    </row>
    <row r="198" spans="1:21" x14ac:dyDescent="0.35">
      <c r="A198" s="1153" t="s">
        <v>52</v>
      </c>
      <c r="D198" s="1160">
        <v>0</v>
      </c>
      <c r="E198" s="1160">
        <v>0</v>
      </c>
      <c r="F198" s="1160">
        <v>2.3250000000000002</v>
      </c>
      <c r="G198" s="1160">
        <v>2.3250000000000002</v>
      </c>
      <c r="H198" s="1160">
        <v>2.3250000000000002</v>
      </c>
      <c r="I198" s="1160">
        <v>2.3250000000000002</v>
      </c>
      <c r="J198" s="1160">
        <v>5.5830000000000002</v>
      </c>
      <c r="K198" s="1160">
        <v>5.5830000000000002</v>
      </c>
      <c r="L198" s="1160">
        <v>5.5830000000000002</v>
      </c>
      <c r="M198" s="1160">
        <v>5.5830000000000002</v>
      </c>
      <c r="N198" s="1160">
        <v>8.0220000000000002</v>
      </c>
      <c r="O198" s="1160">
        <v>8.0220000000000002</v>
      </c>
      <c r="P198" s="1160"/>
      <c r="Q198" s="1160"/>
      <c r="R198" s="1160"/>
      <c r="S198" s="116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5" t="s">
        <v>553</v>
      </c>
      <c r="B2" s="1165" t="s">
        <v>554</v>
      </c>
      <c r="C2" s="1165" t="s">
        <v>555</v>
      </c>
      <c r="D2" s="1165" t="s">
        <v>556</v>
      </c>
    </row>
    <row r="3" spans="1:6" x14ac:dyDescent="0.35">
      <c r="A3" s="1166" t="s">
        <v>557</v>
      </c>
      <c r="B3" s="974">
        <f>SUM(B4:B7)</f>
        <v>325</v>
      </c>
      <c r="E3" s="1469" t="s">
        <v>558</v>
      </c>
      <c r="F3" s="1469"/>
    </row>
    <row r="4" spans="1:6" x14ac:dyDescent="0.35">
      <c r="A4" s="869" t="s">
        <v>559</v>
      </c>
      <c r="B4" s="974">
        <v>284</v>
      </c>
      <c r="E4" s="529" t="s">
        <v>51</v>
      </c>
      <c r="F4" s="529" t="s">
        <v>560</v>
      </c>
    </row>
    <row r="5" spans="1:6" x14ac:dyDescent="0.35">
      <c r="A5" s="869" t="s">
        <v>412</v>
      </c>
      <c r="B5" s="974">
        <v>20</v>
      </c>
      <c r="E5" s="249" t="s">
        <v>150</v>
      </c>
      <c r="F5" s="249">
        <f>SUM(B11:B16)</f>
        <v>82</v>
      </c>
    </row>
    <row r="6" spans="1:6" x14ac:dyDescent="0.35">
      <c r="A6" s="869" t="s">
        <v>419</v>
      </c>
      <c r="B6" s="974">
        <v>15</v>
      </c>
      <c r="E6" s="249" t="s">
        <v>49</v>
      </c>
      <c r="F6" s="249">
        <f>B23</f>
        <v>3</v>
      </c>
    </row>
    <row r="7" spans="1:6" x14ac:dyDescent="0.35">
      <c r="A7" s="869" t="s">
        <v>420</v>
      </c>
      <c r="B7" s="974">
        <v>6</v>
      </c>
      <c r="E7" s="249" t="s">
        <v>342</v>
      </c>
      <c r="F7" s="249">
        <f>B27-B28</f>
        <v>29</v>
      </c>
    </row>
    <row r="8" spans="1:6" x14ac:dyDescent="0.35">
      <c r="A8" s="529" t="s">
        <v>561</v>
      </c>
      <c r="B8" s="974">
        <v>121</v>
      </c>
      <c r="E8" s="249" t="s">
        <v>359</v>
      </c>
      <c r="F8" s="249">
        <f>B42</f>
        <v>2</v>
      </c>
    </row>
    <row r="9" spans="1:6" x14ac:dyDescent="0.35">
      <c r="A9" s="1167" t="s">
        <v>562</v>
      </c>
      <c r="B9" s="974">
        <v>166</v>
      </c>
      <c r="E9" s="249" t="s">
        <v>563</v>
      </c>
      <c r="F9" s="249">
        <f>B18+B20+B21</f>
        <v>34</v>
      </c>
    </row>
    <row r="10" spans="1:6" x14ac:dyDescent="0.35">
      <c r="A10" s="1164" t="s">
        <v>564</v>
      </c>
      <c r="B10" s="974">
        <v>82</v>
      </c>
      <c r="E10" s="529" t="s">
        <v>565</v>
      </c>
      <c r="F10" s="529" t="s">
        <v>566</v>
      </c>
    </row>
    <row r="11" spans="1:6" x14ac:dyDescent="0.35">
      <c r="A11" s="869" t="s">
        <v>567</v>
      </c>
      <c r="B11" s="974">
        <v>54</v>
      </c>
      <c r="E11" s="249" t="s">
        <v>315</v>
      </c>
      <c r="F11" s="249">
        <f>B4</f>
        <v>284</v>
      </c>
    </row>
    <row r="12" spans="1:6" x14ac:dyDescent="0.35">
      <c r="A12" s="869" t="s">
        <v>568</v>
      </c>
      <c r="B12" s="974">
        <v>20</v>
      </c>
      <c r="E12" s="249" t="s">
        <v>569</v>
      </c>
      <c r="F12" s="249">
        <f>B5</f>
        <v>20</v>
      </c>
    </row>
    <row r="13" spans="1:6" x14ac:dyDescent="0.35">
      <c r="A13" s="869" t="s">
        <v>570</v>
      </c>
      <c r="B13" s="974">
        <v>4</v>
      </c>
      <c r="E13" s="249" t="s">
        <v>419</v>
      </c>
      <c r="F13" s="249">
        <f>B6</f>
        <v>15</v>
      </c>
    </row>
    <row r="14" spans="1:6" ht="27.65" customHeight="1" x14ac:dyDescent="0.35">
      <c r="A14" s="869" t="s">
        <v>571</v>
      </c>
      <c r="B14" s="974">
        <v>2</v>
      </c>
      <c r="E14" s="284" t="s">
        <v>420</v>
      </c>
      <c r="F14" s="249">
        <f>B7</f>
        <v>6</v>
      </c>
    </row>
    <row r="15" spans="1:6" ht="27.65" customHeight="1" x14ac:dyDescent="0.35">
      <c r="A15" s="869" t="s">
        <v>572</v>
      </c>
      <c r="B15" s="974">
        <v>1</v>
      </c>
      <c r="E15" s="284" t="s">
        <v>573</v>
      </c>
      <c r="F15" s="249">
        <f>B28</f>
        <v>15</v>
      </c>
    </row>
    <row r="16" spans="1:6" x14ac:dyDescent="0.35">
      <c r="A16" s="869" t="s">
        <v>574</v>
      </c>
      <c r="B16" s="974">
        <v>1</v>
      </c>
      <c r="E16" s="249" t="s">
        <v>575</v>
      </c>
      <c r="F16" s="249">
        <f>B37</f>
        <v>12</v>
      </c>
    </row>
    <row r="17" spans="1:6" x14ac:dyDescent="0.35">
      <c r="A17" s="529" t="s">
        <v>576</v>
      </c>
      <c r="B17" s="974">
        <v>72</v>
      </c>
      <c r="E17" s="249" t="s">
        <v>577</v>
      </c>
      <c r="F17" s="249">
        <f>B38</f>
        <v>10</v>
      </c>
    </row>
    <row r="18" spans="1:6" x14ac:dyDescent="0.35">
      <c r="A18" s="869" t="s">
        <v>578</v>
      </c>
      <c r="B18" s="974">
        <v>22</v>
      </c>
      <c r="C18" s="249" t="s">
        <v>579</v>
      </c>
    </row>
    <row r="19" spans="1:6" x14ac:dyDescent="0.35">
      <c r="A19" s="869" t="s">
        <v>580</v>
      </c>
      <c r="B19" s="974">
        <v>20</v>
      </c>
      <c r="C19" s="249" t="s">
        <v>109</v>
      </c>
    </row>
    <row r="20" spans="1:6" x14ac:dyDescent="0.35">
      <c r="A20" s="869" t="s">
        <v>581</v>
      </c>
      <c r="B20" s="974">
        <v>8</v>
      </c>
      <c r="C20" s="249" t="s">
        <v>579</v>
      </c>
    </row>
    <row r="21" spans="1:6" x14ac:dyDescent="0.35">
      <c r="A21" s="869" t="s">
        <v>582</v>
      </c>
      <c r="B21" s="974">
        <v>4</v>
      </c>
      <c r="C21" s="249" t="s">
        <v>51</v>
      </c>
    </row>
    <row r="22" spans="1:6" x14ac:dyDescent="0.35">
      <c r="A22" s="869" t="s">
        <v>583</v>
      </c>
      <c r="B22" s="974">
        <v>4</v>
      </c>
      <c r="C22" s="249" t="s">
        <v>109</v>
      </c>
    </row>
    <row r="23" spans="1:6" x14ac:dyDescent="0.35">
      <c r="A23" s="869" t="s">
        <v>584</v>
      </c>
      <c r="B23" s="974">
        <v>3</v>
      </c>
      <c r="C23" s="249" t="s">
        <v>585</v>
      </c>
    </row>
    <row r="24" spans="1:6" x14ac:dyDescent="0.35">
      <c r="A24" s="869" t="s">
        <v>586</v>
      </c>
      <c r="B24" s="974">
        <v>3</v>
      </c>
      <c r="C24" s="249" t="s">
        <v>587</v>
      </c>
    </row>
    <row r="25" spans="1:6" x14ac:dyDescent="0.35">
      <c r="A25" s="1168" t="s">
        <v>588</v>
      </c>
      <c r="B25" s="974">
        <v>3</v>
      </c>
      <c r="C25" s="249" t="s">
        <v>55</v>
      </c>
    </row>
    <row r="26" spans="1:6" x14ac:dyDescent="0.35">
      <c r="A26" s="869" t="s">
        <v>589</v>
      </c>
      <c r="B26" s="974">
        <v>4</v>
      </c>
      <c r="C26" s="249" t="s">
        <v>590</v>
      </c>
    </row>
    <row r="27" spans="1:6" x14ac:dyDescent="0.35">
      <c r="A27" s="529" t="s">
        <v>342</v>
      </c>
      <c r="B27" s="974">
        <v>44</v>
      </c>
    </row>
    <row r="28" spans="1:6" x14ac:dyDescent="0.35">
      <c r="A28" s="1161" t="s">
        <v>573</v>
      </c>
      <c r="B28" s="1162">
        <v>15</v>
      </c>
    </row>
    <row r="29" spans="1:6" x14ac:dyDescent="0.35">
      <c r="A29" s="869" t="s">
        <v>591</v>
      </c>
      <c r="B29" s="974">
        <v>14</v>
      </c>
    </row>
    <row r="30" spans="1:6" x14ac:dyDescent="0.35">
      <c r="A30" s="869" t="s">
        <v>592</v>
      </c>
      <c r="B30" s="974">
        <v>10</v>
      </c>
    </row>
    <row r="31" spans="1:6" x14ac:dyDescent="0.35">
      <c r="A31" s="869" t="s">
        <v>593</v>
      </c>
      <c r="B31" s="974">
        <v>2</v>
      </c>
    </row>
    <row r="32" spans="1:6" x14ac:dyDescent="0.35">
      <c r="A32" s="869" t="s">
        <v>594</v>
      </c>
      <c r="B32" s="974">
        <v>2</v>
      </c>
    </row>
    <row r="33" spans="1:6" x14ac:dyDescent="0.35">
      <c r="A33" s="869" t="s">
        <v>595</v>
      </c>
      <c r="B33" s="974">
        <v>1</v>
      </c>
    </row>
    <row r="34" spans="1:6" x14ac:dyDescent="0.35">
      <c r="A34" s="529" t="s">
        <v>596</v>
      </c>
      <c r="B34" s="974">
        <v>88</v>
      </c>
    </row>
    <row r="35" spans="1:6" x14ac:dyDescent="0.35">
      <c r="A35" s="1168" t="s">
        <v>597</v>
      </c>
      <c r="B35" s="974">
        <v>26</v>
      </c>
    </row>
    <row r="36" spans="1:6" x14ac:dyDescent="0.35">
      <c r="A36" s="869" t="s">
        <v>598</v>
      </c>
      <c r="B36" s="974">
        <v>25</v>
      </c>
    </row>
    <row r="37" spans="1:6" x14ac:dyDescent="0.35">
      <c r="A37" s="869" t="s">
        <v>575</v>
      </c>
      <c r="B37" s="974">
        <v>12</v>
      </c>
      <c r="C37" s="249" t="s">
        <v>599</v>
      </c>
      <c r="E37" s="249" t="s">
        <v>600</v>
      </c>
      <c r="F37" s="249" t="s">
        <v>601</v>
      </c>
    </row>
    <row r="38" spans="1:6" x14ac:dyDescent="0.35">
      <c r="A38" s="869" t="s">
        <v>577</v>
      </c>
      <c r="B38" s="974">
        <v>10</v>
      </c>
      <c r="C38" s="249" t="s">
        <v>599</v>
      </c>
      <c r="E38" s="249" t="s">
        <v>602</v>
      </c>
      <c r="F38" s="249" t="s">
        <v>603</v>
      </c>
    </row>
    <row r="39" spans="1:6" x14ac:dyDescent="0.35">
      <c r="A39" s="869" t="s">
        <v>604</v>
      </c>
      <c r="B39" s="974">
        <v>7</v>
      </c>
      <c r="C39" s="249" t="s">
        <v>590</v>
      </c>
      <c r="E39" s="249" t="s">
        <v>605</v>
      </c>
      <c r="F39" s="249" t="s">
        <v>606</v>
      </c>
    </row>
    <row r="40" spans="1:6" x14ac:dyDescent="0.35">
      <c r="A40" s="869" t="s">
        <v>607</v>
      </c>
      <c r="B40" s="974">
        <v>5</v>
      </c>
      <c r="C40" s="249" t="s">
        <v>109</v>
      </c>
      <c r="E40" s="249" t="s">
        <v>608</v>
      </c>
    </row>
    <row r="41" spans="1:6" x14ac:dyDescent="0.35">
      <c r="A41" s="869" t="s">
        <v>609</v>
      </c>
      <c r="B41" s="974">
        <v>2</v>
      </c>
      <c r="C41" s="249" t="s">
        <v>590</v>
      </c>
      <c r="E41" s="249" t="s">
        <v>610</v>
      </c>
    </row>
    <row r="42" spans="1:6" x14ac:dyDescent="0.35">
      <c r="A42" s="869" t="s">
        <v>611</v>
      </c>
      <c r="B42" s="974">
        <v>2</v>
      </c>
      <c r="C42" s="249" t="s">
        <v>579</v>
      </c>
      <c r="E42" s="1163" t="s">
        <v>612</v>
      </c>
    </row>
    <row r="43" spans="1:6" x14ac:dyDescent="0.35">
      <c r="A43" s="869" t="s">
        <v>613</v>
      </c>
      <c r="B43" s="974">
        <v>0</v>
      </c>
      <c r="E43" s="249" t="s">
        <v>614</v>
      </c>
    </row>
    <row r="44" spans="1:6" x14ac:dyDescent="0.35">
      <c r="A44" s="529" t="s">
        <v>615</v>
      </c>
      <c r="B44" s="974">
        <v>40</v>
      </c>
    </row>
    <row r="45" spans="1:6" x14ac:dyDescent="0.35">
      <c r="A45" s="1168" t="s">
        <v>616</v>
      </c>
      <c r="B45" s="1169">
        <v>21</v>
      </c>
    </row>
    <row r="46" spans="1:6" x14ac:dyDescent="0.35">
      <c r="A46" s="869" t="s">
        <v>617</v>
      </c>
      <c r="B46" s="974">
        <v>6</v>
      </c>
    </row>
    <row r="47" spans="1:6" x14ac:dyDescent="0.35">
      <c r="A47" s="1168" t="s">
        <v>618</v>
      </c>
      <c r="B47" s="1169">
        <v>4</v>
      </c>
    </row>
    <row r="48" spans="1:6" x14ac:dyDescent="0.35">
      <c r="A48" s="869" t="s">
        <v>619</v>
      </c>
      <c r="B48" s="974">
        <v>4</v>
      </c>
    </row>
    <row r="49" spans="1:2" x14ac:dyDescent="0.35">
      <c r="A49" s="1168" t="s">
        <v>620</v>
      </c>
      <c r="B49" s="1169">
        <v>3</v>
      </c>
    </row>
    <row r="50" spans="1:2" x14ac:dyDescent="0.35">
      <c r="A50" s="869" t="s">
        <v>621</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topLeftCell="AI1" zoomScale="105" zoomScaleNormal="90" workbookViewId="0">
      <selection activeCell="P21" sqref="P21"/>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0"/>
      <c r="J1" s="1470"/>
      <c r="K1" s="1470"/>
    </row>
    <row r="2" spans="1:62" ht="13.4" customHeight="1" x14ac:dyDescent="0.35">
      <c r="A2" s="1181"/>
      <c r="O2" s="1207" t="s">
        <v>793</v>
      </c>
      <c r="P2" s="1476" t="s">
        <v>622</v>
      </c>
      <c r="Q2" s="1476"/>
      <c r="R2" s="1476"/>
      <c r="S2" s="1476"/>
      <c r="T2" s="1210"/>
      <c r="U2" s="1210"/>
      <c r="V2" s="1210"/>
      <c r="W2" s="1210"/>
      <c r="X2" s="1210"/>
      <c r="Y2" s="1471" t="s">
        <v>623</v>
      </c>
      <c r="Z2" s="1472"/>
      <c r="AA2" s="1472"/>
      <c r="AB2" s="1472"/>
      <c r="AC2" s="1472"/>
      <c r="AD2" s="1472"/>
      <c r="AE2" s="1210"/>
      <c r="AF2" s="1210"/>
      <c r="AG2" s="1473" t="s">
        <v>624</v>
      </c>
      <c r="AH2" s="1472"/>
      <c r="AI2" s="1472"/>
      <c r="AJ2" s="1475" t="s">
        <v>625</v>
      </c>
      <c r="AK2" s="1475"/>
      <c r="AL2" s="1475"/>
      <c r="AM2" s="1475"/>
      <c r="AN2" s="1475"/>
      <c r="AO2" s="1475"/>
      <c r="AP2" s="1475"/>
      <c r="AQ2" s="1475"/>
      <c r="AR2" s="1475"/>
      <c r="AS2" s="1475"/>
      <c r="AT2" s="1211"/>
      <c r="AU2" s="1474" t="s">
        <v>384</v>
      </c>
      <c r="AV2" s="1474"/>
      <c r="AW2" s="1474"/>
      <c r="AX2" s="1474"/>
      <c r="AY2" s="1474"/>
      <c r="AZ2" s="1474"/>
      <c r="BA2" s="1474"/>
      <c r="BB2" s="1192"/>
      <c r="BC2" s="1192"/>
      <c r="BD2" s="1192"/>
      <c r="BE2" s="1192"/>
      <c r="BF2" s="1192"/>
      <c r="BG2" s="1192"/>
      <c r="BH2" s="1192"/>
      <c r="BI2" s="1192"/>
      <c r="BJ2" s="1198" t="s">
        <v>626</v>
      </c>
    </row>
    <row r="3" spans="1:62" ht="43.4" customHeight="1" x14ac:dyDescent="0.35">
      <c r="A3" s="1182"/>
      <c r="B3" s="1182"/>
      <c r="C3" s="1182"/>
      <c r="D3" s="1182"/>
      <c r="E3" s="1182"/>
      <c r="F3" s="1182"/>
      <c r="G3" s="1182"/>
      <c r="H3" s="1182"/>
      <c r="I3" s="1182"/>
      <c r="J3" s="1182"/>
      <c r="K3" s="1182"/>
      <c r="L3" s="1182"/>
      <c r="M3" s="1182"/>
      <c r="N3" s="1182"/>
      <c r="O3" s="1208" t="s">
        <v>627</v>
      </c>
      <c r="P3" s="1191" t="s">
        <v>628</v>
      </c>
      <c r="Q3" s="1191" t="s">
        <v>629</v>
      </c>
      <c r="R3" s="1191" t="s">
        <v>630</v>
      </c>
      <c r="S3" s="1191" t="s">
        <v>631</v>
      </c>
      <c r="T3" s="1191" t="s">
        <v>632</v>
      </c>
      <c r="U3" s="1191" t="s">
        <v>633</v>
      </c>
      <c r="V3" s="1191" t="s">
        <v>634</v>
      </c>
      <c r="W3" s="1191" t="s">
        <v>635</v>
      </c>
      <c r="X3" s="1191" t="s">
        <v>636</v>
      </c>
      <c r="Y3" s="1191" t="s">
        <v>637</v>
      </c>
      <c r="Z3" s="1191"/>
      <c r="AA3" s="1191"/>
      <c r="AB3" s="1191"/>
      <c r="AC3" s="1191" t="s">
        <v>638</v>
      </c>
      <c r="AD3" s="1191" t="s">
        <v>639</v>
      </c>
      <c r="AE3" s="1191" t="s">
        <v>640</v>
      </c>
      <c r="AF3" s="1191" t="s">
        <v>641</v>
      </c>
      <c r="AG3" s="1191" t="s">
        <v>642</v>
      </c>
      <c r="AH3" s="1191" t="s">
        <v>643</v>
      </c>
      <c r="AI3" s="1191" t="s">
        <v>644</v>
      </c>
      <c r="AJ3" s="1191" t="s">
        <v>645</v>
      </c>
      <c r="AK3" s="1191" t="s">
        <v>646</v>
      </c>
      <c r="AL3" s="1191" t="s">
        <v>647</v>
      </c>
      <c r="AM3" s="1191" t="s">
        <v>648</v>
      </c>
      <c r="AN3" s="1191" t="s">
        <v>649</v>
      </c>
      <c r="AO3" s="1191" t="s">
        <v>650</v>
      </c>
      <c r="AP3" s="1191" t="s">
        <v>651</v>
      </c>
      <c r="AQ3" s="1204" t="s">
        <v>652</v>
      </c>
      <c r="AR3" s="1191" t="s">
        <v>653</v>
      </c>
      <c r="AS3" s="1191" t="s">
        <v>654</v>
      </c>
      <c r="AT3" s="1191" t="s">
        <v>655</v>
      </c>
      <c r="AU3" s="1191" t="s">
        <v>656</v>
      </c>
      <c r="AV3" s="1191" t="s">
        <v>657</v>
      </c>
      <c r="AW3" s="1191" t="s">
        <v>658</v>
      </c>
      <c r="AX3" s="1191" t="s">
        <v>659</v>
      </c>
      <c r="AY3" s="1191" t="s">
        <v>660</v>
      </c>
      <c r="AZ3" s="1191" t="s">
        <v>661</v>
      </c>
      <c r="BA3" s="1191" t="s">
        <v>638</v>
      </c>
      <c r="BB3" s="1199" t="s">
        <v>662</v>
      </c>
      <c r="BC3" s="1199" t="s">
        <v>663</v>
      </c>
      <c r="BD3" s="1199" t="s">
        <v>664</v>
      </c>
      <c r="BE3" s="1199" t="s">
        <v>665</v>
      </c>
      <c r="BF3" s="1199" t="s">
        <v>666</v>
      </c>
      <c r="BG3" s="1199" t="s">
        <v>667</v>
      </c>
      <c r="BH3" s="1199" t="s">
        <v>668</v>
      </c>
      <c r="BI3" s="1199" t="s">
        <v>669</v>
      </c>
      <c r="BJ3" s="1193" t="s">
        <v>670</v>
      </c>
    </row>
    <row r="4" spans="1:62" ht="63" customHeight="1" x14ac:dyDescent="0.35">
      <c r="A4" s="1202" t="s">
        <v>671</v>
      </c>
      <c r="B4" s="1181" t="s">
        <v>56</v>
      </c>
      <c r="C4" s="1181" t="s">
        <v>672</v>
      </c>
      <c r="D4" s="1181" t="s">
        <v>542</v>
      </c>
      <c r="E4" s="1181" t="s">
        <v>673</v>
      </c>
      <c r="F4" s="1181" t="s">
        <v>674</v>
      </c>
      <c r="G4" s="1181" t="s">
        <v>675</v>
      </c>
      <c r="H4" s="1181" t="s">
        <v>131</v>
      </c>
      <c r="I4" s="1188" t="s">
        <v>347</v>
      </c>
      <c r="J4" s="1188" t="s">
        <v>150</v>
      </c>
      <c r="K4" s="1188" t="s">
        <v>676</v>
      </c>
      <c r="L4" s="1186" t="s">
        <v>159</v>
      </c>
      <c r="M4" s="1181" t="s">
        <v>109</v>
      </c>
      <c r="N4" s="1181" t="s">
        <v>677</v>
      </c>
      <c r="O4" s="1209" t="s">
        <v>678</v>
      </c>
      <c r="P4" s="1199" t="s">
        <v>679</v>
      </c>
      <c r="Q4" s="1199" t="s">
        <v>680</v>
      </c>
      <c r="R4" s="1199" t="s">
        <v>681</v>
      </c>
      <c r="S4" s="1199" t="s">
        <v>682</v>
      </c>
      <c r="T4" s="1199" t="s">
        <v>683</v>
      </c>
      <c r="U4" s="1199" t="s">
        <v>684</v>
      </c>
      <c r="V4" s="1199" t="s">
        <v>685</v>
      </c>
      <c r="W4" s="1199" t="s">
        <v>686</v>
      </c>
      <c r="X4" s="1199" t="s">
        <v>687</v>
      </c>
      <c r="Y4" s="1199" t="s">
        <v>688</v>
      </c>
      <c r="Z4" s="1199" t="s">
        <v>689</v>
      </c>
      <c r="AA4" s="1199" t="s">
        <v>690</v>
      </c>
      <c r="AB4" s="1199" t="s">
        <v>691</v>
      </c>
      <c r="AC4" s="1199" t="s">
        <v>692</v>
      </c>
      <c r="AD4" s="1199" t="s">
        <v>693</v>
      </c>
      <c r="AE4" s="1199" t="s">
        <v>694</v>
      </c>
      <c r="AF4" s="1199" t="s">
        <v>695</v>
      </c>
      <c r="AG4" s="1199" t="s">
        <v>210</v>
      </c>
      <c r="AH4" s="1199" t="s">
        <v>211</v>
      </c>
      <c r="AI4" s="1199" t="s">
        <v>696</v>
      </c>
      <c r="AJ4" s="1199" t="s">
        <v>697</v>
      </c>
      <c r="AK4" s="1199" t="s">
        <v>698</v>
      </c>
      <c r="AL4" s="1199" t="s">
        <v>699</v>
      </c>
      <c r="AM4" s="1199" t="s">
        <v>700</v>
      </c>
      <c r="AN4" s="1199" t="s">
        <v>701</v>
      </c>
      <c r="AO4" s="1199" t="s">
        <v>702</v>
      </c>
      <c r="AP4" s="1199" t="s">
        <v>703</v>
      </c>
      <c r="AQ4" s="1200" t="s">
        <v>704</v>
      </c>
      <c r="AR4" s="1199" t="s">
        <v>705</v>
      </c>
      <c r="AS4" s="1199" t="s">
        <v>706</v>
      </c>
      <c r="AT4" s="1199" t="s">
        <v>707</v>
      </c>
      <c r="AU4" s="1199" t="s">
        <v>708</v>
      </c>
      <c r="AV4" s="1199" t="s">
        <v>709</v>
      </c>
      <c r="AW4" s="1199" t="s">
        <v>710</v>
      </c>
      <c r="AX4" s="1199" t="s">
        <v>711</v>
      </c>
      <c r="AY4" s="1199" t="s">
        <v>712</v>
      </c>
      <c r="AZ4" s="1199" t="s">
        <v>713</v>
      </c>
      <c r="BA4" s="1199"/>
      <c r="BB4" s="1199" t="s">
        <v>424</v>
      </c>
      <c r="BC4" s="1199" t="s">
        <v>714</v>
      </c>
      <c r="BD4" s="1199" t="s">
        <v>715</v>
      </c>
      <c r="BE4" s="1199" t="s">
        <v>716</v>
      </c>
      <c r="BF4" s="1199" t="s">
        <v>717</v>
      </c>
      <c r="BG4" s="1199" t="s">
        <v>718</v>
      </c>
      <c r="BH4" s="1199" t="s">
        <v>719</v>
      </c>
      <c r="BI4" s="1199" t="s">
        <v>720</v>
      </c>
      <c r="BJ4" s="1201" t="s">
        <v>721</v>
      </c>
    </row>
    <row r="5" spans="1:62" x14ac:dyDescent="0.35">
      <c r="A5" s="1183">
        <v>2021</v>
      </c>
      <c r="B5" s="1185">
        <f>Q5</f>
        <v>394.202</v>
      </c>
      <c r="C5" s="1185">
        <f>SUM(Y5:AB5)</f>
        <v>195.7</v>
      </c>
      <c r="D5" s="1185">
        <f>T5</f>
        <v>18.823</v>
      </c>
      <c r="E5" s="1185">
        <f>SUM(P5:S5)-B5</f>
        <v>0.77600000000001046</v>
      </c>
      <c r="F5" s="1185">
        <f>SUM(T5:AF5)-C5-L5-D5 - 28</f>
        <v>19.722000000000016</v>
      </c>
      <c r="G5" s="1185">
        <f>SUM(BB5:BI5)-BC5</f>
        <v>81.642999999999986</v>
      </c>
      <c r="H5" s="1185">
        <f>SUM(AG5:AI5)</f>
        <v>7.798</v>
      </c>
      <c r="I5" s="1185">
        <f>AJ5</f>
        <v>283.95749999999998</v>
      </c>
      <c r="J5" s="1185">
        <f>AL5</f>
        <v>12.347</v>
      </c>
      <c r="K5" s="1185">
        <f>SUM(AM5:AT5)</f>
        <v>29.628</v>
      </c>
      <c r="L5" s="1189">
        <f>103/4</f>
        <v>25.75</v>
      </c>
      <c r="M5" s="1185">
        <f t="shared" ref="M5:M16" si="0">SUM(AU5:BA5)</f>
        <v>31.939</v>
      </c>
      <c r="N5" s="1185">
        <f>AK5</f>
        <v>3.4</v>
      </c>
      <c r="O5" s="1212">
        <v>50</v>
      </c>
      <c r="P5" s="1206">
        <v>0.55000000000000004</v>
      </c>
      <c r="Q5" s="896">
        <v>394.202</v>
      </c>
      <c r="R5" s="1214">
        <v>0.14599999999999999</v>
      </c>
      <c r="S5" s="1214">
        <v>0.08</v>
      </c>
      <c r="T5" s="1214">
        <v>18.823</v>
      </c>
      <c r="U5" s="896">
        <v>19</v>
      </c>
      <c r="V5" s="1214">
        <v>11.481999999999999</v>
      </c>
      <c r="W5" s="734">
        <v>1.5580000000000001</v>
      </c>
      <c r="X5" s="734">
        <v>0.74</v>
      </c>
      <c r="Y5" s="896">
        <v>0.2</v>
      </c>
      <c r="Z5" s="896">
        <v>43.1</v>
      </c>
      <c r="AA5" s="896">
        <v>33.9</v>
      </c>
      <c r="AB5" s="896">
        <v>118.5</v>
      </c>
      <c r="AC5" s="896">
        <v>28</v>
      </c>
      <c r="AD5" s="734">
        <v>-2.0379999999999998</v>
      </c>
      <c r="AE5" s="896">
        <v>14.31</v>
      </c>
      <c r="AF5" s="1214">
        <v>0.42</v>
      </c>
      <c r="AG5" s="1214">
        <v>7.7279999999999998</v>
      </c>
      <c r="AH5" s="896">
        <v>7.0000000000000007E-2</v>
      </c>
      <c r="AI5" s="896">
        <v>0</v>
      </c>
      <c r="AJ5" s="896">
        <v>283.95749999999998</v>
      </c>
      <c r="AK5" s="1205">
        <v>3.4</v>
      </c>
      <c r="AL5" s="1205">
        <v>12.347</v>
      </c>
      <c r="AM5" s="1215">
        <v>0.28599999999999998</v>
      </c>
      <c r="AN5" s="1205">
        <v>2</v>
      </c>
      <c r="AO5" s="896">
        <v>0.81</v>
      </c>
      <c r="AP5" s="1205">
        <v>0.52100000000000002</v>
      </c>
      <c r="AQ5" s="1216">
        <v>10</v>
      </c>
      <c r="AR5" s="1205">
        <v>2.7</v>
      </c>
      <c r="AS5" s="1205">
        <v>0.751</v>
      </c>
      <c r="AT5" s="896">
        <v>12.56</v>
      </c>
      <c r="AU5" s="896">
        <v>0</v>
      </c>
      <c r="AV5" s="1205">
        <v>1.415</v>
      </c>
      <c r="AW5" s="1205">
        <v>10.51</v>
      </c>
      <c r="AX5" s="1205">
        <v>2.6</v>
      </c>
      <c r="AY5" s="896">
        <v>-0.33</v>
      </c>
      <c r="AZ5" s="1205">
        <v>17.744</v>
      </c>
      <c r="BA5" s="896">
        <v>0</v>
      </c>
      <c r="BB5" s="1205">
        <v>4.0999999999999996</v>
      </c>
      <c r="BC5" s="1205">
        <v>7.25</v>
      </c>
      <c r="BD5" s="1205">
        <v>48.4</v>
      </c>
      <c r="BE5" s="1214">
        <v>0.83</v>
      </c>
      <c r="BF5" s="734">
        <v>4.5110000000000001</v>
      </c>
      <c r="BG5" s="896">
        <v>3.0739999999999998</v>
      </c>
      <c r="BH5" s="1170">
        <v>-0.28399999999999997</v>
      </c>
      <c r="BI5" s="1205">
        <v>21.012</v>
      </c>
      <c r="BJ5" s="1194">
        <v>1.1599999999999999</v>
      </c>
    </row>
    <row r="6" spans="1:62" x14ac:dyDescent="0.35">
      <c r="A6" s="1183">
        <v>2022</v>
      </c>
      <c r="B6" s="1185">
        <f t="shared" ref="B6:B15" si="1">Q6</f>
        <v>17.465</v>
      </c>
      <c r="C6" s="1185">
        <f t="shared" ref="C6:C15" si="2">SUM(Y6:AB6)</f>
        <v>10.1</v>
      </c>
      <c r="D6" s="1185">
        <f t="shared" ref="D6:D15" si="3">T6</f>
        <v>2.5950000000000002</v>
      </c>
      <c r="E6" s="1185">
        <f t="shared" ref="E6:E15" si="4">SUM(P6:S6)-B6</f>
        <v>19.719000000000005</v>
      </c>
      <c r="F6" s="1185">
        <f>SUM(T6:AF6)-C6-L6-D6</f>
        <v>52.756999999999998</v>
      </c>
      <c r="G6" s="1185">
        <f t="shared" ref="G6:G16" si="5">SUM(BB6:BI6)-BC6</f>
        <v>110.24799999999999</v>
      </c>
      <c r="H6" s="1185">
        <f t="shared" ref="H6:H15" si="6">SUM(AG6:AI6)</f>
        <v>7.9489999999999998</v>
      </c>
      <c r="I6" s="1185">
        <f t="shared" ref="I6:I15" si="7">AJ6</f>
        <v>77.092500000000001</v>
      </c>
      <c r="J6" s="1185">
        <f t="shared" ref="J6:J15" si="8">AL6</f>
        <v>46.79</v>
      </c>
      <c r="K6" s="1185">
        <f t="shared" ref="K6:K16" si="9">SUM(AM6:AT6)</f>
        <v>35.671000000000006</v>
      </c>
      <c r="L6" s="1189">
        <v>0</v>
      </c>
      <c r="M6" s="1185">
        <f t="shared" si="0"/>
        <v>56.412999999999997</v>
      </c>
      <c r="N6" s="1185">
        <f t="shared" ref="N6:N15" si="10">AK6</f>
        <v>5.0999999999999996</v>
      </c>
      <c r="O6" s="1212">
        <v>55</v>
      </c>
      <c r="P6" s="1206">
        <v>15.61</v>
      </c>
      <c r="Q6" s="896">
        <v>17.465</v>
      </c>
      <c r="R6" s="1214">
        <v>0.317</v>
      </c>
      <c r="S6" s="1214">
        <v>3.7919999999999998</v>
      </c>
      <c r="T6" s="896">
        <v>2.5950000000000002</v>
      </c>
      <c r="U6" s="1205">
        <v>14.5</v>
      </c>
      <c r="V6" s="896">
        <v>25.070999999999998</v>
      </c>
      <c r="W6" s="734">
        <v>1.952</v>
      </c>
      <c r="X6" s="734">
        <v>0.61399999999999999</v>
      </c>
      <c r="Y6" s="1205">
        <v>0</v>
      </c>
      <c r="Z6" s="1205">
        <v>2.2999999999999998</v>
      </c>
      <c r="AA6" s="1205">
        <v>1.6</v>
      </c>
      <c r="AB6" s="1205">
        <v>6.2</v>
      </c>
      <c r="AC6" s="896">
        <v>0</v>
      </c>
      <c r="AD6" s="896">
        <v>1.31</v>
      </c>
      <c r="AE6" s="896">
        <v>8.61</v>
      </c>
      <c r="AF6" s="896">
        <v>0.7</v>
      </c>
      <c r="AG6" s="1214">
        <v>7.782</v>
      </c>
      <c r="AH6" s="896">
        <v>0.12</v>
      </c>
      <c r="AI6" s="896">
        <v>4.7E-2</v>
      </c>
      <c r="AJ6" s="896">
        <v>77.092500000000001</v>
      </c>
      <c r="AK6" s="1205">
        <v>5.0999999999999996</v>
      </c>
      <c r="AL6" s="1205">
        <v>46.79</v>
      </c>
      <c r="AM6" s="1170">
        <v>0.30499999999999999</v>
      </c>
      <c r="AN6" s="1205">
        <v>4.3</v>
      </c>
      <c r="AO6" s="734">
        <v>1.1000000000000001</v>
      </c>
      <c r="AP6" s="1205">
        <v>1.575</v>
      </c>
      <c r="AQ6" s="1216">
        <v>10</v>
      </c>
      <c r="AR6" s="1205">
        <v>4.5</v>
      </c>
      <c r="AS6" s="1205">
        <v>1.9810000000000001</v>
      </c>
      <c r="AT6" s="896">
        <v>11.91</v>
      </c>
      <c r="AU6" s="896">
        <v>0</v>
      </c>
      <c r="AV6" s="1205">
        <v>3.927</v>
      </c>
      <c r="AW6" s="1205">
        <v>4.2880000000000003</v>
      </c>
      <c r="AX6" s="1205">
        <v>3.7</v>
      </c>
      <c r="AY6" s="896">
        <v>-1.34</v>
      </c>
      <c r="AZ6" s="1205">
        <v>45.838000000000001</v>
      </c>
      <c r="BA6" s="896">
        <v>0</v>
      </c>
      <c r="BB6" s="1205">
        <v>11.3</v>
      </c>
      <c r="BC6" s="1205">
        <v>0</v>
      </c>
      <c r="BD6" s="1205">
        <v>1.1000000000000001</v>
      </c>
      <c r="BE6" s="1214">
        <v>1.75</v>
      </c>
      <c r="BF6" s="734">
        <v>1.7330000000000001</v>
      </c>
      <c r="BG6" s="734">
        <v>7.1440000000000001</v>
      </c>
      <c r="BH6" s="1171">
        <v>81.608999999999995</v>
      </c>
      <c r="BI6" s="1205">
        <v>5.6120000000000001</v>
      </c>
      <c r="BJ6" s="1194">
        <v>4.2</v>
      </c>
    </row>
    <row r="7" spans="1:62" x14ac:dyDescent="0.35">
      <c r="A7" s="1183">
        <v>2023</v>
      </c>
      <c r="B7" s="1185">
        <f t="shared" si="1"/>
        <v>0.48599999999999999</v>
      </c>
      <c r="C7" s="1185">
        <f t="shared" si="2"/>
        <v>0</v>
      </c>
      <c r="D7" s="1185">
        <f t="shared" si="3"/>
        <v>0.93700000000000006</v>
      </c>
      <c r="E7" s="1185">
        <f t="shared" si="4"/>
        <v>1.4159999999999999</v>
      </c>
      <c r="F7" s="1185">
        <f t="shared" ref="F7:F15" si="11">SUM(T7:AF7)-C7-L7-D7</f>
        <v>12</v>
      </c>
      <c r="G7" s="1185">
        <f t="shared" si="5"/>
        <v>12.726000000000001</v>
      </c>
      <c r="H7" s="1185">
        <f t="shared" si="6"/>
        <v>4.7519999999999998</v>
      </c>
      <c r="I7" s="1185">
        <f t="shared" si="7"/>
        <v>1</v>
      </c>
      <c r="J7" s="1185">
        <f t="shared" si="8"/>
        <v>38.595999999999997</v>
      </c>
      <c r="K7" s="1185">
        <f t="shared" si="9"/>
        <v>24.216000000000001</v>
      </c>
      <c r="L7" s="1189">
        <v>0</v>
      </c>
      <c r="M7" s="1185">
        <f t="shared" si="0"/>
        <v>15.652999999999999</v>
      </c>
      <c r="N7" s="1185">
        <f t="shared" si="10"/>
        <v>0</v>
      </c>
      <c r="O7" s="1212">
        <v>0.7</v>
      </c>
      <c r="P7" s="1206">
        <v>0.96</v>
      </c>
      <c r="Q7" s="896">
        <v>0.48599999999999999</v>
      </c>
      <c r="R7" s="1214">
        <v>0.45600000000000002</v>
      </c>
      <c r="S7" s="896">
        <v>0</v>
      </c>
      <c r="T7" s="1172">
        <v>0.93700000000000006</v>
      </c>
      <c r="U7" s="1205">
        <v>3</v>
      </c>
      <c r="V7" s="1214">
        <v>7.891</v>
      </c>
      <c r="W7" s="734">
        <v>0.61699999999999999</v>
      </c>
      <c r="X7" s="734">
        <v>8.4000000000000005E-2</v>
      </c>
      <c r="Y7" s="1205">
        <v>0</v>
      </c>
      <c r="Z7" s="1205">
        <v>0</v>
      </c>
      <c r="AA7" s="1205">
        <v>0</v>
      </c>
      <c r="AB7" s="1205">
        <v>0</v>
      </c>
      <c r="AC7" s="896">
        <v>0</v>
      </c>
      <c r="AD7" s="896">
        <v>0.318</v>
      </c>
      <c r="AE7" s="1214">
        <v>-0.11000000000000001</v>
      </c>
      <c r="AF7" s="896">
        <v>0.2</v>
      </c>
      <c r="AG7" s="1214">
        <v>4.6749999999999998</v>
      </c>
      <c r="AH7" s="896">
        <v>0.06</v>
      </c>
      <c r="AI7" s="896">
        <v>1.7000000000000001E-2</v>
      </c>
      <c r="AJ7" s="896">
        <v>1</v>
      </c>
      <c r="AK7" s="1205">
        <v>0</v>
      </c>
      <c r="AL7" s="1205">
        <v>38.595999999999997</v>
      </c>
      <c r="AM7" s="896">
        <v>0.14899999999999999</v>
      </c>
      <c r="AN7" s="1205">
        <v>1.2</v>
      </c>
      <c r="AO7" s="734">
        <v>0.53</v>
      </c>
      <c r="AP7" s="1205">
        <v>0.38100000000000001</v>
      </c>
      <c r="AQ7" s="1216">
        <v>8</v>
      </c>
      <c r="AR7" s="1205">
        <v>4.5</v>
      </c>
      <c r="AS7" s="1205">
        <v>0.76600000000000001</v>
      </c>
      <c r="AT7" s="896">
        <v>8.69</v>
      </c>
      <c r="AU7" s="896">
        <v>0</v>
      </c>
      <c r="AV7" s="1205">
        <v>1.93</v>
      </c>
      <c r="AW7" s="1205">
        <v>1.4379999999999999</v>
      </c>
      <c r="AX7" s="1205">
        <v>2.6</v>
      </c>
      <c r="AY7" s="734">
        <v>-2.48</v>
      </c>
      <c r="AZ7" s="1205">
        <v>12.164999999999999</v>
      </c>
      <c r="BA7" s="734">
        <v>0</v>
      </c>
      <c r="BB7" s="1205">
        <v>8.4</v>
      </c>
      <c r="BC7" s="1205">
        <v>0</v>
      </c>
      <c r="BD7" s="1205">
        <v>0.3</v>
      </c>
      <c r="BE7" s="1214">
        <v>1.8</v>
      </c>
      <c r="BF7" s="734">
        <v>0</v>
      </c>
      <c r="BG7" s="734">
        <v>0</v>
      </c>
      <c r="BH7" s="1170">
        <v>1.3759999999999999</v>
      </c>
      <c r="BI7" s="1205">
        <v>0.85</v>
      </c>
      <c r="BJ7" s="1194">
        <v>2.7</v>
      </c>
    </row>
    <row r="8" spans="1:62" x14ac:dyDescent="0.35">
      <c r="A8" s="1183">
        <v>2024</v>
      </c>
      <c r="B8" s="1185">
        <f t="shared" si="1"/>
        <v>0</v>
      </c>
      <c r="C8" s="1185">
        <f t="shared" si="2"/>
        <v>0</v>
      </c>
      <c r="D8" s="1185">
        <f t="shared" si="3"/>
        <v>0.16</v>
      </c>
      <c r="E8" s="1185">
        <f t="shared" si="4"/>
        <v>1.4790000000000001</v>
      </c>
      <c r="F8" s="1185">
        <f t="shared" si="11"/>
        <v>4.2219999999999995</v>
      </c>
      <c r="G8" s="1185">
        <f t="shared" si="5"/>
        <v>1.365</v>
      </c>
      <c r="H8" s="1185">
        <f t="shared" si="6"/>
        <v>4.637999999999999</v>
      </c>
      <c r="I8" s="1185">
        <f t="shared" si="7"/>
        <v>0</v>
      </c>
      <c r="J8" s="1185">
        <f t="shared" si="8"/>
        <v>31.911000000000001</v>
      </c>
      <c r="K8" s="1185">
        <f t="shared" si="9"/>
        <v>9.6430000000000007</v>
      </c>
      <c r="L8" s="1189">
        <v>0</v>
      </c>
      <c r="M8" s="1185">
        <f t="shared" si="0"/>
        <v>3.9320000000000004</v>
      </c>
      <c r="N8" s="1185">
        <f t="shared" si="10"/>
        <v>0</v>
      </c>
      <c r="O8" s="1212">
        <v>0.7</v>
      </c>
      <c r="P8" s="1206">
        <v>0.96</v>
      </c>
      <c r="Q8" s="1205">
        <v>0</v>
      </c>
      <c r="R8" s="1214">
        <v>0.51900000000000002</v>
      </c>
      <c r="S8" s="896">
        <v>0</v>
      </c>
      <c r="T8" s="1173">
        <v>0.16</v>
      </c>
      <c r="U8" s="1205">
        <v>2.8</v>
      </c>
      <c r="V8" s="896">
        <v>0.504</v>
      </c>
      <c r="W8" s="734">
        <v>0.47199999999999998</v>
      </c>
      <c r="X8" s="734">
        <v>2E-3</v>
      </c>
      <c r="Y8" s="1205">
        <v>0</v>
      </c>
      <c r="Z8" s="1205">
        <v>0</v>
      </c>
      <c r="AA8" s="1205">
        <v>0</v>
      </c>
      <c r="AB8" s="1205">
        <v>0</v>
      </c>
      <c r="AC8" s="896">
        <v>0</v>
      </c>
      <c r="AD8" s="896">
        <v>0.34399999999999997</v>
      </c>
      <c r="AE8" s="1214">
        <v>0</v>
      </c>
      <c r="AF8" s="1214">
        <v>0.1</v>
      </c>
      <c r="AG8" s="1214">
        <v>4.5739999999999998</v>
      </c>
      <c r="AH8" s="896">
        <v>0.06</v>
      </c>
      <c r="AI8" s="896">
        <v>4.0000000000000001E-3</v>
      </c>
      <c r="AJ8" s="896">
        <v>0</v>
      </c>
      <c r="AK8" s="1205">
        <v>0</v>
      </c>
      <c r="AL8" s="1205">
        <v>31.911000000000001</v>
      </c>
      <c r="AM8" s="896">
        <v>4.1000000000000002E-2</v>
      </c>
      <c r="AN8" s="1205">
        <v>0.4</v>
      </c>
      <c r="AO8" s="734">
        <v>0.41</v>
      </c>
      <c r="AP8" s="1205">
        <v>0.13100000000000001</v>
      </c>
      <c r="AQ8" s="1216">
        <v>0</v>
      </c>
      <c r="AR8" s="1205">
        <v>3</v>
      </c>
      <c r="AS8" s="1205">
        <v>0.30099999999999999</v>
      </c>
      <c r="AT8" s="734">
        <v>5.36</v>
      </c>
      <c r="AU8" s="896">
        <v>0</v>
      </c>
      <c r="AV8" s="1205">
        <v>0.79600000000000004</v>
      </c>
      <c r="AW8" s="1205">
        <v>0.27500000000000002</v>
      </c>
      <c r="AX8" s="1205">
        <v>1</v>
      </c>
      <c r="AY8" s="734">
        <v>-2.6</v>
      </c>
      <c r="AZ8" s="1205">
        <v>4.4610000000000003</v>
      </c>
      <c r="BA8" s="734">
        <v>0</v>
      </c>
      <c r="BB8" s="1205">
        <v>0.2</v>
      </c>
      <c r="BC8" s="1205">
        <v>0</v>
      </c>
      <c r="BD8" s="1205">
        <v>0</v>
      </c>
      <c r="BE8" s="1214">
        <v>1.95</v>
      </c>
      <c r="BF8" s="734">
        <v>0</v>
      </c>
      <c r="BG8" s="734">
        <v>0</v>
      </c>
      <c r="BH8" s="1170">
        <v>-0.875</v>
      </c>
      <c r="BI8" s="1205">
        <v>0.09</v>
      </c>
      <c r="BJ8" s="1195">
        <v>0.87</v>
      </c>
    </row>
    <row r="9" spans="1:62" x14ac:dyDescent="0.35">
      <c r="A9" s="1183">
        <v>2025</v>
      </c>
      <c r="B9" s="1185">
        <f t="shared" si="1"/>
        <v>0</v>
      </c>
      <c r="C9" s="1185">
        <f t="shared" si="2"/>
        <v>0</v>
      </c>
      <c r="D9" s="1185">
        <f t="shared" si="3"/>
        <v>3.3000000000000002E-2</v>
      </c>
      <c r="E9" s="1185">
        <f t="shared" si="4"/>
        <v>1.63</v>
      </c>
      <c r="F9" s="1185">
        <f t="shared" si="11"/>
        <v>2.3719999999999999</v>
      </c>
      <c r="G9" s="1185">
        <f t="shared" si="5"/>
        <v>-0.90100000000000025</v>
      </c>
      <c r="H9" s="1185">
        <f t="shared" si="6"/>
        <v>1.8800000000000001</v>
      </c>
      <c r="I9" s="1185">
        <f t="shared" si="7"/>
        <v>0</v>
      </c>
      <c r="J9" s="1185">
        <f t="shared" si="8"/>
        <v>23.099</v>
      </c>
      <c r="K9" s="1185">
        <f t="shared" si="9"/>
        <v>4.5789999999999997</v>
      </c>
      <c r="L9" s="1189">
        <v>0</v>
      </c>
      <c r="M9" s="1185">
        <f t="shared" si="0"/>
        <v>-0.74299999999999988</v>
      </c>
      <c r="N9" s="1185">
        <f t="shared" si="10"/>
        <v>0</v>
      </c>
      <c r="O9" s="1212">
        <v>0.7</v>
      </c>
      <c r="P9" s="1206">
        <v>1.06</v>
      </c>
      <c r="Q9" s="1205">
        <v>0</v>
      </c>
      <c r="R9" s="1214">
        <v>0.56999999999999995</v>
      </c>
      <c r="S9" s="896">
        <v>0</v>
      </c>
      <c r="T9" s="1174">
        <v>3.3000000000000002E-2</v>
      </c>
      <c r="U9" s="1205">
        <v>2</v>
      </c>
      <c r="V9" s="1174">
        <v>0</v>
      </c>
      <c r="W9" s="734">
        <v>0.21299999999999999</v>
      </c>
      <c r="X9" s="734">
        <v>2E-3</v>
      </c>
      <c r="Y9" s="1205">
        <v>0</v>
      </c>
      <c r="Z9" s="1205">
        <v>0</v>
      </c>
      <c r="AA9" s="1205">
        <v>0</v>
      </c>
      <c r="AB9" s="1205">
        <v>0</v>
      </c>
      <c r="AC9" s="896">
        <v>0</v>
      </c>
      <c r="AD9" s="896">
        <v>0.157</v>
      </c>
      <c r="AE9" s="1214">
        <v>0</v>
      </c>
      <c r="AF9" s="1214">
        <v>0</v>
      </c>
      <c r="AG9" s="896">
        <v>1.81</v>
      </c>
      <c r="AH9" s="896">
        <v>7.0000000000000007E-2</v>
      </c>
      <c r="AI9" s="896">
        <v>0</v>
      </c>
      <c r="AJ9" s="1205">
        <v>0</v>
      </c>
      <c r="AK9" s="1205">
        <v>0</v>
      </c>
      <c r="AL9" s="1205">
        <v>23.099</v>
      </c>
      <c r="AM9" s="896">
        <v>1.2999999999999999E-2</v>
      </c>
      <c r="AN9" s="1205">
        <v>0.3</v>
      </c>
      <c r="AO9" s="1203">
        <v>0.15</v>
      </c>
      <c r="AP9" s="1205">
        <v>0.112</v>
      </c>
      <c r="AQ9" s="1216">
        <v>0</v>
      </c>
      <c r="AR9" s="1205">
        <v>0.2</v>
      </c>
      <c r="AS9" s="1205">
        <v>7.3999999999999996E-2</v>
      </c>
      <c r="AT9" s="734">
        <v>3.73</v>
      </c>
      <c r="AU9" s="896">
        <v>0</v>
      </c>
      <c r="AV9" s="1205">
        <v>5.3999999999999999E-2</v>
      </c>
      <c r="AW9" s="1205">
        <v>0.13100000000000001</v>
      </c>
      <c r="AX9" s="1205">
        <v>0</v>
      </c>
      <c r="AY9" s="734">
        <v>-2.71</v>
      </c>
      <c r="AZ9" s="1205">
        <v>1.782</v>
      </c>
      <c r="BA9" s="734">
        <v>0</v>
      </c>
      <c r="BB9" s="1205">
        <v>0</v>
      </c>
      <c r="BC9" s="1205">
        <v>0</v>
      </c>
      <c r="BD9" s="1205">
        <v>0</v>
      </c>
      <c r="BE9" s="1214">
        <v>1.43</v>
      </c>
      <c r="BF9" s="734">
        <v>0</v>
      </c>
      <c r="BG9" s="734">
        <v>0</v>
      </c>
      <c r="BH9" s="1170">
        <v>-2.3410000000000002</v>
      </c>
      <c r="BI9" s="1205">
        <v>0.01</v>
      </c>
      <c r="BJ9" s="1195">
        <v>0.33</v>
      </c>
    </row>
    <row r="10" spans="1:62" x14ac:dyDescent="0.35">
      <c r="A10" s="1183">
        <v>2026</v>
      </c>
      <c r="B10" s="1185">
        <f t="shared" si="1"/>
        <v>0</v>
      </c>
      <c r="C10" s="1185">
        <f t="shared" si="2"/>
        <v>0</v>
      </c>
      <c r="D10" s="1185">
        <f t="shared" si="3"/>
        <v>3.2000000000000001E-2</v>
      </c>
      <c r="E10" s="1185">
        <f t="shared" si="4"/>
        <v>1.671</v>
      </c>
      <c r="F10" s="1185">
        <f t="shared" si="11"/>
        <v>0.49</v>
      </c>
      <c r="G10" s="1185">
        <f t="shared" si="5"/>
        <v>-2.1500000000000004</v>
      </c>
      <c r="H10" s="1185">
        <f t="shared" si="6"/>
        <v>1.446</v>
      </c>
      <c r="I10" s="1185">
        <f t="shared" si="7"/>
        <v>0</v>
      </c>
      <c r="J10" s="1185">
        <f t="shared" si="8"/>
        <v>10.766999999999999</v>
      </c>
      <c r="K10" s="1185">
        <f t="shared" si="9"/>
        <v>2.9130000000000003</v>
      </c>
      <c r="L10" s="1189"/>
      <c r="M10" s="1185">
        <f t="shared" si="0"/>
        <v>-21.606000000000002</v>
      </c>
      <c r="N10" s="1185">
        <f t="shared" si="10"/>
        <v>0</v>
      </c>
      <c r="O10" s="1212">
        <v>0.7</v>
      </c>
      <c r="P10" s="1206">
        <v>1.07</v>
      </c>
      <c r="Q10" s="1205">
        <v>0</v>
      </c>
      <c r="R10" s="1214">
        <v>0.60099999999999998</v>
      </c>
      <c r="S10" s="896">
        <v>0</v>
      </c>
      <c r="T10" s="1170">
        <v>3.2000000000000001E-2</v>
      </c>
      <c r="U10" s="1205">
        <v>0.3</v>
      </c>
      <c r="V10" s="1214">
        <v>0</v>
      </c>
      <c r="W10" s="734">
        <v>0.188</v>
      </c>
      <c r="X10" s="734">
        <v>2E-3</v>
      </c>
      <c r="Y10" s="1205">
        <v>0</v>
      </c>
      <c r="Z10" s="1205">
        <v>0</v>
      </c>
      <c r="AA10" s="1205">
        <v>0</v>
      </c>
      <c r="AB10" s="1205">
        <v>0</v>
      </c>
      <c r="AC10" s="896">
        <v>0</v>
      </c>
      <c r="AD10" s="896">
        <v>0</v>
      </c>
      <c r="AE10" s="896">
        <v>0</v>
      </c>
      <c r="AF10" s="1214">
        <v>0</v>
      </c>
      <c r="AG10" s="896">
        <v>1.3759999999999999</v>
      </c>
      <c r="AH10" s="896">
        <v>7.0000000000000007E-2</v>
      </c>
      <c r="AI10" s="896">
        <v>0</v>
      </c>
      <c r="AJ10" s="1175">
        <v>0</v>
      </c>
      <c r="AK10" s="1205">
        <v>0</v>
      </c>
      <c r="AL10" s="1205">
        <v>10.766999999999999</v>
      </c>
      <c r="AM10" s="896">
        <v>3.0000000000000001E-3</v>
      </c>
      <c r="AN10" s="1205">
        <v>0.2</v>
      </c>
      <c r="AO10" s="1203">
        <v>0.1</v>
      </c>
      <c r="AP10" s="1205">
        <v>0.05</v>
      </c>
      <c r="AQ10" s="1216">
        <v>0</v>
      </c>
      <c r="AR10" s="1205">
        <v>0</v>
      </c>
      <c r="AS10" s="1205">
        <v>0</v>
      </c>
      <c r="AT10" s="734">
        <v>2.56</v>
      </c>
      <c r="AU10" s="896">
        <v>0</v>
      </c>
      <c r="AV10" s="1205">
        <v>3.7999999999999999E-2</v>
      </c>
      <c r="AW10" s="1205">
        <v>2.5999999999999999E-2</v>
      </c>
      <c r="AX10" s="1205">
        <v>0</v>
      </c>
      <c r="AY10" s="734">
        <v>-2.6700000000000004</v>
      </c>
      <c r="AZ10" s="1205">
        <v>0</v>
      </c>
      <c r="BA10" s="734">
        <v>-19</v>
      </c>
      <c r="BB10" s="1205">
        <v>0</v>
      </c>
      <c r="BC10" s="1205">
        <v>0</v>
      </c>
      <c r="BD10" s="1205">
        <v>0</v>
      </c>
      <c r="BE10" s="734">
        <v>0.88</v>
      </c>
      <c r="BF10" s="734">
        <v>0</v>
      </c>
      <c r="BG10" s="734">
        <v>0</v>
      </c>
      <c r="BH10" s="896">
        <v>-2.8200000000000003</v>
      </c>
      <c r="BI10" s="1205">
        <v>-0.21</v>
      </c>
      <c r="BJ10" s="1195">
        <v>0.17</v>
      </c>
    </row>
    <row r="11" spans="1:62" x14ac:dyDescent="0.35">
      <c r="A11" s="1183">
        <v>2027</v>
      </c>
      <c r="B11" s="1185">
        <f t="shared" si="1"/>
        <v>0</v>
      </c>
      <c r="C11" s="1185">
        <f t="shared" si="2"/>
        <v>0</v>
      </c>
      <c r="D11" s="1185">
        <f t="shared" si="3"/>
        <v>3.2000000000000001E-2</v>
      </c>
      <c r="E11" s="1185">
        <f t="shared" si="4"/>
        <v>1.7130000000000001</v>
      </c>
      <c r="F11" s="1185">
        <f t="shared" si="11"/>
        <v>0</v>
      </c>
      <c r="G11" s="1185">
        <f t="shared" si="5"/>
        <v>-4.8169999999999993</v>
      </c>
      <c r="H11" s="1185">
        <f t="shared" si="6"/>
        <v>0.65699999999999992</v>
      </c>
      <c r="I11" s="1185">
        <f t="shared" si="7"/>
        <v>0</v>
      </c>
      <c r="J11" s="1185">
        <f t="shared" si="8"/>
        <v>4.0789999999999997</v>
      </c>
      <c r="K11" s="1185">
        <f t="shared" si="9"/>
        <v>2.46</v>
      </c>
      <c r="L11" s="1189"/>
      <c r="M11" s="1185">
        <f t="shared" si="0"/>
        <v>-14.713000000000001</v>
      </c>
      <c r="N11" s="1185">
        <f t="shared" si="10"/>
        <v>0</v>
      </c>
      <c r="O11" s="1212">
        <v>0.3</v>
      </c>
      <c r="P11" s="1206">
        <v>1.08</v>
      </c>
      <c r="Q11" s="1205">
        <v>0</v>
      </c>
      <c r="R11" s="1214">
        <v>0.63300000000000001</v>
      </c>
      <c r="S11" s="1173">
        <v>0</v>
      </c>
      <c r="T11" s="1205">
        <v>3.2000000000000001E-2</v>
      </c>
      <c r="U11" s="1205">
        <v>0</v>
      </c>
      <c r="V11" s="896">
        <v>0</v>
      </c>
      <c r="W11" s="734">
        <v>0</v>
      </c>
      <c r="X11" s="734">
        <v>0</v>
      </c>
      <c r="Y11" s="1205">
        <v>0</v>
      </c>
      <c r="Z11" s="1205">
        <v>0</v>
      </c>
      <c r="AA11" s="1205">
        <v>0</v>
      </c>
      <c r="AB11" s="1205">
        <v>0</v>
      </c>
      <c r="AC11" s="896">
        <v>0</v>
      </c>
      <c r="AD11" s="1214">
        <v>0</v>
      </c>
      <c r="AE11" s="896">
        <v>0</v>
      </c>
      <c r="AF11" s="1214">
        <v>0</v>
      </c>
      <c r="AG11" s="896">
        <v>0.57699999999999996</v>
      </c>
      <c r="AH11" s="896">
        <v>0.08</v>
      </c>
      <c r="AI11" s="896">
        <v>0</v>
      </c>
      <c r="AJ11" s="896">
        <v>0</v>
      </c>
      <c r="AK11" s="1205">
        <v>0</v>
      </c>
      <c r="AL11" s="1205">
        <v>4.0789999999999997</v>
      </c>
      <c r="AM11" s="1205">
        <v>0</v>
      </c>
      <c r="AN11" s="1205">
        <v>0.1</v>
      </c>
      <c r="AO11" s="1203">
        <v>0.1</v>
      </c>
      <c r="AP11" s="1205">
        <v>0.03</v>
      </c>
      <c r="AQ11" s="1216">
        <v>0</v>
      </c>
      <c r="AR11" s="1205">
        <v>0</v>
      </c>
      <c r="AS11" s="1205">
        <v>0</v>
      </c>
      <c r="AT11" s="1203">
        <v>2.23</v>
      </c>
      <c r="AU11" s="896">
        <v>0</v>
      </c>
      <c r="AV11" s="1205">
        <v>1.7000000000000001E-2</v>
      </c>
      <c r="AW11" s="1205">
        <v>0</v>
      </c>
      <c r="AX11" s="1205">
        <v>0</v>
      </c>
      <c r="AY11" s="734">
        <v>-2.73</v>
      </c>
      <c r="AZ11" s="1205">
        <v>0</v>
      </c>
      <c r="BA11" s="734">
        <v>-12</v>
      </c>
      <c r="BB11" s="1205">
        <v>0</v>
      </c>
      <c r="BC11" s="1205">
        <v>0</v>
      </c>
      <c r="BD11" s="1205">
        <v>0</v>
      </c>
      <c r="BE11" s="734">
        <v>0.28000000000000003</v>
      </c>
      <c r="BF11" s="734">
        <v>0</v>
      </c>
      <c r="BG11" s="734">
        <v>0</v>
      </c>
      <c r="BH11" s="1174">
        <v>-5.0069999999999997</v>
      </c>
      <c r="BI11" s="1205">
        <v>-0.09</v>
      </c>
      <c r="BJ11" s="1196">
        <v>0.06</v>
      </c>
    </row>
    <row r="12" spans="1:62" x14ac:dyDescent="0.35">
      <c r="A12" s="1183">
        <v>2028</v>
      </c>
      <c r="B12" s="1185">
        <f t="shared" si="1"/>
        <v>0</v>
      </c>
      <c r="C12" s="1185">
        <f t="shared" si="2"/>
        <v>0</v>
      </c>
      <c r="D12" s="1185">
        <f t="shared" si="3"/>
        <v>3.3000000000000002E-2</v>
      </c>
      <c r="E12" s="1185">
        <f t="shared" si="4"/>
        <v>1.7130000000000001</v>
      </c>
      <c r="F12" s="1185">
        <f t="shared" si="11"/>
        <v>0</v>
      </c>
      <c r="G12" s="1185">
        <f t="shared" si="5"/>
        <v>-5.0590000000000002</v>
      </c>
      <c r="H12" s="1185">
        <f t="shared" si="6"/>
        <v>-1.071</v>
      </c>
      <c r="I12" s="1185">
        <f t="shared" si="7"/>
        <v>0</v>
      </c>
      <c r="J12" s="1185">
        <f t="shared" si="8"/>
        <v>1.635</v>
      </c>
      <c r="K12" s="1185">
        <f t="shared" si="9"/>
        <v>1.81</v>
      </c>
      <c r="L12" s="1189"/>
      <c r="M12" s="1185">
        <f t="shared" si="0"/>
        <v>-2.7690000000000001</v>
      </c>
      <c r="N12" s="1185">
        <f t="shared" si="10"/>
        <v>0</v>
      </c>
      <c r="O12" s="1212">
        <v>0.3</v>
      </c>
      <c r="P12" s="1206">
        <v>1.08</v>
      </c>
      <c r="Q12" s="1205">
        <v>0</v>
      </c>
      <c r="R12" s="1214">
        <v>0.63300000000000001</v>
      </c>
      <c r="S12" s="1173">
        <v>0</v>
      </c>
      <c r="T12" s="1176">
        <v>3.3000000000000002E-2</v>
      </c>
      <c r="U12" s="1205">
        <v>0</v>
      </c>
      <c r="V12" s="896">
        <v>0</v>
      </c>
      <c r="W12" s="734">
        <v>0</v>
      </c>
      <c r="X12" s="734">
        <v>0</v>
      </c>
      <c r="Y12" s="1205">
        <v>0</v>
      </c>
      <c r="Z12" s="1205">
        <v>0</v>
      </c>
      <c r="AA12" s="1205">
        <v>0</v>
      </c>
      <c r="AB12" s="1205">
        <v>0</v>
      </c>
      <c r="AC12" s="896">
        <v>0</v>
      </c>
      <c r="AD12" s="896">
        <v>0</v>
      </c>
      <c r="AE12" s="896">
        <v>0</v>
      </c>
      <c r="AF12" s="896">
        <v>0</v>
      </c>
      <c r="AG12" s="896">
        <v>-1.151</v>
      </c>
      <c r="AH12" s="896">
        <v>0.08</v>
      </c>
      <c r="AI12" s="896">
        <v>0</v>
      </c>
      <c r="AJ12" s="896">
        <v>0</v>
      </c>
      <c r="AK12" s="1205">
        <v>0</v>
      </c>
      <c r="AL12" s="1205">
        <v>1.635</v>
      </c>
      <c r="AM12" s="1205">
        <v>0</v>
      </c>
      <c r="AN12" s="1205">
        <v>0.1</v>
      </c>
      <c r="AO12" s="734">
        <v>0</v>
      </c>
      <c r="AP12" s="1205">
        <v>0</v>
      </c>
      <c r="AQ12" s="1216">
        <v>0</v>
      </c>
      <c r="AR12" s="1205">
        <v>0</v>
      </c>
      <c r="AS12" s="1205">
        <v>0</v>
      </c>
      <c r="AT12" s="1203">
        <v>1.71</v>
      </c>
      <c r="AU12" s="896">
        <v>0</v>
      </c>
      <c r="AV12" s="1205">
        <v>1E-3</v>
      </c>
      <c r="AW12" s="1205">
        <v>0</v>
      </c>
      <c r="AX12" s="1205">
        <v>0</v>
      </c>
      <c r="AY12" s="734">
        <v>-2.77</v>
      </c>
      <c r="AZ12" s="1205">
        <v>0</v>
      </c>
      <c r="BA12" s="734">
        <v>0</v>
      </c>
      <c r="BB12" s="1205">
        <v>0</v>
      </c>
      <c r="BC12" s="1205">
        <v>0</v>
      </c>
      <c r="BD12" s="1205">
        <v>0</v>
      </c>
      <c r="BE12" s="734">
        <v>0.1</v>
      </c>
      <c r="BF12" s="734">
        <v>0</v>
      </c>
      <c r="BG12" s="734">
        <v>0</v>
      </c>
      <c r="BH12" s="1174">
        <v>-5.069</v>
      </c>
      <c r="BI12" s="1205">
        <v>-0.09</v>
      </c>
      <c r="BJ12" s="1196">
        <v>0.03</v>
      </c>
    </row>
    <row r="13" spans="1:62" x14ac:dyDescent="0.35">
      <c r="A13" s="1183">
        <v>2029</v>
      </c>
      <c r="B13" s="1185">
        <f t="shared" si="1"/>
        <v>0</v>
      </c>
      <c r="C13" s="1185">
        <f t="shared" si="2"/>
        <v>0</v>
      </c>
      <c r="D13" s="1185">
        <f t="shared" si="3"/>
        <v>3.3000000000000002E-2</v>
      </c>
      <c r="E13" s="1185">
        <f t="shared" si="4"/>
        <v>1.7130000000000001</v>
      </c>
      <c r="F13" s="1185">
        <f t="shared" si="11"/>
        <v>0</v>
      </c>
      <c r="G13" s="1185">
        <f t="shared" si="5"/>
        <v>-5.218</v>
      </c>
      <c r="H13" s="1185">
        <f t="shared" si="6"/>
        <v>-1.964</v>
      </c>
      <c r="I13" s="1185">
        <f t="shared" si="7"/>
        <v>0</v>
      </c>
      <c r="J13" s="1185">
        <f t="shared" si="8"/>
        <v>-1.7000000000000001E-2</v>
      </c>
      <c r="K13" s="1185">
        <f t="shared" si="9"/>
        <v>1</v>
      </c>
      <c r="L13" s="1189"/>
      <c r="M13" s="1185">
        <f t="shared" si="0"/>
        <v>-2.75</v>
      </c>
      <c r="N13" s="1185">
        <f t="shared" si="10"/>
        <v>0</v>
      </c>
      <c r="O13" s="1212">
        <v>0.3</v>
      </c>
      <c r="P13" s="1206">
        <v>1.08</v>
      </c>
      <c r="Q13" s="1205">
        <v>0</v>
      </c>
      <c r="R13" s="1214">
        <v>0.63300000000000001</v>
      </c>
      <c r="S13" s="1173">
        <v>0</v>
      </c>
      <c r="T13" s="896">
        <v>3.3000000000000002E-2</v>
      </c>
      <c r="U13" s="1205">
        <v>0</v>
      </c>
      <c r="V13" s="896">
        <v>0</v>
      </c>
      <c r="W13" s="734">
        <v>0</v>
      </c>
      <c r="X13" s="734">
        <v>0</v>
      </c>
      <c r="Y13" s="1205">
        <v>0</v>
      </c>
      <c r="Z13" s="1205">
        <v>0</v>
      </c>
      <c r="AA13" s="1205">
        <v>0</v>
      </c>
      <c r="AB13" s="1205">
        <v>0</v>
      </c>
      <c r="AC13" s="896">
        <v>0</v>
      </c>
      <c r="AD13" s="896">
        <v>0</v>
      </c>
      <c r="AE13" s="896">
        <v>0</v>
      </c>
      <c r="AF13" s="896">
        <v>0</v>
      </c>
      <c r="AG13" s="1205">
        <v>-2.044</v>
      </c>
      <c r="AH13" s="896">
        <v>0.08</v>
      </c>
      <c r="AI13" s="896">
        <v>0</v>
      </c>
      <c r="AJ13" s="1177">
        <v>0</v>
      </c>
      <c r="AK13" s="1205">
        <v>0</v>
      </c>
      <c r="AL13" s="1205">
        <v>-1.7000000000000001E-2</v>
      </c>
      <c r="AM13" s="1205">
        <v>0</v>
      </c>
      <c r="AN13" s="1205">
        <v>0</v>
      </c>
      <c r="AO13" s="734">
        <v>0</v>
      </c>
      <c r="AP13" s="1205">
        <v>0</v>
      </c>
      <c r="AQ13" s="1216">
        <v>0</v>
      </c>
      <c r="AR13" s="1205">
        <v>0</v>
      </c>
      <c r="AS13" s="1205">
        <v>0</v>
      </c>
      <c r="AT13" s="1203">
        <v>1</v>
      </c>
      <c r="AU13" s="896">
        <v>0</v>
      </c>
      <c r="AV13" s="1205">
        <v>0</v>
      </c>
      <c r="AW13" s="1205">
        <v>0</v>
      </c>
      <c r="AX13" s="1205">
        <v>0</v>
      </c>
      <c r="AY13" s="734">
        <v>-2.75</v>
      </c>
      <c r="AZ13" s="1205">
        <v>0</v>
      </c>
      <c r="BA13" s="734">
        <v>0</v>
      </c>
      <c r="BB13" s="1205">
        <v>0</v>
      </c>
      <c r="BC13" s="1205">
        <v>0</v>
      </c>
      <c r="BD13" s="1205">
        <v>0</v>
      </c>
      <c r="BE13" s="734">
        <v>0</v>
      </c>
      <c r="BF13" s="1178">
        <v>0</v>
      </c>
      <c r="BG13" s="734">
        <v>0</v>
      </c>
      <c r="BH13" s="1174">
        <v>-5.1180000000000003</v>
      </c>
      <c r="BI13" s="1205">
        <v>-0.1</v>
      </c>
      <c r="BJ13" s="1196">
        <v>0.01</v>
      </c>
    </row>
    <row r="14" spans="1:62" x14ac:dyDescent="0.35">
      <c r="A14" s="1183">
        <v>2030</v>
      </c>
      <c r="B14" s="1185">
        <f t="shared" si="1"/>
        <v>0</v>
      </c>
      <c r="C14" s="1185">
        <f t="shared" si="2"/>
        <v>0</v>
      </c>
      <c r="D14" s="1185">
        <f t="shared" si="3"/>
        <v>3.3000000000000002E-2</v>
      </c>
      <c r="E14" s="1185">
        <f t="shared" si="4"/>
        <v>1.8130000000000002</v>
      </c>
      <c r="F14" s="1185">
        <f t="shared" si="11"/>
        <v>0</v>
      </c>
      <c r="G14" s="1185">
        <f t="shared" si="5"/>
        <v>-5.9420000000000002</v>
      </c>
      <c r="H14" s="1185">
        <f t="shared" si="6"/>
        <v>-2.0210000000000004</v>
      </c>
      <c r="I14" s="1185">
        <f t="shared" si="7"/>
        <v>0</v>
      </c>
      <c r="J14" s="1185">
        <f t="shared" si="8"/>
        <v>-1.9E-2</v>
      </c>
      <c r="K14" s="1185">
        <f t="shared" si="9"/>
        <v>0.8</v>
      </c>
      <c r="L14" s="1189"/>
      <c r="M14" s="1185">
        <f t="shared" si="0"/>
        <v>-8.1189999999999998</v>
      </c>
      <c r="N14" s="1185">
        <f t="shared" si="10"/>
        <v>0</v>
      </c>
      <c r="O14" s="1212">
        <v>0.3</v>
      </c>
      <c r="P14" s="1206">
        <v>1.1800000000000002</v>
      </c>
      <c r="Q14" s="1205">
        <v>0</v>
      </c>
      <c r="R14" s="1214">
        <v>0.63300000000000001</v>
      </c>
      <c r="S14" s="1173">
        <v>0</v>
      </c>
      <c r="T14" s="896">
        <v>3.3000000000000002E-2</v>
      </c>
      <c r="U14" s="1205">
        <v>0</v>
      </c>
      <c r="V14" s="896">
        <v>0</v>
      </c>
      <c r="W14" s="734">
        <v>0</v>
      </c>
      <c r="X14" s="734">
        <v>0</v>
      </c>
      <c r="Y14" s="1205">
        <v>0</v>
      </c>
      <c r="Z14" s="1205">
        <v>0</v>
      </c>
      <c r="AA14" s="1205">
        <v>0</v>
      </c>
      <c r="AB14" s="1205">
        <v>0</v>
      </c>
      <c r="AC14" s="896">
        <v>0</v>
      </c>
      <c r="AD14" s="1214">
        <v>0</v>
      </c>
      <c r="AE14" s="1205">
        <v>0</v>
      </c>
      <c r="AF14" s="896">
        <v>0</v>
      </c>
      <c r="AG14" s="896">
        <v>-2.1110000000000002</v>
      </c>
      <c r="AH14" s="896">
        <v>0.09</v>
      </c>
      <c r="AI14" s="896">
        <v>0</v>
      </c>
      <c r="AJ14" s="1179">
        <v>0</v>
      </c>
      <c r="AK14" s="1205">
        <v>0</v>
      </c>
      <c r="AL14" s="1205">
        <v>-1.9E-2</v>
      </c>
      <c r="AM14" s="1205">
        <v>0</v>
      </c>
      <c r="AN14" s="1205">
        <v>0</v>
      </c>
      <c r="AO14" s="734">
        <v>0</v>
      </c>
      <c r="AP14" s="1205">
        <v>0</v>
      </c>
      <c r="AQ14" s="1216">
        <v>0</v>
      </c>
      <c r="AR14" s="1205">
        <v>0</v>
      </c>
      <c r="AS14" s="1205">
        <v>0</v>
      </c>
      <c r="AT14" s="734">
        <v>0.8</v>
      </c>
      <c r="AU14" s="896">
        <v>-5.4089999999999998</v>
      </c>
      <c r="AV14" s="1205">
        <v>0</v>
      </c>
      <c r="AW14" s="1205">
        <v>0</v>
      </c>
      <c r="AX14" s="1205">
        <v>0</v>
      </c>
      <c r="AY14" s="734">
        <v>-2.71</v>
      </c>
      <c r="AZ14" s="1205">
        <v>0</v>
      </c>
      <c r="BA14" s="734">
        <v>0</v>
      </c>
      <c r="BB14" s="1205">
        <v>0</v>
      </c>
      <c r="BC14" s="1205">
        <v>0</v>
      </c>
      <c r="BD14" s="1205">
        <v>0</v>
      </c>
      <c r="BE14" s="1205">
        <v>0</v>
      </c>
      <c r="BF14" s="734">
        <v>0</v>
      </c>
      <c r="BG14" s="734">
        <v>0</v>
      </c>
      <c r="BH14" s="896">
        <v>-5.8319999999999999</v>
      </c>
      <c r="BI14" s="1205">
        <v>-0.11</v>
      </c>
      <c r="BJ14" s="1195">
        <v>0.01</v>
      </c>
    </row>
    <row r="15" spans="1:62" ht="17.25" customHeight="1" x14ac:dyDescent="0.35">
      <c r="A15" s="1183">
        <v>2031</v>
      </c>
      <c r="B15" s="1185">
        <f t="shared" si="1"/>
        <v>0</v>
      </c>
      <c r="C15" s="1185">
        <f t="shared" si="2"/>
        <v>0</v>
      </c>
      <c r="D15" s="1185">
        <f t="shared" si="3"/>
        <v>0</v>
      </c>
      <c r="E15" s="1185">
        <f t="shared" si="4"/>
        <v>1.8230000000000002</v>
      </c>
      <c r="F15" s="1185">
        <f t="shared" si="11"/>
        <v>0</v>
      </c>
      <c r="G15" s="1185">
        <f t="shared" si="5"/>
        <v>-7.7250000000000005</v>
      </c>
      <c r="H15" s="1185">
        <f t="shared" si="6"/>
        <v>-2.4630000000000001</v>
      </c>
      <c r="I15" s="1185">
        <f t="shared" si="7"/>
        <v>0</v>
      </c>
      <c r="J15" s="1185">
        <f t="shared" si="8"/>
        <v>-1.9E-2</v>
      </c>
      <c r="K15" s="1185">
        <f t="shared" si="9"/>
        <v>0</v>
      </c>
      <c r="L15" s="1189"/>
      <c r="M15" s="1185">
        <f t="shared" si="0"/>
        <v>-3.0390000000000001</v>
      </c>
      <c r="N15" s="1185">
        <f t="shared" si="10"/>
        <v>0</v>
      </c>
      <c r="O15" s="1212">
        <v>0.3</v>
      </c>
      <c r="P15" s="1206">
        <v>1.1900000000000002</v>
      </c>
      <c r="Q15" s="1205">
        <v>0</v>
      </c>
      <c r="R15" s="1214">
        <v>0.63300000000000001</v>
      </c>
      <c r="S15" s="1173">
        <v>0</v>
      </c>
      <c r="T15" s="734">
        <v>0</v>
      </c>
      <c r="U15" s="1205">
        <v>0</v>
      </c>
      <c r="V15" s="1205">
        <v>0</v>
      </c>
      <c r="W15" s="734">
        <v>0</v>
      </c>
      <c r="X15" s="734">
        <v>0</v>
      </c>
      <c r="Y15" s="1205">
        <v>0</v>
      </c>
      <c r="Z15" s="1205">
        <v>0</v>
      </c>
      <c r="AA15" s="1205">
        <v>0</v>
      </c>
      <c r="AB15" s="1205">
        <v>0</v>
      </c>
      <c r="AC15" s="896">
        <v>0</v>
      </c>
      <c r="AD15" s="1205">
        <v>0</v>
      </c>
      <c r="AE15" s="896">
        <v>0</v>
      </c>
      <c r="AF15" s="896">
        <v>0</v>
      </c>
      <c r="AG15" s="896">
        <v>-2.5529999999999999</v>
      </c>
      <c r="AH15" s="896">
        <v>0.09</v>
      </c>
      <c r="AI15" s="896">
        <v>0</v>
      </c>
      <c r="AJ15" s="1180">
        <v>0</v>
      </c>
      <c r="AK15" s="1205">
        <v>0</v>
      </c>
      <c r="AL15" s="1205">
        <v>-1.9E-2</v>
      </c>
      <c r="AM15" s="1205">
        <v>0</v>
      </c>
      <c r="AN15" s="1205">
        <v>0</v>
      </c>
      <c r="AO15" s="734">
        <v>0</v>
      </c>
      <c r="AP15" s="1205">
        <v>0</v>
      </c>
      <c r="AQ15" s="1216">
        <v>0</v>
      </c>
      <c r="AR15" s="1205">
        <v>0</v>
      </c>
      <c r="AS15" s="1205">
        <v>0</v>
      </c>
      <c r="AT15" s="734">
        <v>0</v>
      </c>
      <c r="AU15" s="896">
        <v>-0.26900000000000002</v>
      </c>
      <c r="AV15" s="1205">
        <v>0</v>
      </c>
      <c r="AW15" s="1205">
        <v>0</v>
      </c>
      <c r="AX15" s="1205">
        <v>0</v>
      </c>
      <c r="AY15" s="734">
        <v>-2.77</v>
      </c>
      <c r="AZ15" s="1205">
        <v>0</v>
      </c>
      <c r="BA15" s="734">
        <v>0</v>
      </c>
      <c r="BB15" s="1205">
        <v>0</v>
      </c>
      <c r="BC15" s="1205">
        <v>0</v>
      </c>
      <c r="BD15" s="1205">
        <v>0</v>
      </c>
      <c r="BE15" s="1205">
        <v>0</v>
      </c>
      <c r="BF15" s="734">
        <v>0</v>
      </c>
      <c r="BG15" s="734">
        <v>0</v>
      </c>
      <c r="BH15" s="896">
        <v>-5.4350000000000005</v>
      </c>
      <c r="BI15" s="1205">
        <v>-2.29</v>
      </c>
      <c r="BJ15" s="1195">
        <v>0</v>
      </c>
    </row>
    <row r="16" spans="1:62" x14ac:dyDescent="0.35">
      <c r="A16" s="1184" t="s">
        <v>311</v>
      </c>
      <c r="B16" s="1184">
        <f>SUM(B5:B15)</f>
        <v>412.15299999999996</v>
      </c>
      <c r="C16" s="1184">
        <f>SUM(C5:C15)</f>
        <v>205.79999999999998</v>
      </c>
      <c r="D16" s="1184">
        <f>SUM(D5:D15)</f>
        <v>22.711000000000006</v>
      </c>
      <c r="E16" s="1184">
        <f t="shared" ref="E16:H16" si="12">SUM(E5:E15)</f>
        <v>35.466000000000015</v>
      </c>
      <c r="F16" s="1184">
        <f t="shared" si="12"/>
        <v>91.563000000000002</v>
      </c>
      <c r="G16" s="1185">
        <f t="shared" si="5"/>
        <v>174.17</v>
      </c>
      <c r="H16" s="1184">
        <f t="shared" si="12"/>
        <v>21.600999999999996</v>
      </c>
      <c r="I16" s="1189">
        <f t="shared" ref="I16" si="13">SUM(I5:I15)</f>
        <v>362.04999999999995</v>
      </c>
      <c r="J16" s="1189">
        <f t="shared" ref="J16" si="14">SUM(J5:J15)</f>
        <v>169.16899999999998</v>
      </c>
      <c r="K16" s="1185">
        <f t="shared" si="9"/>
        <v>112.72</v>
      </c>
      <c r="L16" s="1189">
        <f>SUM(L5:L15)</f>
        <v>25.75</v>
      </c>
      <c r="M16" s="1185">
        <f t="shared" si="0"/>
        <v>85.197999999999993</v>
      </c>
      <c r="N16" s="1185">
        <f>AK16</f>
        <v>8.5</v>
      </c>
      <c r="O16" s="1213">
        <f t="shared" ref="O16:BI16" si="15">SUM(O5:O15)</f>
        <v>109.3</v>
      </c>
      <c r="P16" s="1205">
        <f t="shared" si="15"/>
        <v>25.819999999999997</v>
      </c>
      <c r="Q16" s="1205">
        <f t="shared" si="15"/>
        <v>412.15299999999996</v>
      </c>
      <c r="R16" s="1205">
        <f t="shared" si="15"/>
        <v>5.774</v>
      </c>
      <c r="S16" s="1205">
        <f t="shared" si="15"/>
        <v>3.8719999999999999</v>
      </c>
      <c r="T16" s="1205">
        <f t="shared" si="15"/>
        <v>22.711000000000006</v>
      </c>
      <c r="U16" s="1205">
        <f t="shared" si="15"/>
        <v>41.599999999999994</v>
      </c>
      <c r="V16" s="1205">
        <f t="shared" si="15"/>
        <v>44.947999999999993</v>
      </c>
      <c r="W16" s="1205">
        <f t="shared" si="15"/>
        <v>5</v>
      </c>
      <c r="X16" s="1205">
        <f t="shared" si="15"/>
        <v>1.4440000000000002</v>
      </c>
      <c r="Y16" s="1205">
        <f t="shared" si="15"/>
        <v>0.2</v>
      </c>
      <c r="Z16" s="1205">
        <f t="shared" si="15"/>
        <v>45.4</v>
      </c>
      <c r="AA16" s="1205">
        <f t="shared" si="15"/>
        <v>35.5</v>
      </c>
      <c r="AB16" s="1205">
        <f t="shared" si="15"/>
        <v>124.7</v>
      </c>
      <c r="AC16" s="1205">
        <f t="shared" si="15"/>
        <v>28</v>
      </c>
      <c r="AD16" s="1205">
        <f t="shared" si="15"/>
        <v>9.100000000000022E-2</v>
      </c>
      <c r="AE16" s="1205">
        <f t="shared" si="15"/>
        <v>22.810000000000002</v>
      </c>
      <c r="AF16" s="1205">
        <f t="shared" si="15"/>
        <v>1.42</v>
      </c>
      <c r="AG16" s="1205">
        <f t="shared" si="15"/>
        <v>20.662999999999997</v>
      </c>
      <c r="AH16" s="1205">
        <f t="shared" si="15"/>
        <v>0.86999999999999988</v>
      </c>
      <c r="AI16" s="1205">
        <f t="shared" si="15"/>
        <v>6.8000000000000005E-2</v>
      </c>
      <c r="AJ16" s="1205">
        <f t="shared" si="15"/>
        <v>362.04999999999995</v>
      </c>
      <c r="AK16" s="1205">
        <f t="shared" ref="AK16:AO16" si="16">SUM(AK5:AK15)</f>
        <v>8.5</v>
      </c>
      <c r="AL16" s="1205">
        <f t="shared" si="16"/>
        <v>169.16899999999998</v>
      </c>
      <c r="AM16" s="1187">
        <f t="shared" si="16"/>
        <v>0.79700000000000004</v>
      </c>
      <c r="AN16" s="1205">
        <f t="shared" si="16"/>
        <v>8.6</v>
      </c>
      <c r="AO16" s="1205">
        <f t="shared" si="16"/>
        <v>3.2000000000000006</v>
      </c>
      <c r="AP16" s="1205">
        <f t="shared" si="15"/>
        <v>2.8000000000000003</v>
      </c>
      <c r="AQ16" s="1190">
        <f>SUM(AQ5:AQ15)</f>
        <v>28</v>
      </c>
      <c r="AR16" s="1205">
        <f>SUM(AR5:AR15)</f>
        <v>14.899999999999999</v>
      </c>
      <c r="AS16" s="1205">
        <f>SUM(AS5:AS15)</f>
        <v>3.8730000000000002</v>
      </c>
      <c r="AT16" s="1205">
        <f t="shared" ref="AT16" si="17">SUM(AT5:AT15)</f>
        <v>50.54999999999999</v>
      </c>
      <c r="AU16" s="1205">
        <f t="shared" si="15"/>
        <v>-5.6779999999999999</v>
      </c>
      <c r="AV16" s="1205">
        <f t="shared" si="15"/>
        <v>8.177999999999999</v>
      </c>
      <c r="AW16" s="1205">
        <f t="shared" si="15"/>
        <v>16.667999999999999</v>
      </c>
      <c r="AX16" s="1205">
        <f t="shared" si="15"/>
        <v>9.9</v>
      </c>
      <c r="AY16" s="1205">
        <f t="shared" si="15"/>
        <v>-25.860000000000003</v>
      </c>
      <c r="AZ16" s="1205">
        <f t="shared" si="15"/>
        <v>81.99</v>
      </c>
      <c r="BA16" s="1205">
        <v>0</v>
      </c>
      <c r="BB16" s="1205">
        <f t="shared" si="15"/>
        <v>24</v>
      </c>
      <c r="BC16" s="1205">
        <f t="shared" si="15"/>
        <v>7.25</v>
      </c>
      <c r="BD16" s="1205">
        <f t="shared" si="15"/>
        <v>49.8</v>
      </c>
      <c r="BE16" s="1205">
        <f t="shared" si="15"/>
        <v>9.02</v>
      </c>
      <c r="BF16" s="1205">
        <f t="shared" si="15"/>
        <v>6.2439999999999998</v>
      </c>
      <c r="BG16" s="1205">
        <f t="shared" si="15"/>
        <v>10.218</v>
      </c>
      <c r="BH16" s="1205">
        <f t="shared" si="15"/>
        <v>50.203999999999979</v>
      </c>
      <c r="BI16" s="1205">
        <f t="shared" si="15"/>
        <v>24.684000000000005</v>
      </c>
      <c r="BJ16" s="1197">
        <f>SUM(BJ5:BJ15)</f>
        <v>9.5399999999999991</v>
      </c>
    </row>
    <row r="17" spans="2:61" x14ac:dyDescent="0.35">
      <c r="R17" s="1214"/>
      <c r="S17" s="1214"/>
      <c r="W17" s="1214"/>
      <c r="X17" s="1214"/>
      <c r="AE17" s="1214"/>
      <c r="AF17" s="1214"/>
      <c r="AV17" s="1214"/>
      <c r="AW17" s="1214"/>
      <c r="AX17" s="1214"/>
      <c r="AY17" s="1214"/>
      <c r="AZ17" s="1214"/>
      <c r="BA17" s="1214"/>
      <c r="BC17" s="1214"/>
      <c r="BE17" s="1214"/>
      <c r="BF17" s="1214"/>
      <c r="BG17" s="1214"/>
    </row>
    <row r="18" spans="2:61" x14ac:dyDescent="0.35">
      <c r="R18" s="1214"/>
      <c r="S18" s="1214"/>
      <c r="W18" s="1214"/>
      <c r="X18" s="1214"/>
      <c r="AE18" s="1214"/>
      <c r="AF18" s="1214"/>
      <c r="AV18" s="1214"/>
      <c r="AW18" s="1214"/>
      <c r="AX18" s="1214"/>
      <c r="AY18" s="1214"/>
      <c r="AZ18" s="1214"/>
      <c r="BA18" s="1214"/>
      <c r="BC18" s="1214" t="s">
        <v>722</v>
      </c>
      <c r="BD18" s="1214" t="s">
        <v>722</v>
      </c>
      <c r="BE18" s="1214"/>
      <c r="BF18" s="1214" t="s">
        <v>722</v>
      </c>
      <c r="BG18" s="1214" t="s">
        <v>722</v>
      </c>
      <c r="BI18" s="1214" t="s">
        <v>722</v>
      </c>
    </row>
    <row r="19" spans="2:61" x14ac:dyDescent="0.35">
      <c r="B19" s="1217"/>
      <c r="C19" s="1217"/>
      <c r="D19" s="1217"/>
      <c r="E19" s="1217"/>
      <c r="F19" s="1217"/>
      <c r="H19" s="1217"/>
      <c r="I19" s="1217"/>
      <c r="J19" s="1217"/>
      <c r="K19" s="1217"/>
      <c r="M19" s="1217"/>
      <c r="N19" s="1217"/>
      <c r="R19" s="1214"/>
      <c r="S19" s="1214"/>
      <c r="W19" s="1214"/>
      <c r="X19" s="1214"/>
      <c r="AE19" s="1214"/>
      <c r="AF19" s="1214"/>
      <c r="AV19" s="1214"/>
      <c r="AW19" s="1214"/>
      <c r="AX19" s="1214"/>
      <c r="AY19" s="1214"/>
      <c r="AZ19" s="1214"/>
      <c r="BA19" s="1214"/>
      <c r="BC19" s="1214"/>
      <c r="BD19" t="s">
        <v>723</v>
      </c>
      <c r="BE19" s="1214"/>
      <c r="BF19" s="1214"/>
      <c r="BG19" s="1214"/>
    </row>
    <row r="20" spans="2:61" x14ac:dyDescent="0.35">
      <c r="R20" s="1214"/>
      <c r="S20" s="1214"/>
      <c r="W20" s="1214"/>
      <c r="X20" s="1214"/>
      <c r="AE20" s="1214"/>
      <c r="AF20" s="1214"/>
      <c r="AV20" s="1214"/>
      <c r="AW20" s="1214"/>
      <c r="AX20" s="1214"/>
      <c r="AY20" s="1214"/>
      <c r="AZ20" s="1214"/>
      <c r="BA20" s="1214"/>
      <c r="BC20" s="1214"/>
      <c r="BE20" s="1214"/>
      <c r="BF20" s="1214"/>
      <c r="BG20" s="1214"/>
    </row>
    <row r="21" spans="2:61" x14ac:dyDescent="0.35">
      <c r="R21" s="1214"/>
      <c r="S21" s="1214"/>
      <c r="W21" s="1214"/>
      <c r="X21" s="1214"/>
      <c r="AE21" s="1214"/>
      <c r="AF21" s="1214"/>
      <c r="AV21" s="1214"/>
      <c r="AW21" s="1214"/>
      <c r="AX21" s="1214"/>
      <c r="AY21" s="1214"/>
      <c r="AZ21" s="1214"/>
      <c r="BA21" s="1214"/>
      <c r="BC21" s="1214"/>
      <c r="BE21" s="1214"/>
      <c r="BF21" s="1214"/>
      <c r="BG21" s="1214"/>
    </row>
    <row r="22" spans="2:61" x14ac:dyDescent="0.35">
      <c r="B22" s="1217"/>
      <c r="R22" s="1214"/>
      <c r="S22" s="1214"/>
      <c r="W22" s="1214"/>
      <c r="X22" s="1214"/>
      <c r="AE22" s="1214"/>
      <c r="AF22" s="1214"/>
      <c r="AV22" s="1214"/>
      <c r="AW22" s="1214"/>
      <c r="AX22" s="1214"/>
      <c r="AY22" s="1214"/>
      <c r="AZ22" s="1214"/>
      <c r="BA22" s="1214"/>
      <c r="BC22" s="1214"/>
      <c r="BE22" s="1214"/>
      <c r="BF22" s="1214"/>
      <c r="BG22" s="1214"/>
    </row>
    <row r="23" spans="2:61" x14ac:dyDescent="0.35">
      <c r="B23" s="1217"/>
      <c r="R23" s="1214"/>
      <c r="S23" s="1214"/>
      <c r="W23" s="1214"/>
      <c r="X23" s="1214"/>
      <c r="AE23" s="1214"/>
      <c r="AF23" s="1214"/>
      <c r="AV23" s="1214"/>
      <c r="AW23" s="1214"/>
      <c r="AX23" s="1214"/>
      <c r="AY23" s="1214"/>
      <c r="AZ23" s="1214"/>
      <c r="BA23" s="1214"/>
      <c r="BC23" s="1214"/>
      <c r="BE23" s="1214"/>
      <c r="BF23" s="1214"/>
      <c r="BG23" s="1214"/>
    </row>
    <row r="24" spans="2:61" x14ac:dyDescent="0.35">
      <c r="B24" s="1217"/>
      <c r="R24" s="1214"/>
      <c r="S24" s="1214"/>
      <c r="W24" s="1214"/>
      <c r="X24" s="1214"/>
      <c r="AE24" s="1214"/>
      <c r="AF24" s="1214"/>
      <c r="AV24" s="1214"/>
      <c r="AW24" s="1214"/>
      <c r="AX24" s="1214"/>
      <c r="AY24" s="1214"/>
      <c r="AZ24" s="1214"/>
      <c r="BA24" s="1214"/>
      <c r="BC24" s="1214"/>
      <c r="BE24" s="1214"/>
      <c r="BF24" s="1214"/>
      <c r="BG24" s="1214"/>
    </row>
    <row r="25" spans="2:61" x14ac:dyDescent="0.35">
      <c r="B25" s="1217"/>
      <c r="R25" s="1214"/>
      <c r="S25" s="1214"/>
      <c r="W25" s="1214"/>
      <c r="X25" s="1214"/>
      <c r="AE25" s="1214"/>
      <c r="AF25" s="1214"/>
      <c r="AV25" s="1214"/>
      <c r="AW25" s="1214"/>
      <c r="AX25" s="1214"/>
      <c r="AY25" s="1214"/>
      <c r="AZ25" s="1214"/>
      <c r="BA25" s="1214"/>
      <c r="BC25" s="1214"/>
      <c r="BE25" s="1214"/>
      <c r="BF25" s="1214"/>
      <c r="BG25" s="1214"/>
    </row>
    <row r="26" spans="2:61" x14ac:dyDescent="0.35">
      <c r="B26" s="1217"/>
      <c r="R26" s="1214"/>
      <c r="S26" s="1214"/>
      <c r="W26" s="1214"/>
      <c r="X26" s="1214"/>
      <c r="AE26" s="1214"/>
      <c r="AF26" s="1214"/>
      <c r="AV26" s="1214"/>
      <c r="AW26" s="1214"/>
      <c r="AX26" s="1214"/>
      <c r="AY26" s="1214"/>
      <c r="AZ26" s="1214"/>
      <c r="BA26" s="1214"/>
      <c r="BC26" s="1214"/>
      <c r="BE26" s="1214"/>
      <c r="BF26" s="1214"/>
      <c r="BG26" s="1214"/>
    </row>
    <row r="27" spans="2:61" x14ac:dyDescent="0.35">
      <c r="B27" s="1217"/>
      <c r="R27" s="1214"/>
      <c r="S27" s="1214"/>
      <c r="W27" s="1214"/>
      <c r="X27" s="1214"/>
      <c r="AE27" s="1214"/>
      <c r="AF27" s="1214"/>
      <c r="AV27" s="1214"/>
      <c r="AW27" s="1214"/>
      <c r="AX27" s="1214"/>
      <c r="AY27" s="1214"/>
      <c r="AZ27" s="1214"/>
      <c r="BA27" s="1214"/>
      <c r="BC27" s="1214"/>
      <c r="BE27" s="1214"/>
      <c r="BF27" s="1214"/>
      <c r="BG27" s="1214"/>
    </row>
    <row r="28" spans="2:61" x14ac:dyDescent="0.35">
      <c r="B28" s="1217"/>
      <c r="R28" s="1214"/>
      <c r="S28" s="1214"/>
      <c r="W28" s="1214"/>
      <c r="X28" s="1214"/>
      <c r="AE28" s="1214"/>
      <c r="AF28" s="1214"/>
      <c r="AV28" s="1214"/>
      <c r="AW28" s="1214"/>
      <c r="AX28" s="1214"/>
      <c r="AY28" s="1214"/>
      <c r="AZ28" s="1214"/>
      <c r="BA28" s="1214"/>
      <c r="BC28" s="1214"/>
      <c r="BE28" s="1214"/>
      <c r="BF28" s="1214"/>
      <c r="BG28" s="1214"/>
    </row>
    <row r="29" spans="2:61" x14ac:dyDescent="0.35">
      <c r="R29" s="1214"/>
      <c r="S29" s="1214"/>
      <c r="W29" s="1214"/>
      <c r="X29" s="1214"/>
      <c r="AE29" s="1214"/>
      <c r="AF29" s="1214"/>
      <c r="AV29" s="1214"/>
      <c r="AW29" s="1214"/>
      <c r="AX29" s="1214"/>
      <c r="AY29" s="1214"/>
      <c r="AZ29" s="1214"/>
      <c r="BA29" s="1214"/>
      <c r="BC29" s="1214"/>
      <c r="BE29" s="1214"/>
      <c r="BF29" s="1214"/>
      <c r="BG29" s="1214"/>
    </row>
    <row r="30" spans="2:61" x14ac:dyDescent="0.35">
      <c r="R30" s="1214"/>
      <c r="S30" s="1214"/>
      <c r="W30" s="1214"/>
      <c r="X30" s="1214"/>
      <c r="AE30" s="1214"/>
      <c r="AF30" s="1214"/>
      <c r="AV30" s="1214"/>
      <c r="AW30" s="1214"/>
      <c r="AX30" s="1214"/>
      <c r="AY30" s="1214"/>
      <c r="AZ30" s="1214"/>
      <c r="BA30" s="1214"/>
      <c r="BC30" s="1214"/>
      <c r="BE30" s="1214"/>
      <c r="BF30" s="1214"/>
      <c r="BG30" s="1214"/>
    </row>
    <row r="31" spans="2:61" x14ac:dyDescent="0.35">
      <c r="R31" s="1214"/>
      <c r="S31" s="1214"/>
      <c r="W31" s="1214"/>
      <c r="X31" s="1214"/>
      <c r="AE31" s="1214"/>
      <c r="AF31" s="1214"/>
      <c r="AV31" s="1214"/>
      <c r="AW31" s="1214"/>
      <c r="AX31" s="1214"/>
      <c r="AY31" s="1214"/>
      <c r="AZ31" s="1214"/>
      <c r="BA31" s="1214"/>
      <c r="BC31" s="1214"/>
      <c r="BE31" s="1214"/>
      <c r="BF31" s="1214"/>
      <c r="BG31" s="1214"/>
    </row>
    <row r="32" spans="2:61" x14ac:dyDescent="0.35">
      <c r="R32" s="1214"/>
      <c r="S32" s="1214"/>
      <c r="W32" s="1214"/>
      <c r="X32" s="1214"/>
      <c r="AE32" s="1214"/>
      <c r="AF32" s="1214"/>
      <c r="AV32" s="1214"/>
      <c r="AW32" s="1214"/>
      <c r="AX32" s="1214"/>
      <c r="AY32" s="1214"/>
      <c r="AZ32" s="1214"/>
      <c r="BA32" s="1214"/>
      <c r="BC32" s="1214"/>
      <c r="BE32" s="1214"/>
      <c r="BF32" s="1214"/>
      <c r="BG32" s="1214"/>
    </row>
    <row r="33" spans="18:59" x14ac:dyDescent="0.35">
      <c r="R33" s="1214"/>
      <c r="S33" s="1214"/>
      <c r="W33" s="1214"/>
      <c r="X33" s="1214"/>
      <c r="AE33" s="1214"/>
      <c r="AF33" s="1214"/>
      <c r="AV33" s="1214"/>
      <c r="AW33" s="1214"/>
      <c r="AX33" s="1214"/>
      <c r="AY33" s="1214"/>
      <c r="AZ33" s="1214"/>
      <c r="BA33" s="1214"/>
      <c r="BC33" s="1214"/>
      <c r="BE33" s="1214"/>
      <c r="BF33" s="1214"/>
      <c r="BG33" s="1214"/>
    </row>
    <row r="34" spans="18:59" x14ac:dyDescent="0.35">
      <c r="R34" s="1214"/>
      <c r="S34" s="1214"/>
      <c r="W34" s="1214"/>
      <c r="X34" s="1214"/>
      <c r="AE34" s="1214"/>
      <c r="AF34" s="1214"/>
      <c r="AV34" s="1214"/>
      <c r="AW34" s="1214"/>
      <c r="AX34" s="1214"/>
      <c r="AY34" s="1214"/>
      <c r="AZ34" s="1214"/>
      <c r="BA34" s="1214"/>
      <c r="BC34" s="1214"/>
      <c r="BE34" s="1214"/>
      <c r="BF34" s="1214"/>
      <c r="BG34" s="1214"/>
    </row>
    <row r="35" spans="18:59" x14ac:dyDescent="0.35">
      <c r="R35" s="1214"/>
      <c r="S35" s="1214"/>
      <c r="W35" s="1214"/>
      <c r="X35" s="1214"/>
      <c r="AE35" s="1214"/>
      <c r="AF35" s="1214"/>
      <c r="AV35" s="1214"/>
      <c r="AW35" s="1214"/>
      <c r="AX35" s="1214"/>
      <c r="AY35" s="1214"/>
      <c r="AZ35" s="1214"/>
      <c r="BA35" s="1214"/>
      <c r="BC35" s="1214"/>
      <c r="BE35" s="1214"/>
      <c r="BF35" s="1214"/>
      <c r="BG35" s="1214"/>
    </row>
    <row r="36" spans="18:59" x14ac:dyDescent="0.35">
      <c r="R36" s="1214"/>
      <c r="S36" s="1214"/>
      <c r="W36" s="1214"/>
      <c r="X36" s="1214"/>
      <c r="AE36" s="1214"/>
      <c r="AF36" s="1214"/>
      <c r="AV36" s="1214"/>
      <c r="AW36" s="1214"/>
      <c r="AX36" s="1214"/>
      <c r="AY36" s="1214"/>
      <c r="AZ36" s="1214"/>
      <c r="BA36" s="1214"/>
      <c r="BC36" s="1214"/>
      <c r="BE36" s="1214"/>
      <c r="BF36" s="1214"/>
      <c r="BG36" s="1214"/>
    </row>
    <row r="37" spans="18:59" x14ac:dyDescent="0.35">
      <c r="R37" s="1214"/>
      <c r="S37" s="1214"/>
      <c r="W37" s="1214"/>
      <c r="X37" s="1214"/>
      <c r="AE37" s="1214"/>
      <c r="AF37" s="1214"/>
      <c r="AV37" s="1214"/>
      <c r="AW37" s="1214"/>
      <c r="AX37" s="1214"/>
      <c r="AY37" s="1214"/>
      <c r="AZ37" s="1214"/>
      <c r="BA37" s="1214"/>
      <c r="BC37" s="1214"/>
      <c r="BE37" s="1214"/>
      <c r="BF37" s="1214"/>
      <c r="BG37" s="1214"/>
    </row>
    <row r="38" spans="18:59" x14ac:dyDescent="0.35">
      <c r="R38" s="1214"/>
      <c r="S38" s="1214"/>
      <c r="W38" s="1214"/>
      <c r="X38" s="1214"/>
      <c r="AE38" s="1214"/>
      <c r="AF38" s="1214"/>
      <c r="AV38" s="1214"/>
      <c r="AW38" s="1214"/>
      <c r="AX38" s="1214"/>
      <c r="AY38" s="1214"/>
      <c r="AZ38" s="1214"/>
      <c r="BA38" s="1214"/>
      <c r="BC38" s="1214"/>
      <c r="BE38" s="1214"/>
      <c r="BF38" s="1214"/>
      <c r="BG38" s="1214"/>
    </row>
    <row r="39" spans="18:59" x14ac:dyDescent="0.35">
      <c r="R39" s="1214"/>
      <c r="S39" s="1214"/>
      <c r="W39" s="1214"/>
      <c r="X39" s="1214"/>
      <c r="AE39" s="1214"/>
      <c r="AF39" s="1214"/>
      <c r="AV39" s="1214"/>
      <c r="AW39" s="1214"/>
      <c r="AX39" s="1214"/>
      <c r="AY39" s="1214"/>
      <c r="AZ39" s="1214"/>
      <c r="BA39" s="1214"/>
      <c r="BC39" s="1214"/>
      <c r="BE39" s="1214"/>
      <c r="BF39" s="1214"/>
      <c r="BG39" s="1214"/>
    </row>
    <row r="40" spans="18:59" x14ac:dyDescent="0.35">
      <c r="R40" s="1214"/>
      <c r="S40" s="1214"/>
      <c r="W40" s="1214"/>
      <c r="X40" s="1214"/>
      <c r="AE40" s="1214"/>
      <c r="AF40" s="1214"/>
      <c r="AV40" s="1214"/>
      <c r="AW40" s="1214"/>
      <c r="AX40" s="1214"/>
      <c r="AY40" s="1214"/>
      <c r="AZ40" s="1214"/>
      <c r="BA40" s="1214"/>
      <c r="BC40" s="1214"/>
      <c r="BE40" s="1214"/>
      <c r="BF40" s="1214"/>
      <c r="BG40" s="1214"/>
    </row>
    <row r="41" spans="18:59" x14ac:dyDescent="0.35">
      <c r="R41" s="1214"/>
      <c r="S41" s="1214"/>
      <c r="W41" s="1214"/>
      <c r="X41" s="1214"/>
      <c r="AE41" s="1214"/>
      <c r="AF41" s="1214"/>
      <c r="AV41" s="1214"/>
      <c r="AW41" s="1214"/>
      <c r="AX41" s="1214"/>
      <c r="AY41" s="1214"/>
      <c r="AZ41" s="1214"/>
      <c r="BA41" s="1214"/>
      <c r="BC41" s="1214"/>
      <c r="BE41" s="1214"/>
      <c r="BF41" s="1214"/>
      <c r="BG41" s="1214"/>
    </row>
    <row r="42" spans="18:59" x14ac:dyDescent="0.35">
      <c r="R42" s="1214"/>
      <c r="S42" s="1214"/>
      <c r="W42" s="1214"/>
      <c r="X42" s="1214"/>
      <c r="AE42" s="1214"/>
      <c r="AF42" s="1214"/>
      <c r="AV42" s="1214"/>
      <c r="AW42" s="1214"/>
      <c r="AX42" s="1214"/>
      <c r="AY42" s="1214"/>
      <c r="AZ42" s="1214"/>
      <c r="BA42" s="1214"/>
      <c r="BC42" s="1214"/>
      <c r="BE42" s="1214"/>
      <c r="BF42" s="1214"/>
      <c r="BG42" s="1214"/>
    </row>
    <row r="43" spans="18:59" x14ac:dyDescent="0.35">
      <c r="R43" s="1214"/>
      <c r="S43" s="1214"/>
      <c r="W43" s="1214"/>
      <c r="X43" s="1214"/>
      <c r="AE43" s="1214"/>
      <c r="AF43" s="1214"/>
      <c r="AV43" s="1214"/>
      <c r="AW43" s="1214"/>
      <c r="AX43" s="1214"/>
      <c r="AY43" s="1214"/>
      <c r="AZ43" s="1214"/>
      <c r="BA43" s="1214"/>
      <c r="BC43" s="1214"/>
      <c r="BE43" s="1214"/>
      <c r="BF43" s="1214"/>
      <c r="BG43" s="1214"/>
    </row>
    <row r="44" spans="18:59" x14ac:dyDescent="0.35">
      <c r="R44" s="1214"/>
      <c r="S44" s="1214"/>
      <c r="W44" s="1214"/>
      <c r="X44" s="1214"/>
      <c r="AE44" s="1214"/>
      <c r="AF44" s="1214"/>
      <c r="AV44" s="1214"/>
      <c r="AW44" s="1214"/>
      <c r="AX44" s="1214"/>
      <c r="AY44" s="1214"/>
      <c r="AZ44" s="1214"/>
      <c r="BA44" s="1214"/>
      <c r="BC44" s="1214"/>
      <c r="BE44" s="1214"/>
      <c r="BF44" s="1214"/>
      <c r="BG44" s="1214"/>
    </row>
    <row r="45" spans="18:59" x14ac:dyDescent="0.35">
      <c r="R45" s="1214"/>
      <c r="S45" s="1214"/>
      <c r="W45" s="1214"/>
      <c r="X45" s="1214"/>
      <c r="AE45" s="1214"/>
      <c r="AF45" s="1214"/>
      <c r="AV45" s="1214"/>
      <c r="AW45" s="1214"/>
      <c r="AX45" s="1214"/>
      <c r="AY45" s="1214"/>
      <c r="AZ45" s="1214"/>
      <c r="BA45" s="1214"/>
      <c r="BC45" s="1214"/>
      <c r="BE45" s="1214"/>
      <c r="BF45" s="1214"/>
      <c r="BG45" s="1214"/>
    </row>
    <row r="46" spans="18:59" x14ac:dyDescent="0.35">
      <c r="R46" s="1214"/>
      <c r="S46" s="1214"/>
      <c r="W46" s="1214"/>
      <c r="X46" s="1214"/>
      <c r="AE46" s="1214"/>
      <c r="AF46" s="1214"/>
      <c r="AV46" s="1214"/>
      <c r="AW46" s="1214"/>
      <c r="AX46" s="1214"/>
      <c r="AY46" s="1214"/>
      <c r="AZ46" s="1214"/>
      <c r="BA46" s="1214"/>
      <c r="BC46" s="1214"/>
      <c r="BE46" s="1214"/>
      <c r="BF46" s="1214"/>
      <c r="BG46" s="1214"/>
    </row>
    <row r="47" spans="18:59" x14ac:dyDescent="0.35">
      <c r="R47" s="1214"/>
      <c r="S47" s="1214"/>
      <c r="W47" s="1214"/>
      <c r="X47" s="1214"/>
      <c r="AE47" s="1214"/>
      <c r="AF47" s="1214"/>
      <c r="AV47" s="1214"/>
      <c r="AW47" s="1214"/>
      <c r="AX47" s="1214"/>
      <c r="AY47" s="1214"/>
      <c r="AZ47" s="1214"/>
      <c r="BA47" s="1214"/>
      <c r="BC47" s="1214"/>
      <c r="BE47" s="1214"/>
      <c r="BF47" s="1214"/>
      <c r="BG47" s="1214"/>
    </row>
    <row r="48" spans="18:59" x14ac:dyDescent="0.35">
      <c r="R48" s="1214"/>
      <c r="S48" s="1214"/>
      <c r="W48" s="1214"/>
      <c r="X48" s="1214"/>
      <c r="AE48" s="1214"/>
      <c r="AF48" s="1214"/>
      <c r="AV48" s="1214"/>
      <c r="AW48" s="1214"/>
      <c r="AX48" s="1214"/>
      <c r="AY48" s="1214"/>
      <c r="AZ48" s="1214"/>
      <c r="BA48" s="1214"/>
      <c r="BC48" s="1214"/>
      <c r="BE48" s="1214"/>
      <c r="BF48" s="1214"/>
      <c r="BG48" s="1214"/>
    </row>
    <row r="49" spans="18:59" x14ac:dyDescent="0.35">
      <c r="R49" s="1214"/>
      <c r="S49" s="1214"/>
      <c r="W49" s="1214"/>
      <c r="X49" s="1214"/>
      <c r="AE49" s="1214"/>
      <c r="AF49" s="1214"/>
      <c r="AV49" s="1214"/>
      <c r="AW49" s="1214"/>
      <c r="AX49" s="1214"/>
      <c r="AY49" s="1214"/>
      <c r="AZ49" s="1214"/>
      <c r="BA49" s="1214"/>
      <c r="BC49" s="1214"/>
      <c r="BE49" s="1214"/>
      <c r="BF49" s="1214"/>
      <c r="BG49" s="1214"/>
    </row>
    <row r="50" spans="18:59" x14ac:dyDescent="0.35">
      <c r="R50" s="1214"/>
      <c r="S50" s="1214"/>
      <c r="W50" s="1214"/>
      <c r="X50" s="1214"/>
      <c r="AE50" s="1214"/>
      <c r="AF50" s="1214"/>
      <c r="AV50" s="1214"/>
      <c r="AW50" s="1214"/>
      <c r="AX50" s="1214"/>
      <c r="AY50" s="1214"/>
      <c r="AZ50" s="1214"/>
      <c r="BA50" s="1214"/>
      <c r="BC50" s="1214"/>
      <c r="BE50" s="1214"/>
      <c r="BF50" s="1214"/>
      <c r="BG50" s="1214"/>
    </row>
    <row r="51" spans="18:59" x14ac:dyDescent="0.35">
      <c r="R51" s="1214"/>
      <c r="S51" s="1214"/>
      <c r="W51" s="1214"/>
      <c r="X51" s="1214"/>
      <c r="AE51" s="1214"/>
      <c r="AF51" s="1214"/>
      <c r="AV51" s="1214"/>
      <c r="AW51" s="1214"/>
      <c r="AX51" s="1214"/>
      <c r="AY51" s="1214"/>
      <c r="AZ51" s="1214"/>
      <c r="BA51" s="1214"/>
      <c r="BC51" s="1214"/>
      <c r="BE51" s="1214"/>
      <c r="BF51" s="1214"/>
      <c r="BG51" s="1214"/>
    </row>
    <row r="52" spans="18:59" x14ac:dyDescent="0.35">
      <c r="R52" s="1214"/>
      <c r="S52" s="1214"/>
      <c r="W52" s="1214"/>
      <c r="X52" s="1214"/>
      <c r="AE52" s="1214"/>
      <c r="AF52" s="1214"/>
      <c r="AV52" s="1214"/>
      <c r="AW52" s="1214"/>
      <c r="AX52" s="1214"/>
      <c r="AY52" s="1214"/>
      <c r="AZ52" s="1214"/>
      <c r="BA52" s="1214"/>
      <c r="BC52" s="1214"/>
      <c r="BE52" s="1214"/>
      <c r="BF52" s="1214"/>
      <c r="BG52" s="1214"/>
    </row>
    <row r="53" spans="18:59" x14ac:dyDescent="0.35">
      <c r="R53" s="1214"/>
      <c r="S53" s="1214"/>
      <c r="W53" s="1214"/>
      <c r="X53" s="1214"/>
      <c r="AE53" s="1214"/>
      <c r="AF53" s="1214"/>
      <c r="AV53" s="1214"/>
      <c r="AW53" s="1214"/>
      <c r="AX53" s="1214"/>
      <c r="AY53" s="1214"/>
      <c r="AZ53" s="1214"/>
      <c r="BA53" s="1214"/>
      <c r="BC53" s="1214"/>
      <c r="BE53" s="1214"/>
      <c r="BF53" s="1214"/>
      <c r="BG53" s="1214"/>
    </row>
    <row r="54" spans="18:59" x14ac:dyDescent="0.35">
      <c r="R54" s="1214"/>
      <c r="S54" s="1214"/>
      <c r="W54" s="1214"/>
      <c r="X54" s="1214"/>
      <c r="AE54" s="1214"/>
      <c r="AF54" s="1214"/>
      <c r="AV54" s="1214"/>
      <c r="AW54" s="1214"/>
      <c r="AX54" s="1214"/>
      <c r="AY54" s="1214"/>
      <c r="AZ54" s="1214"/>
      <c r="BA54" s="1214"/>
      <c r="BC54" s="1214"/>
      <c r="BE54" s="1214"/>
      <c r="BF54" s="1214"/>
      <c r="BG54" s="1214"/>
    </row>
    <row r="55" spans="18:59" x14ac:dyDescent="0.35">
      <c r="R55" s="1214"/>
      <c r="S55" s="1214"/>
      <c r="W55" s="1214"/>
      <c r="X55" s="1214"/>
      <c r="AE55" s="1214"/>
      <c r="AF55" s="1214"/>
      <c r="AV55" s="1214"/>
      <c r="AW55" s="1214"/>
      <c r="AX55" s="1214"/>
      <c r="AY55" s="1214"/>
      <c r="AZ55" s="1214"/>
      <c r="BA55" s="1214"/>
      <c r="BC55" s="1214"/>
      <c r="BE55" s="1214"/>
      <c r="BF55" s="1214"/>
      <c r="BG55" s="1214"/>
    </row>
    <row r="56" spans="18:59" x14ac:dyDescent="0.35">
      <c r="R56" s="1214"/>
      <c r="S56" s="1214"/>
      <c r="W56" s="1214"/>
      <c r="X56" s="1214"/>
      <c r="AE56" s="1214"/>
      <c r="AF56" s="1214"/>
      <c r="AV56" s="1214"/>
      <c r="AW56" s="1214"/>
      <c r="AX56" s="1214"/>
      <c r="AY56" s="1214"/>
      <c r="AZ56" s="1214"/>
      <c r="BA56" s="1214"/>
      <c r="BC56" s="1214"/>
      <c r="BE56" s="1214"/>
      <c r="BF56" s="1214"/>
      <c r="BG56" s="1214"/>
    </row>
    <row r="57" spans="18:59" x14ac:dyDescent="0.35">
      <c r="R57" s="1214"/>
      <c r="S57" s="1214"/>
      <c r="W57" s="1214"/>
      <c r="X57" s="1214"/>
      <c r="AE57" s="1214"/>
      <c r="AF57" s="1214"/>
      <c r="AV57" s="1214"/>
      <c r="AW57" s="1214"/>
      <c r="AX57" s="1214"/>
      <c r="AY57" s="1214"/>
      <c r="AZ57" s="1214"/>
      <c r="BA57" s="1214"/>
      <c r="BC57" s="1214"/>
      <c r="BE57" s="1214"/>
      <c r="BF57" s="1214"/>
      <c r="BG57" s="1214"/>
    </row>
    <row r="58" spans="18:59" x14ac:dyDescent="0.35">
      <c r="R58" s="1214"/>
      <c r="S58" s="1214"/>
      <c r="W58" s="1214"/>
      <c r="X58" s="1214"/>
      <c r="AE58" s="1214"/>
      <c r="AF58" s="1214"/>
      <c r="AV58" s="1214"/>
      <c r="AW58" s="1214"/>
      <c r="AX58" s="1214"/>
      <c r="AY58" s="1214"/>
      <c r="AZ58" s="1214"/>
      <c r="BA58" s="1214"/>
      <c r="BC58" s="1214"/>
      <c r="BE58" s="1214"/>
      <c r="BF58" s="1214"/>
      <c r="BG58" s="1214"/>
    </row>
    <row r="59" spans="18:59" x14ac:dyDescent="0.35">
      <c r="R59" s="1214"/>
      <c r="S59" s="1214"/>
      <c r="W59" s="1214"/>
      <c r="X59" s="1214"/>
      <c r="AE59" s="1214"/>
      <c r="AF59" s="1214"/>
      <c r="AV59" s="1214"/>
      <c r="AW59" s="1214"/>
      <c r="AX59" s="1214"/>
      <c r="AY59" s="1214"/>
      <c r="AZ59" s="1214"/>
      <c r="BA59" s="1214"/>
      <c r="BC59" s="1214"/>
      <c r="BE59" s="1214"/>
      <c r="BF59" s="1214"/>
      <c r="BG59" s="1214"/>
    </row>
    <row r="60" spans="18:59" x14ac:dyDescent="0.35">
      <c r="R60" s="1214"/>
      <c r="S60" s="1214"/>
      <c r="W60" s="1214"/>
      <c r="X60" s="1214"/>
      <c r="AE60" s="1214"/>
      <c r="AF60" s="1214"/>
      <c r="AV60" s="1214"/>
      <c r="AW60" s="1214"/>
      <c r="AX60" s="1214"/>
      <c r="AY60" s="1214"/>
      <c r="AZ60" s="1214"/>
      <c r="BA60" s="1214"/>
      <c r="BC60" s="1214"/>
      <c r="BE60" s="1214"/>
      <c r="BF60" s="1214"/>
      <c r="BG60" s="1214"/>
    </row>
    <row r="61" spans="18:59" x14ac:dyDescent="0.35">
      <c r="R61" s="1214"/>
      <c r="S61" s="1214"/>
      <c r="W61" s="1214"/>
      <c r="X61" s="1214"/>
      <c r="AE61" s="1214"/>
      <c r="AF61" s="1214"/>
      <c r="AV61" s="1214"/>
      <c r="AW61" s="1214"/>
      <c r="AX61" s="1214"/>
      <c r="AY61" s="1214"/>
      <c r="AZ61" s="1214"/>
      <c r="BA61" s="1214"/>
      <c r="BC61" s="1214"/>
      <c r="BE61" s="1214"/>
      <c r="BF61" s="1214"/>
      <c r="BG61" s="1214"/>
    </row>
    <row r="62" spans="18:59" x14ac:dyDescent="0.35">
      <c r="R62" s="1214"/>
      <c r="S62" s="1214"/>
      <c r="W62" s="1214"/>
      <c r="X62" s="1214"/>
      <c r="AE62" s="1214"/>
      <c r="AF62" s="1214"/>
      <c r="AV62" s="1214"/>
      <c r="AW62" s="1214"/>
      <c r="AX62" s="1214"/>
      <c r="AY62" s="1214"/>
      <c r="AZ62" s="1214"/>
      <c r="BA62" s="1214"/>
      <c r="BC62" s="1214"/>
      <c r="BE62" s="1214"/>
      <c r="BF62" s="1214"/>
      <c r="BG62" s="1214"/>
    </row>
    <row r="63" spans="18:59" x14ac:dyDescent="0.35">
      <c r="R63" s="1214"/>
      <c r="S63" s="1214"/>
      <c r="W63" s="1214"/>
      <c r="X63" s="1214"/>
      <c r="AE63" s="1214"/>
      <c r="AF63" s="1214"/>
      <c r="AV63" s="1214"/>
      <c r="AW63" s="1214"/>
      <c r="AX63" s="1214"/>
      <c r="AY63" s="1214"/>
      <c r="AZ63" s="1214"/>
      <c r="BA63" s="1214"/>
      <c r="BC63" s="1214"/>
      <c r="BE63" s="1214"/>
      <c r="BF63" s="1214"/>
      <c r="BG63" s="1214"/>
    </row>
    <row r="64" spans="18:59" x14ac:dyDescent="0.35">
      <c r="R64" s="1214"/>
      <c r="S64" s="1214"/>
      <c r="W64" s="1214"/>
      <c r="X64" s="1214"/>
      <c r="AE64" s="1214"/>
      <c r="AF64" s="1214"/>
      <c r="AV64" s="1214"/>
      <c r="AW64" s="1214"/>
      <c r="AX64" s="1214"/>
      <c r="AY64" s="1214"/>
      <c r="AZ64" s="1214"/>
      <c r="BA64" s="1214"/>
      <c r="BC64" s="1214"/>
      <c r="BE64" s="1214"/>
      <c r="BF64" s="1214"/>
      <c r="BG64" s="1214"/>
    </row>
    <row r="65" spans="18:59" x14ac:dyDescent="0.35">
      <c r="R65" s="1214"/>
      <c r="S65" s="1214"/>
      <c r="W65" s="1214"/>
      <c r="X65" s="1214"/>
      <c r="AE65" s="1214"/>
      <c r="AF65" s="1214"/>
      <c r="AV65" s="1214"/>
      <c r="AW65" s="1214"/>
      <c r="AX65" s="1214"/>
      <c r="AY65" s="1214"/>
      <c r="AZ65" s="1214"/>
      <c r="BA65" s="1214"/>
      <c r="BC65" s="1214"/>
      <c r="BE65" s="1214"/>
      <c r="BF65" s="1214"/>
      <c r="BG65" s="1214"/>
    </row>
    <row r="66" spans="18:59" x14ac:dyDescent="0.35">
      <c r="R66" s="1214"/>
      <c r="S66" s="1214"/>
      <c r="W66" s="1214"/>
      <c r="X66" s="1214"/>
      <c r="AE66" s="1214"/>
      <c r="AF66" s="1214"/>
      <c r="AV66" s="1214"/>
      <c r="AW66" s="1214"/>
      <c r="AX66" s="1214"/>
      <c r="AY66" s="1214"/>
      <c r="AZ66" s="1214"/>
      <c r="BA66" s="1214"/>
      <c r="BC66" s="1214"/>
      <c r="BE66" s="1214"/>
      <c r="BF66" s="1214"/>
      <c r="BG66" s="1214"/>
    </row>
    <row r="67" spans="18:59" x14ac:dyDescent="0.35">
      <c r="R67" s="1214"/>
      <c r="S67" s="1214"/>
      <c r="W67" s="1214"/>
      <c r="X67" s="1214"/>
      <c r="AE67" s="1214"/>
      <c r="AF67" s="1214"/>
      <c r="AV67" s="1214"/>
      <c r="AW67" s="1214"/>
      <c r="AX67" s="1214"/>
      <c r="AY67" s="1214"/>
      <c r="AZ67" s="1214"/>
      <c r="BA67" s="1214"/>
      <c r="BC67" s="1214"/>
      <c r="BE67" s="1214"/>
      <c r="BF67" s="1214"/>
      <c r="BG67" s="1214"/>
    </row>
    <row r="68" spans="18:59" x14ac:dyDescent="0.35">
      <c r="R68" s="1214"/>
      <c r="S68" s="1214"/>
      <c r="W68" s="1214"/>
      <c r="X68" s="1214"/>
      <c r="AE68" s="1214"/>
      <c r="AF68" s="1214"/>
      <c r="AV68" s="1214"/>
      <c r="AW68" s="1214"/>
      <c r="AX68" s="1214"/>
      <c r="AY68" s="1214"/>
      <c r="AZ68" s="1214"/>
      <c r="BA68" s="1214"/>
      <c r="BC68" s="1214"/>
      <c r="BE68" s="1214"/>
      <c r="BF68" s="1214"/>
      <c r="BG68" s="1214"/>
    </row>
    <row r="69" spans="18:59" x14ac:dyDescent="0.35">
      <c r="R69" s="1214"/>
      <c r="S69" s="1214"/>
      <c r="W69" s="1214"/>
      <c r="X69" s="1214"/>
      <c r="AE69" s="1214"/>
      <c r="AF69" s="1214"/>
      <c r="AV69" s="1214"/>
      <c r="AW69" s="1214"/>
      <c r="AX69" s="1214"/>
      <c r="AY69" s="1214"/>
      <c r="AZ69" s="1214"/>
      <c r="BA69" s="1214"/>
      <c r="BC69" s="1214"/>
      <c r="BE69" s="1214"/>
      <c r="BF69" s="1214"/>
      <c r="BG69" s="1214"/>
    </row>
    <row r="70" spans="18:59" x14ac:dyDescent="0.35">
      <c r="R70" s="1214"/>
      <c r="S70" s="1214"/>
      <c r="W70" s="1214"/>
      <c r="X70" s="1214"/>
      <c r="AE70" s="1214"/>
      <c r="AF70" s="1214"/>
      <c r="AV70" s="1214"/>
      <c r="AW70" s="1214"/>
      <c r="AX70" s="1214"/>
      <c r="AY70" s="1214"/>
      <c r="AZ70" s="1214"/>
      <c r="BA70" s="1214"/>
      <c r="BC70" s="1214"/>
      <c r="BE70" s="1214"/>
      <c r="BF70" s="1214"/>
      <c r="BG70" s="1214"/>
    </row>
    <row r="71" spans="18:59" x14ac:dyDescent="0.35">
      <c r="R71" s="1214"/>
      <c r="S71" s="1214"/>
      <c r="W71" s="1214"/>
      <c r="X71" s="1214"/>
      <c r="AE71" s="1214"/>
      <c r="AF71" s="1214"/>
      <c r="AV71" s="1214"/>
      <c r="AW71" s="1214"/>
      <c r="AX71" s="1214"/>
      <c r="AY71" s="1214"/>
      <c r="AZ71" s="1214"/>
      <c r="BA71" s="1214"/>
      <c r="BC71" s="1214"/>
      <c r="BE71" s="1214"/>
      <c r="BF71" s="1214"/>
      <c r="BG71" s="1214"/>
    </row>
    <row r="72" spans="18:59" x14ac:dyDescent="0.35">
      <c r="R72" s="1214"/>
      <c r="S72" s="1214"/>
      <c r="W72" s="1214"/>
      <c r="X72" s="1214"/>
      <c r="AE72" s="1214"/>
      <c r="AF72" s="1214"/>
      <c r="AV72" s="1214"/>
      <c r="AW72" s="1214"/>
      <c r="AX72" s="1214"/>
      <c r="AY72" s="1214"/>
      <c r="AZ72" s="1214"/>
      <c r="BA72" s="1214"/>
      <c r="BC72" s="1214"/>
      <c r="BE72" s="1214"/>
      <c r="BF72" s="1214"/>
      <c r="BG72" s="1214"/>
    </row>
    <row r="73" spans="18:59" x14ac:dyDescent="0.35">
      <c r="R73" s="1214"/>
      <c r="S73" s="1214"/>
      <c r="W73" s="1214"/>
      <c r="X73" s="1214"/>
      <c r="AE73" s="1214"/>
      <c r="AF73" s="1214"/>
      <c r="AV73" s="1214"/>
      <c r="AW73" s="1214"/>
      <c r="AX73" s="1214"/>
      <c r="AY73" s="1214"/>
      <c r="AZ73" s="1214"/>
      <c r="BA73" s="1214"/>
      <c r="BC73" s="1214"/>
      <c r="BE73" s="1214"/>
      <c r="BF73" s="1214"/>
      <c r="BG73" s="1214"/>
    </row>
    <row r="74" spans="18:59" x14ac:dyDescent="0.35">
      <c r="R74" s="1214"/>
      <c r="S74" s="1214"/>
      <c r="W74" s="1214"/>
      <c r="X74" s="1214"/>
      <c r="AE74" s="1214"/>
      <c r="AF74" s="1214"/>
      <c r="AV74" s="1214"/>
      <c r="AW74" s="1214"/>
      <c r="AX74" s="1214"/>
      <c r="AY74" s="1214"/>
      <c r="AZ74" s="1214"/>
      <c r="BA74" s="1214"/>
      <c r="BC74" s="1214"/>
      <c r="BE74" s="1214"/>
      <c r="BF74" s="1214"/>
      <c r="BG74" s="1214"/>
    </row>
    <row r="75" spans="18:59" x14ac:dyDescent="0.35">
      <c r="R75" s="1214"/>
      <c r="S75" s="1214"/>
      <c r="W75" s="1214"/>
      <c r="X75" s="1214"/>
      <c r="AE75" s="1214"/>
      <c r="AF75" s="1214"/>
      <c r="AV75" s="1214"/>
      <c r="AW75" s="1214"/>
      <c r="AX75" s="1214"/>
      <c r="AY75" s="1214"/>
      <c r="AZ75" s="1214"/>
      <c r="BA75" s="1214"/>
      <c r="BC75" s="1214"/>
      <c r="BE75" s="1214"/>
      <c r="BF75" s="1214"/>
      <c r="BG75" s="1214"/>
    </row>
    <row r="76" spans="18:59" x14ac:dyDescent="0.35">
      <c r="R76" s="1214"/>
      <c r="S76" s="1214"/>
      <c r="W76" s="1214"/>
      <c r="X76" s="1214"/>
      <c r="AE76" s="1214"/>
      <c r="AF76" s="1214"/>
      <c r="AV76" s="1214"/>
      <c r="AW76" s="1214"/>
      <c r="AX76" s="1214"/>
      <c r="AY76" s="1214"/>
      <c r="AZ76" s="1214"/>
      <c r="BA76" s="1214"/>
      <c r="BC76" s="1214"/>
      <c r="BE76" s="1214"/>
      <c r="BF76" s="1214"/>
      <c r="BG76" s="1214"/>
    </row>
    <row r="77" spans="18:59" x14ac:dyDescent="0.35">
      <c r="R77" s="1214"/>
      <c r="S77" s="1214"/>
      <c r="W77" s="1214"/>
      <c r="X77" s="1214"/>
      <c r="AE77" s="1214"/>
      <c r="AF77" s="1214"/>
      <c r="AV77" s="1214"/>
      <c r="AW77" s="1214"/>
      <c r="AX77" s="1214"/>
      <c r="AY77" s="1214"/>
      <c r="AZ77" s="1214"/>
      <c r="BA77" s="1214"/>
      <c r="BC77" s="1214"/>
      <c r="BE77" s="1214"/>
      <c r="BF77" s="1214"/>
      <c r="BG77" s="1214"/>
    </row>
    <row r="78" spans="18:59" x14ac:dyDescent="0.35">
      <c r="R78" s="1214"/>
      <c r="S78" s="1214"/>
      <c r="W78" s="1214"/>
      <c r="X78" s="1214"/>
      <c r="AE78" s="1214"/>
      <c r="AF78" s="1214"/>
      <c r="AV78" s="1214"/>
      <c r="AW78" s="1214"/>
      <c r="AX78" s="1214"/>
      <c r="AY78" s="1214"/>
      <c r="AZ78" s="1214"/>
      <c r="BA78" s="1214"/>
      <c r="BC78" s="1214"/>
      <c r="BE78" s="1214"/>
      <c r="BF78" s="1214"/>
      <c r="BG78" s="1214"/>
    </row>
    <row r="79" spans="18:59" x14ac:dyDescent="0.35">
      <c r="R79" s="1214"/>
      <c r="S79" s="1214"/>
      <c r="W79" s="1214"/>
      <c r="X79" s="1214"/>
      <c r="AE79" s="1214"/>
      <c r="AF79" s="1214"/>
      <c r="AV79" s="1214"/>
      <c r="AW79" s="1214"/>
      <c r="AX79" s="1214"/>
      <c r="AY79" s="1214"/>
      <c r="AZ79" s="1214"/>
      <c r="BA79" s="1214"/>
      <c r="BC79" s="1214"/>
      <c r="BE79" s="1214"/>
      <c r="BF79" s="1214"/>
      <c r="BG79" s="1214"/>
    </row>
    <row r="80" spans="18:59" x14ac:dyDescent="0.35">
      <c r="R80" s="1214"/>
      <c r="S80" s="1214"/>
      <c r="W80" s="1214"/>
      <c r="X80" s="1214"/>
      <c r="AE80" s="1214"/>
      <c r="AF80" s="1214"/>
      <c r="AV80" s="1214"/>
      <c r="AW80" s="1214"/>
      <c r="AX80" s="1214"/>
      <c r="AY80" s="1214"/>
      <c r="AZ80" s="1214"/>
      <c r="BA80" s="1214"/>
      <c r="BC80" s="1214"/>
      <c r="BE80" s="1214"/>
      <c r="BF80" s="1214"/>
      <c r="BG80" s="1214"/>
    </row>
    <row r="81" spans="18:59" x14ac:dyDescent="0.35">
      <c r="R81" s="1214"/>
      <c r="S81" s="1214"/>
      <c r="W81" s="1214"/>
      <c r="X81" s="1214"/>
      <c r="AE81" s="1214"/>
      <c r="AF81" s="1214"/>
      <c r="AV81" s="1214"/>
      <c r="AW81" s="1214"/>
      <c r="AX81" s="1214"/>
      <c r="AY81" s="1214"/>
      <c r="AZ81" s="1214"/>
      <c r="BA81" s="1214"/>
      <c r="BC81" s="1214"/>
      <c r="BE81" s="1214"/>
      <c r="BF81" s="1214"/>
      <c r="BG81" s="1214"/>
    </row>
    <row r="82" spans="18:59" x14ac:dyDescent="0.35">
      <c r="R82" s="1214"/>
      <c r="S82" s="1214"/>
      <c r="W82" s="1214"/>
      <c r="X82" s="1214"/>
      <c r="AE82" s="1214"/>
      <c r="AF82" s="1214"/>
      <c r="AV82" s="1214"/>
      <c r="AW82" s="1214"/>
      <c r="AX82" s="1214"/>
      <c r="AY82" s="1214"/>
      <c r="AZ82" s="1214"/>
      <c r="BA82" s="1214"/>
      <c r="BC82" s="1214"/>
      <c r="BE82" s="1214"/>
      <c r="BF82" s="1214"/>
      <c r="BG82" s="1214"/>
    </row>
    <row r="83" spans="18:59" x14ac:dyDescent="0.35">
      <c r="R83" s="1214"/>
      <c r="S83" s="1214"/>
      <c r="W83" s="1214"/>
      <c r="X83" s="1214"/>
      <c r="AE83" s="1214"/>
      <c r="AF83" s="1214"/>
      <c r="AV83" s="1214"/>
      <c r="AW83" s="1214"/>
      <c r="AX83" s="1214"/>
      <c r="AY83" s="1214"/>
      <c r="AZ83" s="1214"/>
      <c r="BA83" s="1214"/>
      <c r="BC83" s="1214"/>
      <c r="BE83" s="1214"/>
      <c r="BF83" s="1214"/>
      <c r="BG83" s="1214"/>
    </row>
    <row r="84" spans="18:59" x14ac:dyDescent="0.35">
      <c r="R84" s="1214"/>
      <c r="S84" s="1214"/>
      <c r="W84" s="1214"/>
      <c r="X84" s="1214"/>
      <c r="AE84" s="1214"/>
      <c r="AF84" s="1214"/>
      <c r="AV84" s="1214"/>
      <c r="AW84" s="1214"/>
      <c r="AX84" s="1214"/>
      <c r="AY84" s="1214"/>
      <c r="AZ84" s="1214"/>
      <c r="BA84" s="1214"/>
      <c r="BC84" s="1214"/>
      <c r="BE84" s="1214"/>
      <c r="BF84" s="1214"/>
      <c r="BG84" s="1214"/>
    </row>
    <row r="85" spans="18:59" x14ac:dyDescent="0.35">
      <c r="R85" s="1214"/>
      <c r="S85" s="1214"/>
      <c r="W85" s="1214"/>
      <c r="X85" s="1214"/>
      <c r="AE85" s="1214"/>
      <c r="AF85" s="1214"/>
      <c r="AV85" s="1214"/>
      <c r="AW85" s="1214"/>
      <c r="AX85" s="1214"/>
      <c r="AY85" s="1214"/>
      <c r="AZ85" s="1214"/>
      <c r="BA85" s="1214"/>
      <c r="BC85" s="1214"/>
      <c r="BE85" s="1214"/>
      <c r="BF85" s="1214"/>
      <c r="BG85" s="1214"/>
    </row>
    <row r="86" spans="18:59" x14ac:dyDescent="0.35">
      <c r="R86" s="1214"/>
      <c r="S86" s="1214"/>
      <c r="W86" s="1214"/>
      <c r="X86" s="1214"/>
      <c r="AE86" s="1214"/>
      <c r="AF86" s="1214"/>
      <c r="AV86" s="1214"/>
      <c r="AW86" s="1214"/>
      <c r="AX86" s="1214"/>
      <c r="AY86" s="1214"/>
      <c r="AZ86" s="1214"/>
      <c r="BA86" s="1214"/>
      <c r="BC86" s="1214"/>
      <c r="BE86" s="1214"/>
      <c r="BF86" s="1214"/>
      <c r="BG86" s="1214"/>
    </row>
    <row r="87" spans="18:59" x14ac:dyDescent="0.35">
      <c r="R87" s="1214"/>
      <c r="S87" s="1214"/>
      <c r="W87" s="1214"/>
      <c r="X87" s="1214"/>
      <c r="AE87" s="1214"/>
      <c r="AF87" s="1214"/>
      <c r="AV87" s="1214"/>
      <c r="AW87" s="1214"/>
      <c r="AX87" s="1214"/>
      <c r="AY87" s="1214"/>
      <c r="AZ87" s="1214"/>
      <c r="BA87" s="1214"/>
      <c r="BC87" s="1214"/>
      <c r="BE87" s="1214"/>
      <c r="BF87" s="1214"/>
      <c r="BG87" s="1214"/>
    </row>
    <row r="88" spans="18:59" x14ac:dyDescent="0.35">
      <c r="R88" s="1214"/>
      <c r="S88" s="1214"/>
      <c r="W88" s="1214"/>
      <c r="X88" s="1214"/>
      <c r="AE88" s="1214"/>
      <c r="AF88" s="1214"/>
      <c r="AV88" s="1214"/>
      <c r="AW88" s="1214"/>
      <c r="AX88" s="1214"/>
      <c r="AY88" s="1214"/>
      <c r="AZ88" s="1214"/>
      <c r="BA88" s="1214"/>
      <c r="BC88" s="1214"/>
      <c r="BE88" s="1214"/>
      <c r="BF88" s="1214"/>
      <c r="BG88" s="1214"/>
    </row>
    <row r="89" spans="18:59" x14ac:dyDescent="0.35">
      <c r="R89" s="1214"/>
      <c r="S89" s="1214"/>
      <c r="W89" s="1214"/>
      <c r="X89" s="1214"/>
      <c r="AE89" s="1214"/>
      <c r="AF89" s="1214"/>
      <c r="AV89" s="1214"/>
      <c r="AW89" s="1214"/>
      <c r="AX89" s="1214"/>
      <c r="AY89" s="1214"/>
      <c r="AZ89" s="1214"/>
      <c r="BA89" s="1214"/>
      <c r="BC89" s="1214"/>
      <c r="BE89" s="1214"/>
      <c r="BF89" s="1214"/>
      <c r="BG89" s="1214"/>
    </row>
    <row r="90" spans="18:59" x14ac:dyDescent="0.35">
      <c r="R90" s="1214"/>
      <c r="S90" s="1214"/>
      <c r="W90" s="1214"/>
      <c r="X90" s="1214"/>
      <c r="AE90" s="1214"/>
      <c r="AF90" s="1214"/>
      <c r="AV90" s="1214"/>
      <c r="AW90" s="1214"/>
      <c r="AX90" s="1214"/>
      <c r="AY90" s="1214"/>
      <c r="AZ90" s="1214"/>
      <c r="BA90" s="1214"/>
      <c r="BC90" s="1214"/>
      <c r="BE90" s="1214"/>
      <c r="BF90" s="1214"/>
      <c r="BG90" s="1214"/>
    </row>
    <row r="91" spans="18:59" x14ac:dyDescent="0.35">
      <c r="R91" s="1214"/>
      <c r="S91" s="1214"/>
      <c r="W91" s="1214"/>
      <c r="X91" s="1214"/>
      <c r="AE91" s="1214"/>
      <c r="AF91" s="1214"/>
      <c r="AV91" s="1214"/>
      <c r="AW91" s="1214"/>
      <c r="AX91" s="1214"/>
      <c r="AY91" s="1214"/>
      <c r="AZ91" s="1214"/>
      <c r="BA91" s="1214"/>
      <c r="BC91" s="1214"/>
      <c r="BE91" s="1214"/>
      <c r="BF91" s="1214"/>
      <c r="BG91" s="1214"/>
    </row>
    <row r="92" spans="18:59" x14ac:dyDescent="0.35">
      <c r="R92" s="1214"/>
      <c r="S92" s="1214"/>
      <c r="W92" s="1214"/>
      <c r="X92" s="1214"/>
      <c r="AE92" s="1214"/>
      <c r="AF92" s="1214"/>
      <c r="AV92" s="1214"/>
      <c r="AW92" s="1214"/>
      <c r="AX92" s="1214"/>
      <c r="AY92" s="1214"/>
      <c r="AZ92" s="1214"/>
      <c r="BA92" s="1214"/>
      <c r="BC92" s="1214"/>
      <c r="BE92" s="1214"/>
      <c r="BF92" s="1214"/>
      <c r="BG92" s="1214"/>
    </row>
    <row r="93" spans="18:59" x14ac:dyDescent="0.35">
      <c r="R93" s="1214"/>
      <c r="S93" s="1214"/>
      <c r="W93" s="1214"/>
      <c r="X93" s="1214"/>
      <c r="AE93" s="1214"/>
      <c r="AF93" s="1214"/>
      <c r="AV93" s="1214"/>
      <c r="AW93" s="1214"/>
      <c r="AX93" s="1214"/>
      <c r="AY93" s="1214"/>
      <c r="AZ93" s="1214"/>
      <c r="BA93" s="1214"/>
      <c r="BC93" s="1214"/>
      <c r="BE93" s="1214"/>
      <c r="BF93" s="1214"/>
      <c r="BG93" s="1214"/>
    </row>
    <row r="94" spans="18:59" x14ac:dyDescent="0.35">
      <c r="R94" s="1214"/>
      <c r="S94" s="1214"/>
      <c r="W94" s="1214"/>
      <c r="X94" s="1214"/>
      <c r="AE94" s="1214"/>
      <c r="AF94" s="1214"/>
      <c r="AV94" s="1214"/>
      <c r="AW94" s="1214"/>
      <c r="AX94" s="1214"/>
      <c r="AY94" s="1214"/>
      <c r="AZ94" s="1214"/>
      <c r="BA94" s="1214"/>
      <c r="BC94" s="1214"/>
      <c r="BE94" s="1214"/>
      <c r="BF94" s="1214"/>
      <c r="BG94" s="1214"/>
    </row>
    <row r="95" spans="18:59" x14ac:dyDescent="0.35">
      <c r="R95" s="1214"/>
      <c r="S95" s="1214"/>
      <c r="W95" s="1214"/>
      <c r="X95" s="1214"/>
      <c r="AE95" s="1214"/>
      <c r="AF95" s="1214"/>
      <c r="AV95" s="1214"/>
      <c r="AW95" s="1214"/>
      <c r="AX95" s="1214"/>
      <c r="AY95" s="1214"/>
      <c r="AZ95" s="1214"/>
      <c r="BA95" s="1214"/>
      <c r="BC95" s="1214"/>
      <c r="BE95" s="1214"/>
      <c r="BF95" s="1214"/>
      <c r="BG95" s="1214"/>
    </row>
    <row r="96" spans="18:59" x14ac:dyDescent="0.35">
      <c r="R96" s="1214"/>
      <c r="S96" s="1214"/>
      <c r="W96" s="1214"/>
      <c r="X96" s="1214"/>
      <c r="AE96" s="1214"/>
      <c r="AF96" s="1214"/>
      <c r="AV96" s="1214"/>
      <c r="AW96" s="1214"/>
      <c r="AX96" s="1214"/>
      <c r="AY96" s="1214"/>
      <c r="AZ96" s="1214"/>
      <c r="BA96" s="1214"/>
      <c r="BC96" s="1214"/>
      <c r="BE96" s="1214"/>
      <c r="BF96" s="1214"/>
      <c r="BG96" s="1214"/>
    </row>
    <row r="97" spans="18:59" x14ac:dyDescent="0.35">
      <c r="R97" s="1214"/>
      <c r="S97" s="1214"/>
      <c r="W97" s="1214"/>
      <c r="X97" s="1214"/>
      <c r="AE97" s="1214"/>
      <c r="AF97" s="1214"/>
      <c r="AV97" s="1214"/>
      <c r="AW97" s="1214"/>
      <c r="AX97" s="1214"/>
      <c r="AY97" s="1214"/>
      <c r="AZ97" s="1214"/>
      <c r="BA97" s="1214"/>
      <c r="BC97" s="1214"/>
      <c r="BE97" s="1214"/>
      <c r="BF97" s="1214"/>
      <c r="BG97" s="1214"/>
    </row>
    <row r="98" spans="18:59" x14ac:dyDescent="0.35">
      <c r="R98" s="1214"/>
      <c r="S98" s="1214"/>
      <c r="W98" s="1214"/>
      <c r="X98" s="1214"/>
      <c r="AE98" s="1214"/>
      <c r="AF98" s="1214"/>
      <c r="AV98" s="1214"/>
      <c r="AW98" s="1214"/>
      <c r="AX98" s="1214"/>
      <c r="AY98" s="1214"/>
      <c r="AZ98" s="1214"/>
      <c r="BA98" s="1214"/>
      <c r="BC98" s="1214"/>
      <c r="BE98" s="1214"/>
      <c r="BF98" s="1214"/>
      <c r="BG98" s="1214"/>
    </row>
    <row r="99" spans="18:59" x14ac:dyDescent="0.35">
      <c r="R99" s="1214"/>
      <c r="S99" s="1214"/>
      <c r="W99" s="1214"/>
      <c r="X99" s="1214"/>
      <c r="AE99" s="1214"/>
      <c r="AF99" s="1214"/>
      <c r="AV99" s="1214"/>
      <c r="AW99" s="1214"/>
      <c r="AX99" s="1214"/>
      <c r="AY99" s="1214"/>
      <c r="AZ99" s="1214"/>
      <c r="BA99" s="1214"/>
      <c r="BC99" s="1214"/>
      <c r="BE99" s="1214"/>
      <c r="BF99" s="1214"/>
      <c r="BG99" s="1214"/>
    </row>
    <row r="100" spans="18:59" x14ac:dyDescent="0.35">
      <c r="R100" s="1214"/>
      <c r="S100" s="1214"/>
      <c r="W100" s="1214"/>
      <c r="X100" s="1214"/>
      <c r="AE100" s="1214"/>
      <c r="AF100" s="1214"/>
      <c r="AV100" s="1214"/>
      <c r="AW100" s="1214"/>
      <c r="AX100" s="1214"/>
      <c r="AY100" s="1214"/>
      <c r="AZ100" s="1214"/>
      <c r="BA100" s="1214"/>
      <c r="BC100" s="1214"/>
      <c r="BE100" s="1214"/>
      <c r="BF100" s="1214"/>
      <c r="BG100" s="1214"/>
    </row>
    <row r="101" spans="18:59" x14ac:dyDescent="0.35">
      <c r="R101" s="1214"/>
      <c r="S101" s="1214"/>
      <c r="W101" s="1214"/>
      <c r="X101" s="1214"/>
      <c r="AE101" s="1214"/>
      <c r="AF101" s="1214"/>
      <c r="AV101" s="1214"/>
      <c r="AW101" s="1214"/>
      <c r="AX101" s="1214"/>
      <c r="AY101" s="1214"/>
      <c r="AZ101" s="1214"/>
      <c r="BA101" s="1214"/>
      <c r="BC101" s="1214"/>
      <c r="BE101" s="1214"/>
      <c r="BF101" s="1214"/>
      <c r="BG101" s="1214"/>
    </row>
    <row r="102" spans="18:59" x14ac:dyDescent="0.35">
      <c r="R102" s="1214"/>
      <c r="S102" s="1214"/>
      <c r="W102" s="1214"/>
      <c r="X102" s="1214"/>
      <c r="AE102" s="1214"/>
      <c r="AF102" s="1214"/>
      <c r="AV102" s="1214"/>
      <c r="AW102" s="1214"/>
      <c r="AX102" s="1214"/>
      <c r="AY102" s="1214"/>
      <c r="AZ102" s="1214"/>
      <c r="BA102" s="1214"/>
      <c r="BC102" s="1214"/>
      <c r="BE102" s="1214"/>
      <c r="BF102" s="1214"/>
      <c r="BG102" s="1214"/>
    </row>
    <row r="103" spans="18:59" x14ac:dyDescent="0.35">
      <c r="R103" s="1214"/>
      <c r="S103" s="1214"/>
      <c r="W103" s="1214"/>
      <c r="X103" s="1214"/>
      <c r="AE103" s="1214"/>
      <c r="AF103" s="1214"/>
      <c r="AV103" s="1214"/>
      <c r="AW103" s="1214"/>
      <c r="AX103" s="1214"/>
      <c r="AY103" s="1214"/>
      <c r="AZ103" s="1214"/>
      <c r="BA103" s="1214"/>
      <c r="BC103" s="1214"/>
      <c r="BE103" s="1214"/>
      <c r="BF103" s="1214"/>
      <c r="BG103" s="1214"/>
    </row>
    <row r="104" spans="18:59" x14ac:dyDescent="0.35">
      <c r="R104" s="1214"/>
      <c r="S104" s="1214"/>
      <c r="W104" s="1214"/>
      <c r="X104" s="1214"/>
      <c r="AE104" s="1214"/>
      <c r="AF104" s="1214"/>
      <c r="AV104" s="1214"/>
      <c r="AW104" s="1214"/>
      <c r="AX104" s="1214"/>
      <c r="AY104" s="1214"/>
      <c r="AZ104" s="1214"/>
      <c r="BA104" s="1214"/>
      <c r="BC104" s="1214"/>
      <c r="BE104" s="1214"/>
      <c r="BF104" s="1214"/>
      <c r="BG104" s="1214"/>
    </row>
    <row r="105" spans="18:59" x14ac:dyDescent="0.35">
      <c r="R105" s="1214"/>
      <c r="S105" s="1214"/>
      <c r="W105" s="1214"/>
      <c r="X105" s="1214"/>
      <c r="AE105" s="1214"/>
      <c r="AF105" s="1214"/>
      <c r="AV105" s="1214"/>
      <c r="AW105" s="1214"/>
      <c r="AX105" s="1214"/>
      <c r="AY105" s="1214"/>
      <c r="AZ105" s="1214"/>
      <c r="BA105" s="1214"/>
      <c r="BC105" s="1214"/>
      <c r="BE105" s="1214"/>
      <c r="BF105" s="1214"/>
      <c r="BG105" s="1214"/>
    </row>
    <row r="106" spans="18:59" x14ac:dyDescent="0.35">
      <c r="R106" s="1214"/>
      <c r="S106" s="1214"/>
      <c r="W106" s="1214"/>
      <c r="X106" s="1214"/>
      <c r="AE106" s="1214"/>
      <c r="AF106" s="1214"/>
      <c r="AV106" s="1214"/>
      <c r="AW106" s="1214"/>
      <c r="AX106" s="1214"/>
      <c r="AY106" s="1214"/>
      <c r="AZ106" s="1214"/>
      <c r="BA106" s="1214"/>
      <c r="BC106" s="1214"/>
      <c r="BE106" s="1214"/>
      <c r="BF106" s="1214"/>
      <c r="BG106" s="1214"/>
    </row>
    <row r="107" spans="18:59" x14ac:dyDescent="0.35">
      <c r="R107" s="1214"/>
      <c r="S107" s="1214"/>
      <c r="W107" s="1214"/>
      <c r="X107" s="1214"/>
      <c r="AE107" s="1214"/>
      <c r="AF107" s="1214"/>
      <c r="AV107" s="1214"/>
      <c r="AW107" s="1214"/>
      <c r="AX107" s="1214"/>
      <c r="AY107" s="1214"/>
      <c r="AZ107" s="1214"/>
      <c r="BA107" s="1214"/>
      <c r="BC107" s="1214"/>
      <c r="BE107" s="1214"/>
      <c r="BF107" s="1214"/>
      <c r="BG107" s="1214"/>
    </row>
    <row r="108" spans="18:59" x14ac:dyDescent="0.35">
      <c r="R108" s="1214"/>
      <c r="S108" s="1214"/>
      <c r="W108" s="1214"/>
      <c r="X108" s="1214"/>
      <c r="AE108" s="1214"/>
      <c r="AF108" s="1214"/>
      <c r="AV108" s="1214"/>
      <c r="AW108" s="1214"/>
      <c r="AX108" s="1214"/>
      <c r="AY108" s="1214"/>
      <c r="AZ108" s="1214"/>
      <c r="BA108" s="1214"/>
      <c r="BC108" s="1214"/>
      <c r="BE108" s="1214"/>
      <c r="BF108" s="1214"/>
      <c r="BG108" s="1214"/>
    </row>
    <row r="109" spans="18:59" x14ac:dyDescent="0.35">
      <c r="R109" s="1214"/>
      <c r="S109" s="1214"/>
      <c r="W109" s="1214"/>
      <c r="X109" s="1214"/>
      <c r="AE109" s="1214"/>
      <c r="AF109" s="1214"/>
      <c r="AV109" s="1214"/>
      <c r="AW109" s="1214"/>
      <c r="AX109" s="1214"/>
      <c r="AY109" s="1214"/>
      <c r="AZ109" s="1214"/>
      <c r="BA109" s="1214"/>
      <c r="BC109" s="1214"/>
      <c r="BE109" s="1214"/>
      <c r="BF109" s="1214"/>
      <c r="BG109" s="1214"/>
    </row>
    <row r="110" spans="18:59" x14ac:dyDescent="0.35">
      <c r="R110" s="1214"/>
      <c r="S110" s="1214"/>
      <c r="W110" s="1214"/>
      <c r="X110" s="1214"/>
      <c r="AE110" s="1214"/>
      <c r="AF110" s="1214"/>
      <c r="AV110" s="1214"/>
      <c r="AW110" s="1214"/>
      <c r="AX110" s="1214"/>
      <c r="AY110" s="1214"/>
      <c r="AZ110" s="1214"/>
      <c r="BA110" s="1214"/>
      <c r="BC110" s="1214"/>
      <c r="BE110" s="1214"/>
      <c r="BF110" s="1214"/>
      <c r="BG110" s="1214"/>
    </row>
    <row r="111" spans="18:59" x14ac:dyDescent="0.35">
      <c r="R111" s="1214"/>
      <c r="S111" s="1214"/>
      <c r="W111" s="1214"/>
      <c r="X111" s="1214"/>
      <c r="AE111" s="1214"/>
      <c r="AF111" s="1214"/>
      <c r="AV111" s="1214"/>
      <c r="AW111" s="1214"/>
      <c r="AX111" s="1214"/>
      <c r="AY111" s="1214"/>
      <c r="AZ111" s="1214"/>
      <c r="BA111" s="1214"/>
      <c r="BC111" s="1214"/>
      <c r="BE111" s="1214"/>
      <c r="BF111" s="1214"/>
      <c r="BG111" s="1214"/>
    </row>
    <row r="112" spans="18:59" x14ac:dyDescent="0.35">
      <c r="R112" s="1214"/>
      <c r="S112" s="1214"/>
      <c r="W112" s="1214"/>
      <c r="X112" s="1214"/>
      <c r="AE112" s="1214"/>
      <c r="AF112" s="1214"/>
      <c r="AV112" s="1214"/>
      <c r="AW112" s="1214"/>
      <c r="AX112" s="1214"/>
      <c r="AY112" s="1214"/>
      <c r="AZ112" s="1214"/>
      <c r="BA112" s="1214"/>
      <c r="BC112" s="1214"/>
      <c r="BE112" s="1214"/>
      <c r="BF112" s="1214"/>
      <c r="BG112" s="1214"/>
    </row>
    <row r="113" spans="18:59" x14ac:dyDescent="0.35">
      <c r="R113" s="1214"/>
      <c r="S113" s="1214"/>
      <c r="W113" s="1214"/>
      <c r="X113" s="1214"/>
      <c r="AE113" s="1214"/>
      <c r="AF113" s="1214"/>
      <c r="AV113" s="1214"/>
      <c r="AW113" s="1214"/>
      <c r="AX113" s="1214"/>
      <c r="AY113" s="1214"/>
      <c r="AZ113" s="1214"/>
      <c r="BA113" s="1214"/>
      <c r="BC113" s="1214"/>
      <c r="BE113" s="1214"/>
      <c r="BF113" s="1214"/>
      <c r="BG113" s="1214"/>
    </row>
    <row r="114" spans="18:59" x14ac:dyDescent="0.35">
      <c r="R114" s="1214"/>
      <c r="S114" s="1214"/>
      <c r="W114" s="1214"/>
      <c r="X114" s="1214"/>
      <c r="AE114" s="1214"/>
      <c r="AF114" s="1214"/>
      <c r="AV114" s="1214"/>
      <c r="AW114" s="1214"/>
      <c r="AX114" s="1214"/>
      <c r="AY114" s="1214"/>
      <c r="AZ114" s="1214"/>
      <c r="BA114" s="1214"/>
      <c r="BC114" s="1214"/>
      <c r="BE114" s="1214"/>
      <c r="BF114" s="1214"/>
      <c r="BG114" s="1214"/>
    </row>
    <row r="115" spans="18:59" x14ac:dyDescent="0.35">
      <c r="R115" s="1214"/>
      <c r="S115" s="1214"/>
      <c r="W115" s="1214"/>
      <c r="X115" s="1214"/>
      <c r="AE115" s="1214"/>
      <c r="AF115" s="1214"/>
      <c r="AV115" s="1214"/>
      <c r="AW115" s="1214"/>
      <c r="AX115" s="1214"/>
      <c r="AY115" s="1214"/>
      <c r="AZ115" s="1214"/>
      <c r="BA115" s="1214"/>
      <c r="BC115" s="1214"/>
      <c r="BE115" s="1214"/>
      <c r="BF115" s="1214"/>
      <c r="BG115" s="1214"/>
    </row>
    <row r="116" spans="18:59" x14ac:dyDescent="0.35">
      <c r="R116" s="1214"/>
      <c r="S116" s="1214"/>
      <c r="W116" s="1214"/>
      <c r="X116" s="1214"/>
      <c r="AE116" s="1214"/>
      <c r="AF116" s="1214"/>
      <c r="AV116" s="1214"/>
      <c r="AW116" s="1214"/>
      <c r="AX116" s="1214"/>
      <c r="AY116" s="1214"/>
      <c r="AZ116" s="1214"/>
      <c r="BA116" s="1214"/>
      <c r="BC116" s="1214"/>
      <c r="BE116" s="1214"/>
      <c r="BF116" s="1214"/>
      <c r="BG116" s="1214"/>
    </row>
    <row r="117" spans="18:59" x14ac:dyDescent="0.35">
      <c r="R117" s="1214"/>
      <c r="S117" s="1214"/>
      <c r="W117" s="1214"/>
      <c r="X117" s="1214"/>
      <c r="AE117" s="1214"/>
      <c r="AF117" s="1214"/>
      <c r="AV117" s="1214"/>
      <c r="AW117" s="1214"/>
      <c r="AX117" s="1214"/>
      <c r="AY117" s="1214"/>
      <c r="AZ117" s="1214"/>
      <c r="BA117" s="1214"/>
      <c r="BC117" s="1214"/>
      <c r="BE117" s="1214"/>
      <c r="BF117" s="1214"/>
      <c r="BG117" s="1214"/>
    </row>
    <row r="118" spans="18:59" x14ac:dyDescent="0.35">
      <c r="R118" s="1214"/>
      <c r="S118" s="1214"/>
      <c r="W118" s="1214"/>
      <c r="X118" s="1214"/>
      <c r="AE118" s="1214"/>
      <c r="AF118" s="1214"/>
      <c r="AV118" s="1214"/>
      <c r="AW118" s="1214"/>
      <c r="AX118" s="1214"/>
      <c r="AY118" s="1214"/>
      <c r="AZ118" s="1214"/>
      <c r="BA118" s="1214"/>
      <c r="BC118" s="1214"/>
      <c r="BE118" s="1214"/>
      <c r="BF118" s="1214"/>
      <c r="BG118" s="1214"/>
    </row>
    <row r="119" spans="18:59" x14ac:dyDescent="0.35">
      <c r="R119" s="1214"/>
      <c r="S119" s="1214"/>
      <c r="W119" s="1214"/>
      <c r="X119" s="1214"/>
      <c r="AE119" s="1214"/>
      <c r="AF119" s="1214"/>
      <c r="AV119" s="1214"/>
      <c r="AW119" s="1214"/>
      <c r="AX119" s="1214"/>
      <c r="AY119" s="1214"/>
      <c r="AZ119" s="1214"/>
      <c r="BA119" s="1214"/>
      <c r="BC119" s="1214"/>
      <c r="BE119" s="1214"/>
      <c r="BF119" s="1214"/>
      <c r="BG119" s="1214"/>
    </row>
    <row r="120" spans="18:59" x14ac:dyDescent="0.35">
      <c r="R120" s="1214"/>
      <c r="S120" s="1214"/>
      <c r="W120" s="1214"/>
      <c r="X120" s="1214"/>
      <c r="AE120" s="1214"/>
      <c r="AF120" s="1214"/>
      <c r="AV120" s="1214"/>
      <c r="AW120" s="1214"/>
      <c r="AX120" s="1214"/>
      <c r="AY120" s="1214"/>
      <c r="AZ120" s="1214"/>
      <c r="BA120" s="1214"/>
      <c r="BC120" s="1214"/>
      <c r="BE120" s="1214"/>
      <c r="BF120" s="1214"/>
      <c r="BG120" s="1214"/>
    </row>
    <row r="121" spans="18:59" x14ac:dyDescent="0.35">
      <c r="R121" s="1214"/>
      <c r="S121" s="1214"/>
      <c r="W121" s="1214"/>
      <c r="X121" s="1214"/>
      <c r="AE121" s="1214"/>
      <c r="AF121" s="1214"/>
      <c r="AV121" s="1214"/>
      <c r="AW121" s="1214"/>
      <c r="AX121" s="1214"/>
      <c r="AY121" s="1214"/>
      <c r="AZ121" s="1214"/>
      <c r="BA121" s="1214"/>
      <c r="BC121" s="1214"/>
      <c r="BE121" s="1214"/>
      <c r="BF121" s="1214"/>
      <c r="BG121" s="1214"/>
    </row>
    <row r="122" spans="18:59" x14ac:dyDescent="0.35">
      <c r="R122" s="1214"/>
      <c r="S122" s="1214"/>
      <c r="W122" s="1214"/>
      <c r="X122" s="1214"/>
      <c r="AE122" s="1214"/>
      <c r="AF122" s="1214"/>
      <c r="AV122" s="1214"/>
      <c r="AW122" s="1214"/>
      <c r="AX122" s="1214"/>
      <c r="AY122" s="1214"/>
      <c r="AZ122" s="1214"/>
      <c r="BA122" s="1214"/>
      <c r="BC122" s="1214"/>
      <c r="BE122" s="1214"/>
      <c r="BF122" s="1214"/>
      <c r="BG122" s="1214"/>
    </row>
    <row r="123" spans="18:59" x14ac:dyDescent="0.35">
      <c r="R123" s="1214"/>
      <c r="S123" s="1214"/>
      <c r="W123" s="1214"/>
      <c r="X123" s="1214"/>
      <c r="AE123" s="1214"/>
      <c r="AF123" s="1214"/>
      <c r="AV123" s="1214"/>
      <c r="AW123" s="1214"/>
      <c r="AX123" s="1214"/>
      <c r="AY123" s="1214"/>
      <c r="AZ123" s="1214"/>
      <c r="BA123" s="1214"/>
      <c r="BC123" s="1214"/>
      <c r="BE123" s="1214"/>
      <c r="BF123" s="1214"/>
      <c r="BG123" s="1214"/>
    </row>
    <row r="124" spans="18:59" x14ac:dyDescent="0.35">
      <c r="R124" s="1214"/>
      <c r="S124" s="1214"/>
      <c r="W124" s="1214"/>
      <c r="X124" s="1214"/>
      <c r="AE124" s="1214"/>
      <c r="AF124" s="1214"/>
      <c r="AV124" s="1214"/>
      <c r="AW124" s="1214"/>
      <c r="AX124" s="1214"/>
      <c r="AY124" s="1214"/>
      <c r="AZ124" s="1214"/>
      <c r="BA124" s="1214"/>
      <c r="BC124" s="1214"/>
      <c r="BE124" s="1214"/>
      <c r="BF124" s="1214"/>
      <c r="BG124" s="1214"/>
    </row>
    <row r="125" spans="18:59" x14ac:dyDescent="0.35">
      <c r="R125" s="1214"/>
      <c r="S125" s="1214"/>
      <c r="W125" s="1214"/>
      <c r="X125" s="1214"/>
      <c r="AE125" s="1214"/>
      <c r="AF125" s="1214"/>
      <c r="AV125" s="1214"/>
      <c r="AW125" s="1214"/>
      <c r="AX125" s="1214"/>
      <c r="AY125" s="1214"/>
      <c r="AZ125" s="1214"/>
      <c r="BA125" s="1214"/>
      <c r="BC125" s="1214"/>
      <c r="BE125" s="1214"/>
      <c r="BF125" s="1214"/>
      <c r="BG125" s="1214"/>
    </row>
    <row r="126" spans="18:59" x14ac:dyDescent="0.35">
      <c r="R126" s="1214"/>
      <c r="S126" s="1214"/>
      <c r="W126" s="1214"/>
      <c r="X126" s="1214"/>
      <c r="AE126" s="1214"/>
      <c r="AF126" s="1214"/>
      <c r="AV126" s="1214"/>
      <c r="AW126" s="1214"/>
      <c r="AX126" s="1214"/>
      <c r="AY126" s="1214"/>
      <c r="AZ126" s="1214"/>
      <c r="BA126" s="1214"/>
      <c r="BC126" s="1214"/>
      <c r="BE126" s="1214"/>
      <c r="BF126" s="1214"/>
      <c r="BG126" s="1214"/>
    </row>
    <row r="127" spans="18:59" x14ac:dyDescent="0.35">
      <c r="R127" s="1214"/>
      <c r="S127" s="1214"/>
      <c r="W127" s="1214"/>
      <c r="X127" s="1214"/>
      <c r="AE127" s="1214"/>
      <c r="AF127" s="1214"/>
      <c r="AV127" s="1214"/>
      <c r="AW127" s="1214"/>
      <c r="AX127" s="1214"/>
      <c r="AY127" s="1214"/>
      <c r="AZ127" s="1214"/>
      <c r="BA127" s="1214"/>
      <c r="BC127" s="1214"/>
      <c r="BE127" s="1214"/>
      <c r="BF127" s="1214"/>
      <c r="BG127" s="1214"/>
    </row>
    <row r="128" spans="18:59" x14ac:dyDescent="0.35">
      <c r="R128" s="1214"/>
      <c r="S128" s="1214"/>
      <c r="W128" s="1214"/>
      <c r="X128" s="1214"/>
      <c r="AE128" s="1214"/>
      <c r="AF128" s="1214"/>
      <c r="AV128" s="1214"/>
      <c r="AW128" s="1214"/>
      <c r="AX128" s="1214"/>
      <c r="AY128" s="1214"/>
      <c r="AZ128" s="1214"/>
      <c r="BA128" s="1214"/>
      <c r="BC128" s="1214"/>
      <c r="BE128" s="1214"/>
      <c r="BF128" s="1214"/>
      <c r="BG128" s="1214"/>
    </row>
    <row r="129" spans="18:59" x14ac:dyDescent="0.35">
      <c r="R129" s="1214"/>
      <c r="S129" s="1214"/>
      <c r="W129" s="1214"/>
      <c r="X129" s="1214"/>
      <c r="AE129" s="1214"/>
      <c r="AF129" s="1214"/>
      <c r="AV129" s="1214"/>
      <c r="AW129" s="1214"/>
      <c r="AX129" s="1214"/>
      <c r="AY129" s="1214"/>
      <c r="AZ129" s="1214"/>
      <c r="BA129" s="1214"/>
      <c r="BC129" s="1214"/>
      <c r="BE129" s="1214"/>
      <c r="BF129" s="1214"/>
      <c r="BG129" s="1214"/>
    </row>
    <row r="130" spans="18:59" x14ac:dyDescent="0.35">
      <c r="R130" s="1214"/>
      <c r="S130" s="1214"/>
      <c r="W130" s="1214"/>
      <c r="X130" s="1214"/>
      <c r="AE130" s="1214"/>
      <c r="AF130" s="1214"/>
      <c r="AV130" s="1214"/>
      <c r="AW130" s="1214"/>
      <c r="AX130" s="1214"/>
      <c r="AY130" s="1214"/>
      <c r="AZ130" s="1214"/>
      <c r="BA130" s="1214"/>
      <c r="BC130" s="1214"/>
      <c r="BE130" s="1214"/>
      <c r="BF130" s="1214"/>
      <c r="BG130" s="1214"/>
    </row>
    <row r="131" spans="18:59" x14ac:dyDescent="0.35">
      <c r="R131" s="1214"/>
      <c r="S131" s="1214"/>
      <c r="W131" s="1214"/>
      <c r="X131" s="1214"/>
      <c r="AE131" s="1214"/>
      <c r="AF131" s="1214"/>
      <c r="AV131" s="1214"/>
      <c r="AW131" s="1214"/>
      <c r="AX131" s="1214"/>
      <c r="AY131" s="1214"/>
      <c r="AZ131" s="1214"/>
      <c r="BA131" s="1214"/>
      <c r="BC131" s="1214"/>
      <c r="BE131" s="1214"/>
      <c r="BF131" s="1214"/>
      <c r="BG131" s="1214"/>
    </row>
    <row r="132" spans="18:59" x14ac:dyDescent="0.35">
      <c r="R132" s="1214"/>
      <c r="S132" s="1214"/>
      <c r="W132" s="1214"/>
      <c r="X132" s="1214"/>
      <c r="AE132" s="1214"/>
      <c r="AF132" s="1214"/>
      <c r="AV132" s="1214"/>
      <c r="AW132" s="1214"/>
      <c r="AX132" s="1214"/>
      <c r="AY132" s="1214"/>
      <c r="AZ132" s="1214"/>
      <c r="BA132" s="1214"/>
      <c r="BC132" s="1214"/>
      <c r="BE132" s="1214"/>
      <c r="BF132" s="1214"/>
      <c r="BG132" s="1214"/>
    </row>
    <row r="133" spans="18:59" x14ac:dyDescent="0.35">
      <c r="R133" s="1214"/>
      <c r="S133" s="1214"/>
      <c r="W133" s="1214"/>
      <c r="X133" s="1214"/>
      <c r="AE133" s="1214"/>
      <c r="AF133" s="1214"/>
      <c r="AV133" s="1214"/>
      <c r="AW133" s="1214"/>
      <c r="AX133" s="1214"/>
      <c r="AY133" s="1214"/>
      <c r="AZ133" s="1214"/>
      <c r="BA133" s="1214"/>
      <c r="BC133" s="1214"/>
      <c r="BE133" s="1214"/>
      <c r="BF133" s="1214"/>
      <c r="BG133" s="1214"/>
    </row>
    <row r="134" spans="18:59" x14ac:dyDescent="0.35">
      <c r="R134" s="1214"/>
      <c r="S134" s="1214"/>
      <c r="W134" s="1214"/>
      <c r="X134" s="1214"/>
      <c r="AE134" s="1214"/>
      <c r="AF134" s="1214"/>
      <c r="AV134" s="1214"/>
      <c r="AW134" s="1214"/>
      <c r="AX134" s="1214"/>
      <c r="AY134" s="1214"/>
      <c r="AZ134" s="1214"/>
      <c r="BA134" s="1214"/>
      <c r="BC134" s="1214"/>
      <c r="BE134" s="1214"/>
      <c r="BF134" s="1214"/>
      <c r="BG134" s="1214"/>
    </row>
    <row r="135" spans="18:59" x14ac:dyDescent="0.35">
      <c r="R135" s="1214"/>
      <c r="S135" s="1214"/>
      <c r="W135" s="1214"/>
      <c r="X135" s="1214"/>
      <c r="AE135" s="1214"/>
      <c r="AF135" s="1214"/>
      <c r="AV135" s="1214"/>
      <c r="AW135" s="1214"/>
      <c r="AX135" s="1214"/>
      <c r="AY135" s="1214"/>
      <c r="AZ135" s="1214"/>
      <c r="BA135" s="1214"/>
      <c r="BC135" s="1214"/>
      <c r="BE135" s="1214"/>
      <c r="BF135" s="1214"/>
      <c r="BG135" s="1214"/>
    </row>
    <row r="136" spans="18:59" x14ac:dyDescent="0.35">
      <c r="R136" s="1214"/>
      <c r="S136" s="1214"/>
      <c r="W136" s="1214"/>
      <c r="X136" s="1214"/>
      <c r="AE136" s="1214"/>
      <c r="AF136" s="1214"/>
      <c r="AV136" s="1214"/>
      <c r="AW136" s="1214"/>
      <c r="AX136" s="1214"/>
      <c r="AY136" s="1214"/>
      <c r="AZ136" s="1214"/>
      <c r="BA136" s="1214"/>
      <c r="BC136" s="1214"/>
      <c r="BE136" s="1214"/>
      <c r="BF136" s="1214"/>
      <c r="BG136" s="1214"/>
    </row>
    <row r="137" spans="18:59" x14ac:dyDescent="0.35">
      <c r="R137" s="1214"/>
      <c r="S137" s="1214"/>
      <c r="W137" s="1214"/>
      <c r="X137" s="1214"/>
      <c r="AE137" s="1214"/>
      <c r="AF137" s="1214"/>
      <c r="AV137" s="1214"/>
      <c r="AW137" s="1214"/>
      <c r="AX137" s="1214"/>
      <c r="AY137" s="1214"/>
      <c r="AZ137" s="1214"/>
      <c r="BA137" s="1214"/>
      <c r="BC137" s="1214"/>
      <c r="BE137" s="1214"/>
      <c r="BF137" s="1214"/>
      <c r="BG137" s="1214"/>
    </row>
    <row r="138" spans="18:59" x14ac:dyDescent="0.35">
      <c r="R138" s="1214"/>
      <c r="S138" s="1214"/>
      <c r="W138" s="1214"/>
      <c r="X138" s="1214"/>
      <c r="AE138" s="1214"/>
      <c r="AF138" s="1214"/>
      <c r="AV138" s="1214"/>
      <c r="AW138" s="1214"/>
      <c r="AX138" s="1214"/>
      <c r="AY138" s="1214"/>
      <c r="AZ138" s="1214"/>
      <c r="BA138" s="1214"/>
      <c r="BC138" s="1214"/>
      <c r="BE138" s="1214"/>
      <c r="BF138" s="1214"/>
      <c r="BG138" s="1214"/>
    </row>
    <row r="139" spans="18:59" x14ac:dyDescent="0.35">
      <c r="R139" s="1214"/>
      <c r="S139" s="1214"/>
      <c r="W139" s="1214"/>
      <c r="X139" s="1214"/>
      <c r="AE139" s="1214"/>
      <c r="AF139" s="1214"/>
      <c r="AV139" s="1214"/>
      <c r="AW139" s="1214"/>
      <c r="AX139" s="1214"/>
      <c r="AY139" s="1214"/>
      <c r="AZ139" s="1214"/>
      <c r="BA139" s="1214"/>
      <c r="BC139" s="1214"/>
      <c r="BE139" s="1214"/>
      <c r="BF139" s="1214"/>
      <c r="BG139" s="1214"/>
    </row>
    <row r="140" spans="18:59" x14ac:dyDescent="0.35">
      <c r="R140" s="1214"/>
      <c r="S140" s="1214"/>
      <c r="W140" s="1214"/>
      <c r="X140" s="1214"/>
      <c r="AE140" s="1214"/>
      <c r="AF140" s="1214"/>
      <c r="AV140" s="1214"/>
      <c r="AW140" s="1214"/>
      <c r="AX140" s="1214"/>
      <c r="AY140" s="1214"/>
      <c r="AZ140" s="1214"/>
      <c r="BA140" s="1214"/>
      <c r="BC140" s="1214"/>
      <c r="BE140" s="1214"/>
      <c r="BF140" s="1214"/>
      <c r="BG140" s="1214"/>
    </row>
    <row r="141" spans="18:59" x14ac:dyDescent="0.35">
      <c r="R141" s="1214"/>
      <c r="S141" s="1214"/>
      <c r="W141" s="1214"/>
      <c r="X141" s="1214"/>
      <c r="AE141" s="1214"/>
      <c r="AF141" s="1214"/>
      <c r="AV141" s="1214"/>
      <c r="AW141" s="1214"/>
      <c r="AX141" s="1214"/>
      <c r="AY141" s="1214"/>
      <c r="AZ141" s="1214"/>
      <c r="BA141" s="1214"/>
      <c r="BC141" s="1214"/>
      <c r="BE141" s="1214"/>
      <c r="BF141" s="1214"/>
      <c r="BG141" s="1214"/>
    </row>
    <row r="142" spans="18:59" x14ac:dyDescent="0.35">
      <c r="R142" s="1214"/>
      <c r="S142" s="1214"/>
      <c r="W142" s="1214"/>
      <c r="X142" s="1214"/>
      <c r="AE142" s="1214"/>
      <c r="AF142" s="1214"/>
      <c r="AV142" s="1214"/>
      <c r="AW142" s="1214"/>
      <c r="AX142" s="1214"/>
      <c r="AY142" s="1214"/>
      <c r="AZ142" s="1214"/>
      <c r="BA142" s="1214"/>
      <c r="BC142" s="1214"/>
      <c r="BE142" s="1214"/>
      <c r="BF142" s="1214"/>
      <c r="BG142" s="1214"/>
    </row>
    <row r="143" spans="18:59" x14ac:dyDescent="0.35">
      <c r="R143" s="1214"/>
      <c r="S143" s="1214"/>
      <c r="W143" s="1214"/>
      <c r="X143" s="1214"/>
      <c r="AE143" s="1214"/>
      <c r="AF143" s="1214"/>
      <c r="AV143" s="1214"/>
      <c r="AW143" s="1214"/>
      <c r="AX143" s="1214"/>
      <c r="AY143" s="1214"/>
      <c r="AZ143" s="1214"/>
      <c r="BA143" s="1214"/>
      <c r="BC143" s="1214"/>
      <c r="BE143" s="1214"/>
      <c r="BF143" s="1214"/>
      <c r="BG143" s="1214"/>
    </row>
    <row r="144" spans="18:59" x14ac:dyDescent="0.35">
      <c r="R144" s="1214"/>
      <c r="S144" s="1214"/>
      <c r="W144" s="1214"/>
      <c r="X144" s="1214"/>
      <c r="AE144" s="1214"/>
      <c r="AF144" s="1214"/>
      <c r="AV144" s="1214"/>
      <c r="AW144" s="1214"/>
      <c r="AX144" s="1214"/>
      <c r="AY144" s="1214"/>
      <c r="AZ144" s="1214"/>
      <c r="BA144" s="1214"/>
      <c r="BC144" s="1214"/>
      <c r="BE144" s="1214"/>
      <c r="BF144" s="1214"/>
      <c r="BG144" s="1214"/>
    </row>
    <row r="145" spans="18:59" x14ac:dyDescent="0.35">
      <c r="R145" s="1214"/>
      <c r="S145" s="1214"/>
      <c r="W145" s="1214"/>
      <c r="X145" s="1214"/>
      <c r="AE145" s="1214"/>
      <c r="AF145" s="1214"/>
      <c r="AV145" s="1214"/>
      <c r="AW145" s="1214"/>
      <c r="AX145" s="1214"/>
      <c r="AY145" s="1214"/>
      <c r="AZ145" s="1214"/>
      <c r="BA145" s="1214"/>
      <c r="BC145" s="1214"/>
      <c r="BE145" s="1214"/>
      <c r="BF145" s="1214"/>
      <c r="BG145" s="1214"/>
    </row>
    <row r="146" spans="18:59" x14ac:dyDescent="0.35">
      <c r="R146" s="1214"/>
      <c r="S146" s="1214"/>
      <c r="W146" s="1214"/>
      <c r="X146" s="1214"/>
      <c r="AE146" s="1214"/>
      <c r="AF146" s="1214"/>
      <c r="AV146" s="1214"/>
      <c r="AW146" s="1214"/>
      <c r="AX146" s="1214"/>
      <c r="AY146" s="1214"/>
      <c r="AZ146" s="1214"/>
      <c r="BA146" s="1214"/>
      <c r="BC146" s="1214"/>
      <c r="BE146" s="1214"/>
      <c r="BF146" s="1214"/>
      <c r="BG146" s="1214"/>
    </row>
    <row r="147" spans="18:59" x14ac:dyDescent="0.35">
      <c r="R147" s="1214"/>
      <c r="S147" s="1214"/>
      <c r="W147" s="1214"/>
      <c r="X147" s="1214"/>
      <c r="AE147" s="1214"/>
      <c r="AF147" s="1214"/>
      <c r="AV147" s="1214"/>
      <c r="AW147" s="1214"/>
      <c r="AX147" s="1214"/>
      <c r="AY147" s="1214"/>
      <c r="AZ147" s="1214"/>
      <c r="BA147" s="1214"/>
      <c r="BC147" s="1214"/>
      <c r="BE147" s="1214"/>
      <c r="BF147" s="1214"/>
      <c r="BG147" s="1214"/>
    </row>
    <row r="148" spans="18:59" x14ac:dyDescent="0.35">
      <c r="R148" s="1214"/>
      <c r="S148" s="1214"/>
      <c r="W148" s="1214"/>
      <c r="X148" s="1214"/>
      <c r="AE148" s="1214"/>
      <c r="AF148" s="1214"/>
      <c r="AV148" s="1214"/>
      <c r="AW148" s="1214"/>
      <c r="AX148" s="1214"/>
      <c r="AY148" s="1214"/>
      <c r="AZ148" s="1214"/>
      <c r="BA148" s="1214"/>
      <c r="BC148" s="1214"/>
      <c r="BE148" s="1214"/>
      <c r="BF148" s="1214"/>
      <c r="BG148" s="1214"/>
    </row>
    <row r="149" spans="18:59" x14ac:dyDescent="0.35">
      <c r="R149" s="1214"/>
      <c r="S149" s="1214"/>
      <c r="W149" s="1214"/>
      <c r="X149" s="1214"/>
      <c r="AE149" s="1214"/>
      <c r="AF149" s="1214"/>
      <c r="AV149" s="1214"/>
      <c r="AW149" s="1214"/>
      <c r="AX149" s="1214"/>
      <c r="AY149" s="1214"/>
      <c r="AZ149" s="1214"/>
      <c r="BA149" s="1214"/>
      <c r="BC149" s="1214"/>
      <c r="BE149" s="1214"/>
      <c r="BF149" s="1214"/>
      <c r="BG149" s="1214"/>
    </row>
    <row r="150" spans="18:59" x14ac:dyDescent="0.35">
      <c r="R150" s="1214"/>
      <c r="S150" s="1214"/>
      <c r="W150" s="1214"/>
      <c r="X150" s="1214"/>
      <c r="AE150" s="1214"/>
      <c r="AF150" s="1214"/>
      <c r="AV150" s="1214"/>
      <c r="AW150" s="1214"/>
      <c r="AX150" s="1214"/>
      <c r="AY150" s="1214"/>
      <c r="AZ150" s="1214"/>
      <c r="BA150" s="1214"/>
      <c r="BC150" s="1214"/>
      <c r="BE150" s="1214"/>
      <c r="BF150" s="1214"/>
      <c r="BG150" s="1214"/>
    </row>
    <row r="151" spans="18:59" x14ac:dyDescent="0.35">
      <c r="R151" s="1214"/>
      <c r="S151" s="1214"/>
      <c r="W151" s="1214"/>
      <c r="X151" s="1214"/>
      <c r="AE151" s="1214"/>
      <c r="AF151" s="1214"/>
      <c r="AV151" s="1214"/>
      <c r="AW151" s="1214"/>
      <c r="AX151" s="1214"/>
      <c r="AY151" s="1214"/>
      <c r="AZ151" s="1214"/>
      <c r="BA151" s="1214"/>
      <c r="BC151" s="1214"/>
      <c r="BE151" s="1214"/>
      <c r="BF151" s="1214"/>
      <c r="BG151" s="1214"/>
    </row>
    <row r="152" spans="18:59" x14ac:dyDescent="0.35">
      <c r="R152" s="1214"/>
      <c r="S152" s="1214"/>
      <c r="W152" s="1214"/>
      <c r="X152" s="1214"/>
      <c r="AE152" s="1214"/>
      <c r="AF152" s="1214"/>
      <c r="AV152" s="1214"/>
      <c r="AW152" s="1214"/>
      <c r="AX152" s="1214"/>
      <c r="AY152" s="1214"/>
      <c r="AZ152" s="1214"/>
      <c r="BA152" s="1214"/>
      <c r="BC152" s="1214"/>
      <c r="BE152" s="1214"/>
      <c r="BF152" s="1214"/>
      <c r="BG152" s="1214"/>
    </row>
    <row r="153" spans="18:59" x14ac:dyDescent="0.35">
      <c r="R153" s="1214"/>
      <c r="S153" s="1214"/>
      <c r="W153" s="1214"/>
      <c r="X153" s="1214"/>
      <c r="AE153" s="1214"/>
      <c r="AF153" s="1214"/>
      <c r="AV153" s="1214"/>
      <c r="AW153" s="1214"/>
      <c r="AX153" s="1214"/>
      <c r="AY153" s="1214"/>
      <c r="AZ153" s="1214"/>
      <c r="BA153" s="1214"/>
      <c r="BC153" s="1214"/>
      <c r="BE153" s="1214"/>
      <c r="BF153" s="1214"/>
      <c r="BG153" s="1214"/>
    </row>
    <row r="154" spans="18:59" x14ac:dyDescent="0.35">
      <c r="R154" s="1214"/>
      <c r="S154" s="1214"/>
      <c r="W154" s="1214"/>
      <c r="X154" s="1214"/>
      <c r="AE154" s="1214"/>
      <c r="AF154" s="1214"/>
      <c r="AV154" s="1214"/>
      <c r="AW154" s="1214"/>
      <c r="AX154" s="1214"/>
      <c r="AY154" s="1214"/>
      <c r="AZ154" s="1214"/>
      <c r="BA154" s="1214"/>
      <c r="BC154" s="1214"/>
      <c r="BE154" s="1214"/>
      <c r="BF154" s="1214"/>
      <c r="BG154" s="1214"/>
    </row>
    <row r="155" spans="18:59" x14ac:dyDescent="0.35">
      <c r="R155" s="1214"/>
      <c r="S155" s="1214"/>
      <c r="W155" s="1214"/>
      <c r="X155" s="1214"/>
      <c r="AE155" s="1214"/>
      <c r="AF155" s="1214"/>
      <c r="AV155" s="1214"/>
      <c r="AW155" s="1214"/>
      <c r="AX155" s="1214"/>
      <c r="AY155" s="1214"/>
      <c r="AZ155" s="1214"/>
      <c r="BA155" s="1214"/>
      <c r="BC155" s="1214"/>
      <c r="BE155" s="1214"/>
      <c r="BF155" s="1214"/>
      <c r="BG155" s="1214"/>
    </row>
    <row r="156" spans="18:59" x14ac:dyDescent="0.35">
      <c r="R156" s="1214"/>
      <c r="S156" s="1214"/>
      <c r="W156" s="1214"/>
      <c r="X156" s="1214"/>
      <c r="AE156" s="1214"/>
      <c r="AF156" s="1214"/>
      <c r="AV156" s="1214"/>
      <c r="AW156" s="1214"/>
      <c r="AX156" s="1214"/>
      <c r="AY156" s="1214"/>
      <c r="AZ156" s="1214"/>
      <c r="BA156" s="1214"/>
      <c r="BC156" s="1214"/>
      <c r="BE156" s="1214"/>
      <c r="BF156" s="1214"/>
      <c r="BG156" s="1214"/>
    </row>
    <row r="157" spans="18:59" x14ac:dyDescent="0.35">
      <c r="R157" s="1214"/>
      <c r="S157" s="1214"/>
      <c r="W157" s="1214"/>
      <c r="X157" s="1214"/>
      <c r="AE157" s="1214"/>
      <c r="AF157" s="1214"/>
      <c r="AV157" s="1214"/>
      <c r="AW157" s="1214"/>
      <c r="AX157" s="1214"/>
      <c r="AY157" s="1214"/>
      <c r="AZ157" s="1214"/>
      <c r="BA157" s="1214"/>
      <c r="BC157" s="1214"/>
      <c r="BE157" s="1214"/>
      <c r="BF157" s="1214"/>
      <c r="BG157" s="1214"/>
    </row>
    <row r="158" spans="18:59" x14ac:dyDescent="0.35">
      <c r="R158" s="1214"/>
      <c r="S158" s="1214"/>
      <c r="W158" s="1214"/>
      <c r="X158" s="1214"/>
      <c r="AE158" s="1214"/>
      <c r="AF158" s="1214"/>
      <c r="AV158" s="1214"/>
      <c r="AW158" s="1214"/>
      <c r="AX158" s="1214"/>
      <c r="AY158" s="1214"/>
      <c r="AZ158" s="1214"/>
      <c r="BA158" s="1214"/>
      <c r="BC158" s="1214"/>
      <c r="BE158" s="1214"/>
      <c r="BF158" s="1214"/>
      <c r="BG158" s="1214"/>
    </row>
    <row r="159" spans="18:59" x14ac:dyDescent="0.35">
      <c r="R159" s="1214"/>
      <c r="S159" s="1214"/>
      <c r="W159" s="1214"/>
      <c r="X159" s="1214"/>
      <c r="AE159" s="1214"/>
      <c r="AF159" s="1214"/>
      <c r="AV159" s="1214"/>
      <c r="AW159" s="1214"/>
      <c r="AX159" s="1214"/>
      <c r="AY159" s="1214"/>
      <c r="AZ159" s="1214"/>
      <c r="BA159" s="1214"/>
      <c r="BC159" s="1214"/>
      <c r="BE159" s="1214"/>
      <c r="BF159" s="1214"/>
      <c r="BG159" s="1214"/>
    </row>
    <row r="160" spans="18:59" x14ac:dyDescent="0.35">
      <c r="R160" s="1214"/>
      <c r="S160" s="1214"/>
      <c r="W160" s="1214"/>
      <c r="X160" s="1214"/>
      <c r="AE160" s="1214"/>
      <c r="AF160" s="1214"/>
      <c r="AV160" s="1214"/>
      <c r="AW160" s="1214"/>
      <c r="AX160" s="1214"/>
      <c r="AY160" s="1214"/>
      <c r="AZ160" s="1214"/>
      <c r="BA160" s="1214"/>
      <c r="BC160" s="1214"/>
      <c r="BE160" s="1214"/>
      <c r="BF160" s="1214"/>
      <c r="BG160" s="1214"/>
    </row>
    <row r="161" spans="18:59" x14ac:dyDescent="0.35">
      <c r="R161" s="1214"/>
      <c r="S161" s="1214"/>
      <c r="W161" s="1214"/>
      <c r="X161" s="1214"/>
      <c r="AE161" s="1214"/>
      <c r="AF161" s="1214"/>
      <c r="AV161" s="1214"/>
      <c r="AW161" s="1214"/>
      <c r="AX161" s="1214"/>
      <c r="AY161" s="1214"/>
      <c r="AZ161" s="1214"/>
      <c r="BA161" s="1214"/>
      <c r="BC161" s="1214"/>
      <c r="BE161" s="1214"/>
      <c r="BF161" s="1214"/>
      <c r="BG161" s="1214"/>
    </row>
    <row r="162" spans="18:59" x14ac:dyDescent="0.35">
      <c r="R162" s="1214"/>
      <c r="S162" s="1214"/>
      <c r="W162" s="1214"/>
      <c r="X162" s="1214"/>
      <c r="AE162" s="1214"/>
      <c r="AF162" s="1214"/>
      <c r="AV162" s="1214"/>
      <c r="AW162" s="1214"/>
      <c r="AX162" s="1214"/>
      <c r="AY162" s="1214"/>
      <c r="AZ162" s="1214"/>
      <c r="BA162" s="1214"/>
      <c r="BC162" s="1214"/>
      <c r="BE162" s="1214"/>
      <c r="BF162" s="1214"/>
      <c r="BG162" s="1214"/>
    </row>
    <row r="163" spans="18:59" x14ac:dyDescent="0.35">
      <c r="R163" s="1214"/>
      <c r="S163" s="1214"/>
      <c r="W163" s="1214"/>
      <c r="X163" s="1214"/>
      <c r="AE163" s="1214"/>
      <c r="AF163" s="1214"/>
      <c r="AV163" s="1214"/>
      <c r="AW163" s="1214"/>
      <c r="AX163" s="1214"/>
      <c r="AY163" s="1214"/>
      <c r="AZ163" s="1214"/>
      <c r="BA163" s="1214"/>
      <c r="BC163" s="1214"/>
      <c r="BE163" s="1214"/>
      <c r="BF163" s="1214"/>
      <c r="BG163" s="1214"/>
    </row>
    <row r="164" spans="18:59" x14ac:dyDescent="0.35">
      <c r="R164" s="1214"/>
      <c r="S164" s="1214"/>
      <c r="W164" s="1214"/>
      <c r="X164" s="1214"/>
      <c r="AE164" s="1214"/>
      <c r="AF164" s="1214"/>
      <c r="AV164" s="1214"/>
      <c r="AW164" s="1214"/>
      <c r="AX164" s="1214"/>
      <c r="AY164" s="1214"/>
      <c r="AZ164" s="1214"/>
      <c r="BA164" s="1214"/>
      <c r="BC164" s="1214"/>
      <c r="BE164" s="1214"/>
      <c r="BF164" s="1214"/>
      <c r="BG164" s="1214"/>
    </row>
    <row r="165" spans="18:59" x14ac:dyDescent="0.35">
      <c r="R165" s="1214"/>
      <c r="S165" s="1214"/>
      <c r="W165" s="1214"/>
      <c r="X165" s="1214"/>
      <c r="AE165" s="1214"/>
      <c r="AF165" s="1214"/>
      <c r="AV165" s="1214"/>
      <c r="AW165" s="1214"/>
      <c r="AX165" s="1214"/>
      <c r="AY165" s="1214"/>
      <c r="AZ165" s="1214"/>
      <c r="BA165" s="1214"/>
      <c r="BC165" s="1214"/>
      <c r="BE165" s="1214"/>
      <c r="BF165" s="1214"/>
      <c r="BG165" s="1214"/>
    </row>
    <row r="166" spans="18:59" x14ac:dyDescent="0.35">
      <c r="R166" s="1214"/>
      <c r="S166" s="1214"/>
      <c r="W166" s="1214"/>
      <c r="X166" s="1214"/>
      <c r="AE166" s="1214"/>
      <c r="AF166" s="1214"/>
      <c r="AV166" s="1214"/>
      <c r="AW166" s="1214"/>
      <c r="AX166" s="1214"/>
      <c r="AY166" s="1214"/>
      <c r="AZ166" s="1214"/>
      <c r="BA166" s="1214"/>
      <c r="BC166" s="1214"/>
      <c r="BE166" s="1214"/>
      <c r="BF166" s="1214"/>
      <c r="BG166" s="1214"/>
    </row>
    <row r="167" spans="18:59" x14ac:dyDescent="0.35">
      <c r="R167" s="1214"/>
      <c r="S167" s="1214"/>
      <c r="W167" s="1214"/>
      <c r="X167" s="1214"/>
      <c r="AE167" s="1214"/>
      <c r="AF167" s="1214"/>
      <c r="AV167" s="1214"/>
      <c r="AW167" s="1214"/>
      <c r="AX167" s="1214"/>
      <c r="AY167" s="1214"/>
      <c r="AZ167" s="1214"/>
      <c r="BA167" s="1214"/>
      <c r="BC167" s="1214"/>
      <c r="BE167" s="1214"/>
      <c r="BF167" s="1214"/>
      <c r="BG167" s="1214"/>
    </row>
    <row r="168" spans="18:59" x14ac:dyDescent="0.35">
      <c r="R168" s="1214"/>
      <c r="S168" s="1214"/>
      <c r="W168" s="1214"/>
      <c r="X168" s="1214"/>
      <c r="AE168" s="1214"/>
      <c r="AF168" s="1214"/>
      <c r="AV168" s="1214"/>
      <c r="AW168" s="1214"/>
      <c r="AX168" s="1214"/>
      <c r="AY168" s="1214"/>
      <c r="AZ168" s="1214"/>
      <c r="BA168" s="1214"/>
      <c r="BC168" s="1214"/>
      <c r="BE168" s="1214"/>
      <c r="BF168" s="1214"/>
      <c r="BG168" s="1214"/>
    </row>
    <row r="169" spans="18:59" x14ac:dyDescent="0.35">
      <c r="R169" s="1214"/>
      <c r="S169" s="1214"/>
      <c r="W169" s="1214"/>
      <c r="X169" s="1214"/>
      <c r="AE169" s="1214"/>
      <c r="AF169" s="1214"/>
      <c r="AV169" s="1214"/>
      <c r="AW169" s="1214"/>
      <c r="AX169" s="1214"/>
      <c r="AY169" s="1214"/>
      <c r="AZ169" s="1214"/>
      <c r="BA169" s="1214"/>
      <c r="BC169" s="1214"/>
      <c r="BE169" s="1214"/>
      <c r="BF169" s="1214"/>
      <c r="BG169" s="1214"/>
    </row>
    <row r="170" spans="18:59" x14ac:dyDescent="0.35">
      <c r="R170" s="1214"/>
      <c r="S170" s="1214"/>
      <c r="W170" s="1214"/>
      <c r="X170" s="1214"/>
      <c r="AE170" s="1214"/>
      <c r="AF170" s="1214"/>
      <c r="AV170" s="1214"/>
      <c r="AW170" s="1214"/>
      <c r="AX170" s="1214"/>
      <c r="AY170" s="1214"/>
      <c r="AZ170" s="1214"/>
      <c r="BA170" s="1214"/>
      <c r="BC170" s="1214"/>
      <c r="BE170" s="1214"/>
      <c r="BF170" s="1214"/>
      <c r="BG170" s="1214"/>
    </row>
    <row r="171" spans="18:59" x14ac:dyDescent="0.35">
      <c r="R171" s="1214"/>
      <c r="S171" s="1214"/>
      <c r="W171" s="1214"/>
      <c r="X171" s="1214"/>
      <c r="AE171" s="1214"/>
      <c r="AF171" s="1214"/>
      <c r="AV171" s="1214"/>
      <c r="AW171" s="1214"/>
      <c r="AX171" s="1214"/>
      <c r="AY171" s="1214"/>
      <c r="AZ171" s="1214"/>
      <c r="BA171" s="1214"/>
      <c r="BC171" s="1214"/>
      <c r="BE171" s="1214"/>
      <c r="BF171" s="1214"/>
      <c r="BG171" s="1214"/>
    </row>
    <row r="172" spans="18:59" x14ac:dyDescent="0.35">
      <c r="R172" s="1214"/>
      <c r="S172" s="1214"/>
      <c r="W172" s="1214"/>
      <c r="X172" s="1214"/>
      <c r="AE172" s="1214"/>
      <c r="AF172" s="1214"/>
      <c r="AV172" s="1214"/>
      <c r="AW172" s="1214"/>
      <c r="AX172" s="1214"/>
      <c r="AY172" s="1214"/>
      <c r="AZ172" s="1214"/>
      <c r="BA172" s="1214"/>
      <c r="BC172" s="1214"/>
      <c r="BE172" s="1214"/>
      <c r="BF172" s="1214"/>
      <c r="BG172" s="1214"/>
    </row>
    <row r="173" spans="18:59" x14ac:dyDescent="0.35">
      <c r="R173" s="1214"/>
      <c r="S173" s="1214"/>
      <c r="W173" s="1214"/>
      <c r="X173" s="1214"/>
      <c r="AE173" s="1214"/>
      <c r="AF173" s="1214"/>
      <c r="AV173" s="1214"/>
      <c r="AW173" s="1214"/>
      <c r="AX173" s="1214"/>
      <c r="AY173" s="1214"/>
      <c r="AZ173" s="1214"/>
      <c r="BA173" s="1214"/>
      <c r="BC173" s="1214"/>
      <c r="BE173" s="1214"/>
      <c r="BF173" s="1214"/>
      <c r="BG173" s="1214"/>
    </row>
    <row r="174" spans="18:59" x14ac:dyDescent="0.35">
      <c r="R174" s="1214"/>
      <c r="S174" s="1214"/>
      <c r="W174" s="1214"/>
      <c r="X174" s="1214"/>
      <c r="AE174" s="1214"/>
      <c r="AF174" s="1214"/>
      <c r="AV174" s="1214"/>
      <c r="AW174" s="1214"/>
      <c r="AX174" s="1214"/>
      <c r="AY174" s="1214"/>
      <c r="AZ174" s="1214"/>
      <c r="BA174" s="1214"/>
      <c r="BC174" s="1214"/>
      <c r="BE174" s="1214"/>
      <c r="BF174" s="1214"/>
      <c r="BG174" s="1214"/>
    </row>
    <row r="175" spans="18:59" x14ac:dyDescent="0.35">
      <c r="R175" s="1214"/>
      <c r="S175" s="1214"/>
      <c r="W175" s="1214"/>
      <c r="X175" s="1214"/>
      <c r="AE175" s="1214"/>
      <c r="AF175" s="1214"/>
      <c r="AV175" s="1214"/>
      <c r="AW175" s="1214"/>
      <c r="AX175" s="1214"/>
      <c r="AY175" s="1214"/>
      <c r="AZ175" s="1214"/>
      <c r="BA175" s="1214"/>
      <c r="BC175" s="1214"/>
      <c r="BE175" s="1214"/>
      <c r="BF175" s="1214"/>
      <c r="BG175" s="1214"/>
    </row>
    <row r="176" spans="18:59" x14ac:dyDescent="0.35">
      <c r="R176" s="1214"/>
      <c r="S176" s="1214"/>
      <c r="W176" s="1214"/>
      <c r="X176" s="1214"/>
      <c r="AE176" s="1214"/>
      <c r="AF176" s="1214"/>
      <c r="AV176" s="1214"/>
      <c r="AW176" s="1214"/>
      <c r="AX176" s="1214"/>
      <c r="AY176" s="1214"/>
      <c r="AZ176" s="1214"/>
      <c r="BA176" s="1214"/>
      <c r="BC176" s="1214"/>
      <c r="BE176" s="1214"/>
      <c r="BF176" s="1214"/>
      <c r="BG176" s="1214"/>
    </row>
    <row r="177" spans="18:59" x14ac:dyDescent="0.35">
      <c r="R177" s="1214"/>
      <c r="S177" s="1214"/>
      <c r="W177" s="1214"/>
      <c r="X177" s="1214"/>
      <c r="AE177" s="1214"/>
      <c r="AF177" s="1214"/>
      <c r="AV177" s="1214"/>
      <c r="AW177" s="1214"/>
      <c r="AX177" s="1214"/>
      <c r="AY177" s="1214"/>
      <c r="AZ177" s="1214"/>
      <c r="BA177" s="1214"/>
      <c r="BC177" s="1214"/>
      <c r="BE177" s="1214"/>
      <c r="BF177" s="1214"/>
      <c r="BG177" s="1214"/>
    </row>
    <row r="178" spans="18:59" x14ac:dyDescent="0.35">
      <c r="R178" s="1214"/>
      <c r="S178" s="1214"/>
      <c r="W178" s="1214"/>
      <c r="X178" s="1214"/>
      <c r="AE178" s="1214"/>
      <c r="AF178" s="1214"/>
      <c r="AV178" s="1214"/>
      <c r="AW178" s="1214"/>
      <c r="AX178" s="1214"/>
      <c r="AY178" s="1214"/>
      <c r="AZ178" s="1214"/>
      <c r="BA178" s="1214"/>
      <c r="BC178" s="1214"/>
      <c r="BE178" s="1214"/>
      <c r="BF178" s="1214"/>
      <c r="BG178" s="1214"/>
    </row>
    <row r="179" spans="18:59" x14ac:dyDescent="0.35">
      <c r="R179" s="1214"/>
      <c r="S179" s="1214"/>
      <c r="W179" s="1214"/>
      <c r="X179" s="1214"/>
      <c r="AE179" s="1214"/>
      <c r="AF179" s="1214"/>
      <c r="AV179" s="1214"/>
      <c r="AW179" s="1214"/>
      <c r="AX179" s="1214"/>
      <c r="AY179" s="1214"/>
      <c r="AZ179" s="1214"/>
      <c r="BA179" s="1214"/>
      <c r="BC179" s="1214"/>
      <c r="BE179" s="1214"/>
      <c r="BF179" s="1214"/>
      <c r="BG179" s="1214"/>
    </row>
    <row r="180" spans="18:59" x14ac:dyDescent="0.35">
      <c r="R180" s="1214"/>
      <c r="S180" s="1214"/>
      <c r="W180" s="1214"/>
      <c r="X180" s="1214"/>
      <c r="AE180" s="1214"/>
      <c r="AF180" s="1214"/>
      <c r="AV180" s="1214"/>
      <c r="AW180" s="1214"/>
      <c r="AX180" s="1214"/>
      <c r="AY180" s="1214"/>
      <c r="AZ180" s="1214"/>
      <c r="BA180" s="1214"/>
      <c r="BC180" s="1214"/>
      <c r="BE180" s="1214"/>
      <c r="BF180" s="1214"/>
      <c r="BG180" s="1214"/>
    </row>
    <row r="181" spans="18:59" x14ac:dyDescent="0.35">
      <c r="R181" s="1214"/>
      <c r="S181" s="1214"/>
      <c r="W181" s="1214"/>
      <c r="X181" s="1214"/>
      <c r="AE181" s="1214"/>
      <c r="AF181" s="1214"/>
      <c r="AV181" s="1214"/>
      <c r="AW181" s="1214"/>
      <c r="AX181" s="1214"/>
      <c r="AY181" s="1214"/>
      <c r="AZ181" s="1214"/>
      <c r="BA181" s="1214"/>
      <c r="BC181" s="1214"/>
      <c r="BE181" s="1214"/>
      <c r="BF181" s="1214"/>
      <c r="BG181" s="1214"/>
    </row>
    <row r="182" spans="18:59" x14ac:dyDescent="0.35">
      <c r="R182" s="1214"/>
      <c r="S182" s="1214"/>
      <c r="W182" s="1214"/>
      <c r="X182" s="1214"/>
      <c r="AE182" s="1214"/>
      <c r="AF182" s="1214"/>
      <c r="AV182" s="1214"/>
      <c r="AW182" s="1214"/>
      <c r="AX182" s="1214"/>
      <c r="AY182" s="1214"/>
      <c r="AZ182" s="1214"/>
      <c r="BA182" s="1214"/>
      <c r="BC182" s="1214"/>
      <c r="BE182" s="1214"/>
      <c r="BF182" s="1214"/>
      <c r="BG182" s="1214"/>
    </row>
    <row r="183" spans="18:59" x14ac:dyDescent="0.35">
      <c r="R183" s="1214"/>
      <c r="S183" s="1214"/>
      <c r="W183" s="1214"/>
      <c r="X183" s="1214"/>
      <c r="AE183" s="1214"/>
      <c r="AF183" s="1214"/>
      <c r="AV183" s="1214"/>
      <c r="AW183" s="1214"/>
      <c r="AX183" s="1214"/>
      <c r="AY183" s="1214"/>
      <c r="AZ183" s="1214"/>
      <c r="BA183" s="1214"/>
      <c r="BC183" s="1214"/>
      <c r="BE183" s="1214"/>
      <c r="BF183" s="1214"/>
      <c r="BG183" s="1214"/>
    </row>
    <row r="184" spans="18:59" x14ac:dyDescent="0.35">
      <c r="R184" s="1214"/>
      <c r="S184" s="1214"/>
      <c r="W184" s="1214"/>
      <c r="X184" s="1214"/>
      <c r="AE184" s="1214"/>
      <c r="AF184" s="1214"/>
      <c r="AV184" s="1214"/>
      <c r="AW184" s="1214"/>
      <c r="AX184" s="1214"/>
      <c r="AY184" s="1214"/>
      <c r="AZ184" s="1214"/>
      <c r="BA184" s="1214"/>
      <c r="BC184" s="1214"/>
      <c r="BE184" s="1214"/>
      <c r="BF184" s="1214"/>
      <c r="BG184" s="1214"/>
    </row>
    <row r="185" spans="18:59" x14ac:dyDescent="0.35">
      <c r="R185" s="1214"/>
      <c r="S185" s="1214"/>
      <c r="W185" s="1214"/>
      <c r="X185" s="1214"/>
      <c r="AE185" s="1214"/>
      <c r="AF185" s="1214"/>
      <c r="AV185" s="1214"/>
      <c r="AW185" s="1214"/>
      <c r="AX185" s="1214"/>
      <c r="AY185" s="1214"/>
      <c r="AZ185" s="1214"/>
      <c r="BA185" s="1214"/>
      <c r="BC185" s="1214"/>
      <c r="BE185" s="1214"/>
      <c r="BF185" s="1214"/>
      <c r="BG185" s="1214"/>
    </row>
    <row r="186" spans="18:59" x14ac:dyDescent="0.35">
      <c r="R186" s="1214"/>
      <c r="S186" s="1214"/>
      <c r="W186" s="1214"/>
      <c r="X186" s="1214"/>
      <c r="AE186" s="1214"/>
      <c r="AF186" s="1214"/>
      <c r="AV186" s="1214"/>
      <c r="AW186" s="1214"/>
      <c r="AX186" s="1214"/>
      <c r="AY186" s="1214"/>
      <c r="AZ186" s="1214"/>
      <c r="BA186" s="1214"/>
      <c r="BC186" s="1214"/>
      <c r="BE186" s="1214"/>
      <c r="BF186" s="1214"/>
      <c r="BG186" s="1214"/>
    </row>
    <row r="187" spans="18:59" x14ac:dyDescent="0.35">
      <c r="R187" s="1214"/>
      <c r="S187" s="1214"/>
      <c r="W187" s="1214"/>
      <c r="X187" s="1214"/>
      <c r="AE187" s="1214"/>
      <c r="AF187" s="1214"/>
      <c r="AV187" s="1214"/>
      <c r="AW187" s="1214"/>
      <c r="AX187" s="1214"/>
      <c r="AY187" s="1214"/>
      <c r="AZ187" s="1214"/>
      <c r="BA187" s="1214"/>
      <c r="BC187" s="1214"/>
      <c r="BE187" s="1214"/>
      <c r="BF187" s="1214"/>
      <c r="BG187" s="1214"/>
    </row>
    <row r="188" spans="18:59" x14ac:dyDescent="0.35">
      <c r="R188" s="1214"/>
      <c r="S188" s="1214"/>
      <c r="W188" s="1214"/>
      <c r="X188" s="1214"/>
      <c r="AE188" s="1214"/>
      <c r="AF188" s="1214"/>
      <c r="AV188" s="1214"/>
      <c r="AW188" s="1214"/>
      <c r="AX188" s="1214"/>
      <c r="AY188" s="1214"/>
      <c r="AZ188" s="1214"/>
      <c r="BA188" s="1214"/>
      <c r="BC188" s="1214"/>
      <c r="BE188" s="1214"/>
      <c r="BF188" s="1214"/>
      <c r="BG188" s="1214"/>
    </row>
    <row r="189" spans="18:59" x14ac:dyDescent="0.35">
      <c r="R189" s="1214"/>
      <c r="S189" s="1214"/>
      <c r="W189" s="1214"/>
      <c r="X189" s="1214"/>
      <c r="AE189" s="1214"/>
      <c r="AF189" s="1214"/>
      <c r="AV189" s="1214"/>
      <c r="AW189" s="1214"/>
      <c r="AX189" s="1214"/>
      <c r="AY189" s="1214"/>
      <c r="AZ189" s="1214"/>
      <c r="BA189" s="1214"/>
      <c r="BC189" s="1214"/>
      <c r="BE189" s="1214"/>
      <c r="BF189" s="1214"/>
      <c r="BG189" s="1214"/>
    </row>
    <row r="190" spans="18:59" x14ac:dyDescent="0.35">
      <c r="R190" s="1214"/>
      <c r="S190" s="1214"/>
      <c r="W190" s="1214"/>
      <c r="X190" s="1214"/>
      <c r="AE190" s="1214"/>
      <c r="AF190" s="1214"/>
      <c r="AV190" s="1214"/>
      <c r="AW190" s="1214"/>
      <c r="AX190" s="1214"/>
      <c r="AY190" s="1214"/>
      <c r="AZ190" s="1214"/>
      <c r="BA190" s="1214"/>
      <c r="BC190" s="1214"/>
      <c r="BE190" s="1214"/>
      <c r="BF190" s="1214"/>
      <c r="BG190" s="1214"/>
    </row>
    <row r="191" spans="18:59" x14ac:dyDescent="0.35">
      <c r="R191" s="1214"/>
      <c r="S191" s="1214"/>
      <c r="W191" s="1214"/>
      <c r="X191" s="1214"/>
      <c r="AE191" s="1214"/>
      <c r="AF191" s="1214"/>
      <c r="AV191" s="1214"/>
      <c r="AW191" s="1214"/>
      <c r="AX191" s="1214"/>
      <c r="AY191" s="1214"/>
      <c r="AZ191" s="1214"/>
      <c r="BA191" s="1214"/>
      <c r="BC191" s="1214"/>
      <c r="BE191" s="1214"/>
      <c r="BF191" s="1214"/>
      <c r="BG191" s="1214"/>
    </row>
    <row r="192" spans="18:59" x14ac:dyDescent="0.35">
      <c r="R192" s="1214"/>
      <c r="S192" s="1214"/>
      <c r="W192" s="1214"/>
      <c r="X192" s="1214"/>
      <c r="AE192" s="1214"/>
      <c r="AF192" s="1214"/>
      <c r="AV192" s="1214"/>
      <c r="AW192" s="1214"/>
      <c r="AX192" s="1214"/>
      <c r="AY192" s="1214"/>
      <c r="AZ192" s="1214"/>
      <c r="BA192" s="1214"/>
      <c r="BC192" s="1214"/>
      <c r="BE192" s="1214"/>
      <c r="BF192" s="1214"/>
      <c r="BG192" s="1214"/>
    </row>
    <row r="193" spans="18:59" x14ac:dyDescent="0.35">
      <c r="R193" s="1214"/>
      <c r="S193" s="1214"/>
      <c r="W193" s="1214"/>
      <c r="X193" s="1214"/>
      <c r="AE193" s="1214"/>
      <c r="AF193" s="1214"/>
      <c r="AV193" s="1214"/>
      <c r="AW193" s="1214"/>
      <c r="AX193" s="1214"/>
      <c r="AY193" s="1214"/>
      <c r="AZ193" s="1214"/>
      <c r="BA193" s="1214"/>
      <c r="BC193" s="1214"/>
      <c r="BE193" s="1214"/>
      <c r="BF193" s="1214"/>
      <c r="BG193" s="1214"/>
    </row>
    <row r="194" spans="18:59" x14ac:dyDescent="0.35">
      <c r="R194" s="1214"/>
      <c r="S194" s="1214"/>
      <c r="W194" s="1214"/>
      <c r="X194" s="1214"/>
      <c r="AE194" s="1214"/>
      <c r="AF194" s="1214"/>
      <c r="AV194" s="1214"/>
      <c r="AW194" s="1214"/>
      <c r="AX194" s="1214"/>
      <c r="AY194" s="1214"/>
      <c r="AZ194" s="1214"/>
      <c r="BA194" s="1214"/>
      <c r="BC194" s="1214"/>
      <c r="BE194" s="1214"/>
      <c r="BF194" s="1214"/>
      <c r="BG194" s="1214"/>
    </row>
    <row r="195" spans="18:59" x14ac:dyDescent="0.35">
      <c r="R195" s="1214"/>
      <c r="S195" s="1214"/>
      <c r="W195" s="1214"/>
      <c r="X195" s="1214"/>
      <c r="AE195" s="1214"/>
      <c r="AF195" s="1214"/>
      <c r="AV195" s="1214"/>
      <c r="AW195" s="1214"/>
      <c r="AX195" s="1214"/>
      <c r="AY195" s="1214"/>
      <c r="AZ195" s="1214"/>
      <c r="BA195" s="1214"/>
      <c r="BC195" s="1214"/>
      <c r="BE195" s="1214"/>
      <c r="BF195" s="1214"/>
      <c r="BG195" s="1214"/>
    </row>
    <row r="196" spans="18:59" x14ac:dyDescent="0.35">
      <c r="R196" s="1214"/>
      <c r="S196" s="1214"/>
      <c r="W196" s="1214"/>
      <c r="X196" s="1214"/>
      <c r="AE196" s="1214"/>
      <c r="AF196" s="1214"/>
      <c r="AV196" s="1214"/>
      <c r="AW196" s="1214"/>
      <c r="AX196" s="1214"/>
      <c r="AY196" s="1214"/>
      <c r="AZ196" s="1214"/>
      <c r="BA196" s="1214"/>
      <c r="BC196" s="1214"/>
      <c r="BE196" s="1214"/>
      <c r="BF196" s="1214"/>
      <c r="BG196" s="1214"/>
    </row>
    <row r="197" spans="18:59" x14ac:dyDescent="0.35">
      <c r="R197" s="1214"/>
      <c r="S197" s="1214"/>
      <c r="W197" s="1214"/>
      <c r="X197" s="1214"/>
      <c r="AE197" s="1214"/>
      <c r="AF197" s="1214"/>
      <c r="AV197" s="1214"/>
      <c r="AW197" s="1214"/>
      <c r="AX197" s="1214"/>
      <c r="AY197" s="1214"/>
      <c r="AZ197" s="1214"/>
      <c r="BA197" s="1214"/>
      <c r="BC197" s="1214"/>
      <c r="BE197" s="1214"/>
      <c r="BF197" s="1214"/>
      <c r="BG197" s="1214"/>
    </row>
    <row r="198" spans="18:59" x14ac:dyDescent="0.35">
      <c r="R198" s="1214"/>
      <c r="S198" s="1214"/>
      <c r="W198" s="1214"/>
      <c r="X198" s="1214"/>
      <c r="AE198" s="1214"/>
      <c r="AF198" s="1214"/>
      <c r="AV198" s="1214"/>
      <c r="AW198" s="1214"/>
      <c r="AX198" s="1214"/>
      <c r="AY198" s="1214"/>
      <c r="AZ198" s="1214"/>
      <c r="BA198" s="1214"/>
      <c r="BC198" s="1214"/>
      <c r="BE198" s="1214"/>
      <c r="BF198" s="1214"/>
      <c r="BG198" s="1214"/>
    </row>
    <row r="199" spans="18:59" x14ac:dyDescent="0.35">
      <c r="R199" s="1214"/>
      <c r="S199" s="1214"/>
      <c r="W199" s="1214"/>
      <c r="X199" s="1214"/>
      <c r="AE199" s="1214"/>
      <c r="AF199" s="1214"/>
      <c r="AV199" s="1214"/>
      <c r="AW199" s="1214"/>
      <c r="AX199" s="1214"/>
      <c r="AY199" s="1214"/>
      <c r="AZ199" s="1214"/>
      <c r="BA199" s="1214"/>
      <c r="BC199" s="1214"/>
      <c r="BE199" s="1214"/>
      <c r="BF199" s="1214"/>
      <c r="BG199" s="1214"/>
    </row>
    <row r="200" spans="18:59" x14ac:dyDescent="0.35">
      <c r="R200" s="1214"/>
      <c r="S200" s="1214"/>
      <c r="W200" s="1214"/>
      <c r="X200" s="1214"/>
      <c r="AE200" s="1214"/>
      <c r="AF200" s="1214"/>
      <c r="AV200" s="1214"/>
      <c r="AW200" s="1214"/>
      <c r="AX200" s="1214"/>
      <c r="AY200" s="1214"/>
      <c r="AZ200" s="1214"/>
      <c r="BA200" s="1214"/>
      <c r="BC200" s="1214"/>
      <c r="BE200" s="1214"/>
      <c r="BF200" s="1214"/>
      <c r="BG200" s="1214"/>
    </row>
    <row r="201" spans="18:59" x14ac:dyDescent="0.35">
      <c r="R201" s="1214"/>
      <c r="S201" s="1214"/>
      <c r="W201" s="1214"/>
      <c r="X201" s="1214"/>
      <c r="AE201" s="1214"/>
      <c r="AF201" s="1214"/>
      <c r="AV201" s="1214"/>
      <c r="AW201" s="1214"/>
      <c r="AX201" s="1214"/>
      <c r="AY201" s="1214"/>
      <c r="AZ201" s="1214"/>
      <c r="BA201" s="1214"/>
      <c r="BC201" s="1214"/>
      <c r="BE201" s="1214"/>
      <c r="BF201" s="1214"/>
      <c r="BG201" s="1214"/>
    </row>
    <row r="202" spans="18:59" x14ac:dyDescent="0.35">
      <c r="R202" s="1214"/>
      <c r="S202" s="1214"/>
      <c r="W202" s="1214"/>
      <c r="X202" s="1214"/>
      <c r="AE202" s="1214"/>
      <c r="AF202" s="1214"/>
      <c r="AV202" s="1214"/>
      <c r="AW202" s="1214"/>
      <c r="AX202" s="1214"/>
      <c r="AY202" s="1214"/>
      <c r="AZ202" s="1214"/>
      <c r="BA202" s="1214"/>
      <c r="BC202" s="1214"/>
      <c r="BE202" s="1214"/>
      <c r="BF202" s="1214"/>
      <c r="BG202" s="1214"/>
    </row>
    <row r="203" spans="18:59" x14ac:dyDescent="0.35">
      <c r="R203" s="1214"/>
      <c r="S203" s="1214"/>
      <c r="W203" s="1214"/>
      <c r="X203" s="1214"/>
      <c r="AE203" s="1214"/>
      <c r="AF203" s="1214"/>
      <c r="AV203" s="1214"/>
      <c r="AW203" s="1214"/>
      <c r="AX203" s="1214"/>
      <c r="AY203" s="1214"/>
      <c r="AZ203" s="1214"/>
      <c r="BA203" s="1214"/>
      <c r="BC203" s="1214"/>
      <c r="BE203" s="1214"/>
      <c r="BF203" s="1214"/>
      <c r="BG203" s="1214"/>
    </row>
    <row r="204" spans="18:59" x14ac:dyDescent="0.35">
      <c r="R204" s="1214"/>
      <c r="S204" s="1214"/>
      <c r="W204" s="1214"/>
      <c r="X204" s="1214"/>
      <c r="AE204" s="1214"/>
      <c r="AF204" s="1214"/>
      <c r="AV204" s="1214"/>
      <c r="AW204" s="1214"/>
      <c r="AX204" s="1214"/>
      <c r="AY204" s="1214"/>
      <c r="AZ204" s="1214"/>
      <c r="BA204" s="1214"/>
      <c r="BC204" s="1214"/>
      <c r="BE204" s="1214"/>
      <c r="BF204" s="1214"/>
      <c r="BG204" s="1214"/>
    </row>
    <row r="205" spans="18:59" x14ac:dyDescent="0.35">
      <c r="R205" s="1214"/>
      <c r="S205" s="1214"/>
      <c r="W205" s="1214"/>
      <c r="X205" s="1214"/>
      <c r="AE205" s="1214"/>
      <c r="AF205" s="1214"/>
      <c r="AV205" s="1214"/>
      <c r="AW205" s="1214"/>
      <c r="AX205" s="1214"/>
      <c r="AY205" s="1214"/>
      <c r="AZ205" s="1214"/>
      <c r="BA205" s="1214"/>
      <c r="BC205" s="1214"/>
      <c r="BE205" s="1214"/>
      <c r="BF205" s="1214"/>
      <c r="BG205" s="1214"/>
    </row>
    <row r="206" spans="18:59" x14ac:dyDescent="0.35">
      <c r="R206" s="1214"/>
      <c r="S206" s="1214"/>
      <c r="W206" s="1214"/>
      <c r="X206" s="1214"/>
      <c r="AE206" s="1214"/>
      <c r="AF206" s="1214"/>
      <c r="AV206" s="1214"/>
      <c r="AW206" s="1214"/>
      <c r="AX206" s="1214"/>
      <c r="AY206" s="1214"/>
      <c r="AZ206" s="1214"/>
      <c r="BA206" s="1214"/>
      <c r="BC206" s="1214"/>
      <c r="BE206" s="1214"/>
      <c r="BF206" s="1214"/>
      <c r="BG206" s="1214"/>
    </row>
    <row r="207" spans="18:59" x14ac:dyDescent="0.35">
      <c r="R207" s="1214"/>
      <c r="S207" s="1214"/>
      <c r="W207" s="1214"/>
      <c r="X207" s="1214"/>
      <c r="AE207" s="1214"/>
      <c r="AF207" s="1214"/>
      <c r="AV207" s="1214"/>
      <c r="AW207" s="1214"/>
      <c r="AX207" s="1214"/>
      <c r="AY207" s="1214"/>
      <c r="AZ207" s="1214"/>
      <c r="BA207" s="1214"/>
      <c r="BC207" s="1214"/>
      <c r="BE207" s="1214"/>
      <c r="BF207" s="1214"/>
      <c r="BG207" s="1214"/>
    </row>
    <row r="208" spans="18:59" x14ac:dyDescent="0.35">
      <c r="R208" s="1214"/>
      <c r="S208" s="1214"/>
      <c r="W208" s="1214"/>
      <c r="X208" s="1214"/>
      <c r="AE208" s="1214"/>
      <c r="AF208" s="1214"/>
      <c r="AV208" s="1214"/>
      <c r="AW208" s="1214"/>
      <c r="AX208" s="1214"/>
      <c r="AY208" s="1214"/>
      <c r="AZ208" s="1214"/>
      <c r="BA208" s="1214"/>
      <c r="BC208" s="1214"/>
      <c r="BE208" s="1214"/>
      <c r="BF208" s="1214"/>
      <c r="BG208" s="1214"/>
    </row>
    <row r="209" spans="18:59" x14ac:dyDescent="0.35">
      <c r="R209" s="1214"/>
      <c r="S209" s="1214"/>
      <c r="W209" s="1214"/>
      <c r="X209" s="1214"/>
      <c r="AE209" s="1214"/>
      <c r="AF209" s="1214"/>
      <c r="AV209" s="1214"/>
      <c r="AW209" s="1214"/>
      <c r="AX209" s="1214"/>
      <c r="AY209" s="1214"/>
      <c r="AZ209" s="1214"/>
      <c r="BA209" s="1214"/>
      <c r="BC209" s="1214"/>
      <c r="BE209" s="1214"/>
      <c r="BF209" s="1214"/>
      <c r="BG209" s="1214"/>
    </row>
    <row r="210" spans="18:59" x14ac:dyDescent="0.35">
      <c r="R210" s="1214"/>
      <c r="S210" s="1214"/>
      <c r="W210" s="1214"/>
      <c r="X210" s="1214"/>
      <c r="AE210" s="1214"/>
      <c r="AF210" s="1214"/>
      <c r="AV210" s="1214"/>
      <c r="AW210" s="1214"/>
      <c r="AX210" s="1214"/>
      <c r="AY210" s="1214"/>
      <c r="AZ210" s="1214"/>
      <c r="BA210" s="1214"/>
      <c r="BC210" s="1214"/>
      <c r="BE210" s="1214"/>
      <c r="BF210" s="1214"/>
      <c r="BG210" s="1214"/>
    </row>
    <row r="211" spans="18:59" x14ac:dyDescent="0.35">
      <c r="R211" s="1214"/>
      <c r="S211" s="1214"/>
      <c r="W211" s="1214"/>
      <c r="X211" s="1214"/>
      <c r="AE211" s="1214"/>
      <c r="AF211" s="1214"/>
      <c r="AV211" s="1214"/>
      <c r="AW211" s="1214"/>
      <c r="AX211" s="1214"/>
      <c r="AY211" s="1214"/>
      <c r="AZ211" s="1214"/>
      <c r="BA211" s="1214"/>
      <c r="BC211" s="1214"/>
      <c r="BE211" s="1214"/>
      <c r="BF211" s="1214"/>
      <c r="BG211" s="1214"/>
    </row>
    <row r="212" spans="18:59" x14ac:dyDescent="0.35">
      <c r="R212" s="1214"/>
      <c r="S212" s="1214"/>
      <c r="W212" s="1214"/>
      <c r="X212" s="1214"/>
      <c r="AE212" s="1214"/>
      <c r="AF212" s="1214"/>
      <c r="AV212" s="1214"/>
      <c r="AW212" s="1214"/>
      <c r="AX212" s="1214"/>
      <c r="AY212" s="1214"/>
      <c r="AZ212" s="1214"/>
      <c r="BA212" s="1214"/>
      <c r="BC212" s="1214"/>
      <c r="BE212" s="1214"/>
      <c r="BF212" s="1214"/>
      <c r="BG212" s="1214"/>
    </row>
    <row r="213" spans="18:59" x14ac:dyDescent="0.35">
      <c r="R213" s="1214"/>
      <c r="S213" s="1214"/>
      <c r="W213" s="1214"/>
      <c r="X213" s="1214"/>
      <c r="AE213" s="1214"/>
      <c r="AF213" s="1214"/>
      <c r="AV213" s="1214"/>
      <c r="AW213" s="1214"/>
      <c r="AX213" s="1214"/>
      <c r="AY213" s="1214"/>
      <c r="AZ213" s="1214"/>
      <c r="BA213" s="1214"/>
      <c r="BC213" s="1214"/>
      <c r="BE213" s="1214"/>
      <c r="BF213" s="1214"/>
      <c r="BG213" s="1214"/>
    </row>
    <row r="214" spans="18:59" x14ac:dyDescent="0.35">
      <c r="R214" s="1214"/>
      <c r="S214" s="1214"/>
      <c r="W214" s="1214"/>
      <c r="X214" s="1214"/>
      <c r="AE214" s="1214"/>
      <c r="AF214" s="1214"/>
      <c r="AV214" s="1214"/>
      <c r="AW214" s="1214"/>
      <c r="AX214" s="1214"/>
      <c r="AY214" s="1214"/>
      <c r="AZ214" s="1214"/>
      <c r="BA214" s="1214"/>
      <c r="BC214" s="1214"/>
      <c r="BE214" s="1214"/>
      <c r="BF214" s="1214"/>
      <c r="BG214" s="1214"/>
    </row>
    <row r="215" spans="18:59" x14ac:dyDescent="0.35">
      <c r="R215" s="1214"/>
      <c r="S215" s="1214"/>
      <c r="W215" s="1214"/>
      <c r="X215" s="1214"/>
      <c r="AE215" s="1214"/>
      <c r="AF215" s="1214"/>
      <c r="AV215" s="1214"/>
      <c r="AW215" s="1214"/>
      <c r="AX215" s="1214"/>
      <c r="AY215" s="1214"/>
      <c r="AZ215" s="1214"/>
      <c r="BA215" s="1214"/>
      <c r="BC215" s="1214"/>
      <c r="BE215" s="1214"/>
      <c r="BF215" s="1214"/>
      <c r="BG215" s="1214"/>
    </row>
    <row r="216" spans="18:59" x14ac:dyDescent="0.35">
      <c r="R216" s="1214"/>
      <c r="S216" s="1214"/>
      <c r="W216" s="1214"/>
      <c r="X216" s="1214"/>
      <c r="AE216" s="1214"/>
      <c r="AF216" s="1214"/>
      <c r="AV216" s="1214"/>
      <c r="AW216" s="1214"/>
      <c r="AX216" s="1214"/>
      <c r="AY216" s="1214"/>
      <c r="AZ216" s="1214"/>
      <c r="BA216" s="1214"/>
      <c r="BC216" s="1214"/>
      <c r="BE216" s="1214"/>
      <c r="BF216" s="1214"/>
      <c r="BG216" s="1214"/>
    </row>
    <row r="217" spans="18:59" x14ac:dyDescent="0.35">
      <c r="R217" s="1214"/>
      <c r="S217" s="1214"/>
      <c r="W217" s="1214"/>
      <c r="X217" s="1214"/>
      <c r="AE217" s="1214"/>
      <c r="AF217" s="1214"/>
      <c r="AV217" s="1214"/>
      <c r="AW217" s="1214"/>
      <c r="AX217" s="1214"/>
      <c r="AY217" s="1214"/>
      <c r="AZ217" s="1214"/>
      <c r="BA217" s="1214"/>
      <c r="BC217" s="1214"/>
      <c r="BE217" s="1214"/>
      <c r="BF217" s="1214"/>
      <c r="BG217" s="1214"/>
    </row>
    <row r="218" spans="18:59" x14ac:dyDescent="0.35">
      <c r="R218" s="1214"/>
      <c r="S218" s="1214"/>
      <c r="W218" s="1214"/>
      <c r="X218" s="1214"/>
      <c r="AE218" s="1214"/>
      <c r="AF218" s="1214"/>
      <c r="AV218" s="1214"/>
      <c r="AW218" s="1214"/>
      <c r="AX218" s="1214"/>
      <c r="AY218" s="1214"/>
      <c r="AZ218" s="1214"/>
      <c r="BA218" s="1214"/>
      <c r="BC218" s="1214"/>
      <c r="BE218" s="1214"/>
      <c r="BF218" s="1214"/>
      <c r="BG218" s="1214"/>
    </row>
    <row r="219" spans="18:59" x14ac:dyDescent="0.35">
      <c r="R219" s="1214"/>
      <c r="S219" s="1214"/>
      <c r="W219" s="1214"/>
      <c r="X219" s="1214"/>
      <c r="AE219" s="1214"/>
      <c r="AF219" s="1214"/>
      <c r="AV219" s="1214"/>
      <c r="AW219" s="1214"/>
      <c r="AX219" s="1214"/>
      <c r="AY219" s="1214"/>
      <c r="AZ219" s="1214"/>
      <c r="BA219" s="1214"/>
      <c r="BC219" s="1214"/>
      <c r="BE219" s="1214"/>
      <c r="BF219" s="1214"/>
      <c r="BG219" s="1214"/>
    </row>
    <row r="220" spans="18:59" x14ac:dyDescent="0.35">
      <c r="R220" s="1214"/>
      <c r="S220" s="1214"/>
      <c r="W220" s="1214"/>
      <c r="X220" s="1214"/>
      <c r="AE220" s="1214"/>
      <c r="AF220" s="1214"/>
      <c r="AV220" s="1214"/>
      <c r="AW220" s="1214"/>
      <c r="AX220" s="1214"/>
      <c r="AY220" s="1214"/>
      <c r="AZ220" s="1214"/>
      <c r="BA220" s="1214"/>
      <c r="BC220" s="1214"/>
      <c r="BE220" s="1214"/>
      <c r="BF220" s="1214"/>
      <c r="BG220" s="1214"/>
    </row>
    <row r="221" spans="18:59" x14ac:dyDescent="0.35">
      <c r="R221" s="1214"/>
      <c r="S221" s="1214"/>
      <c r="W221" s="1214"/>
      <c r="X221" s="1214"/>
      <c r="AE221" s="1214"/>
      <c r="AF221" s="1214"/>
      <c r="AV221" s="1214"/>
      <c r="AW221" s="1214"/>
      <c r="AX221" s="1214"/>
      <c r="AY221" s="1214"/>
      <c r="AZ221" s="1214"/>
      <c r="BA221" s="1214"/>
      <c r="BC221" s="1214"/>
      <c r="BE221" s="1214"/>
      <c r="BF221" s="1214"/>
      <c r="BG221" s="1214"/>
    </row>
    <row r="222" spans="18:59" x14ac:dyDescent="0.35">
      <c r="R222" s="1214"/>
      <c r="S222" s="1214"/>
      <c r="W222" s="1214"/>
      <c r="X222" s="1214"/>
      <c r="AE222" s="1214"/>
      <c r="AF222" s="1214"/>
      <c r="AV222" s="1214"/>
      <c r="AW222" s="1214"/>
      <c r="AX222" s="1214"/>
      <c r="AY222" s="1214"/>
      <c r="AZ222" s="1214"/>
      <c r="BA222" s="1214"/>
      <c r="BC222" s="1214"/>
      <c r="BE222" s="1214"/>
      <c r="BF222" s="1214"/>
      <c r="BG222" s="1214"/>
    </row>
    <row r="223" spans="18:59" x14ac:dyDescent="0.35">
      <c r="R223" s="1214"/>
      <c r="S223" s="1214"/>
      <c r="W223" s="1214"/>
      <c r="X223" s="1214"/>
      <c r="AE223" s="1214"/>
      <c r="AF223" s="1214"/>
      <c r="AV223" s="1214"/>
      <c r="AW223" s="1214"/>
      <c r="AX223" s="1214"/>
      <c r="AY223" s="1214"/>
      <c r="AZ223" s="1214"/>
      <c r="BA223" s="1214"/>
      <c r="BC223" s="1214"/>
      <c r="BE223" s="1214"/>
      <c r="BF223" s="1214"/>
      <c r="BG223" s="1214"/>
    </row>
    <row r="224" spans="18:59" x14ac:dyDescent="0.35">
      <c r="R224" s="1214"/>
      <c r="S224" s="1214"/>
      <c r="W224" s="1214"/>
      <c r="X224" s="1214"/>
      <c r="AE224" s="1214"/>
      <c r="AF224" s="1214"/>
      <c r="AV224" s="1214"/>
      <c r="AW224" s="1214"/>
      <c r="AX224" s="1214"/>
      <c r="AY224" s="1214"/>
      <c r="AZ224" s="1214"/>
      <c r="BA224" s="1214"/>
      <c r="BC224" s="1214"/>
      <c r="BE224" s="1214"/>
      <c r="BF224" s="1214"/>
      <c r="BG224" s="1214"/>
    </row>
    <row r="225" spans="18:59" x14ac:dyDescent="0.35">
      <c r="R225" s="1214"/>
      <c r="S225" s="1214"/>
      <c r="W225" s="1214"/>
      <c r="X225" s="1214"/>
      <c r="AE225" s="1214"/>
      <c r="AF225" s="1214"/>
      <c r="AV225" s="1214"/>
      <c r="AW225" s="1214"/>
      <c r="AX225" s="1214"/>
      <c r="AY225" s="1214"/>
      <c r="AZ225" s="1214"/>
      <c r="BA225" s="1214"/>
      <c r="BC225" s="1214"/>
      <c r="BE225" s="1214"/>
      <c r="BF225" s="1214"/>
      <c r="BG225" s="1214"/>
    </row>
    <row r="226" spans="18:59" x14ac:dyDescent="0.35">
      <c r="R226" s="1214"/>
      <c r="S226" s="1214"/>
      <c r="W226" s="1214"/>
      <c r="X226" s="1214"/>
      <c r="AE226" s="1214"/>
      <c r="AF226" s="1214"/>
      <c r="AV226" s="1214"/>
      <c r="AW226" s="1214"/>
      <c r="AX226" s="1214"/>
      <c r="AY226" s="1214"/>
      <c r="AZ226" s="1214"/>
      <c r="BA226" s="1214"/>
      <c r="BC226" s="1214"/>
      <c r="BE226" s="1214"/>
      <c r="BF226" s="1214"/>
      <c r="BG226" s="1214"/>
    </row>
    <row r="227" spans="18:59" x14ac:dyDescent="0.35">
      <c r="R227" s="1214"/>
      <c r="S227" s="1214"/>
      <c r="W227" s="1214"/>
      <c r="X227" s="1214"/>
      <c r="AE227" s="1214"/>
      <c r="AF227" s="1214"/>
      <c r="AV227" s="1214"/>
      <c r="AW227" s="1214"/>
      <c r="AX227" s="1214"/>
      <c r="AY227" s="1214"/>
      <c r="AZ227" s="1214"/>
      <c r="BA227" s="1214"/>
      <c r="BC227" s="1214"/>
      <c r="BE227" s="1214"/>
      <c r="BF227" s="1214"/>
      <c r="BG227" s="1214"/>
    </row>
    <row r="228" spans="18:59" x14ac:dyDescent="0.35">
      <c r="R228" s="1214"/>
      <c r="S228" s="1214"/>
      <c r="W228" s="1214"/>
      <c r="X228" s="1214"/>
      <c r="AE228" s="1214"/>
      <c r="AF228" s="1214"/>
      <c r="AV228" s="1214"/>
      <c r="AW228" s="1214"/>
      <c r="AX228" s="1214"/>
      <c r="AY228" s="1214"/>
      <c r="AZ228" s="1214"/>
      <c r="BA228" s="1214"/>
      <c r="BC228" s="1214"/>
      <c r="BE228" s="1214"/>
      <c r="BF228" s="1214"/>
      <c r="BG228" s="1214"/>
    </row>
    <row r="229" spans="18:59" x14ac:dyDescent="0.35">
      <c r="R229" s="1214"/>
      <c r="S229" s="1214"/>
      <c r="W229" s="1214"/>
      <c r="X229" s="1214"/>
      <c r="AE229" s="1214"/>
      <c r="AF229" s="1214"/>
      <c r="AV229" s="1214"/>
      <c r="AW229" s="1214"/>
      <c r="AX229" s="1214"/>
      <c r="AY229" s="1214"/>
      <c r="AZ229" s="1214"/>
      <c r="BA229" s="1214"/>
      <c r="BC229" s="1214"/>
      <c r="BE229" s="1214"/>
      <c r="BF229" s="1214"/>
      <c r="BG229" s="1214"/>
    </row>
    <row r="230" spans="18:59" x14ac:dyDescent="0.35">
      <c r="R230" s="1214"/>
      <c r="S230" s="1214"/>
      <c r="W230" s="1214"/>
      <c r="X230" s="1214"/>
      <c r="AE230" s="1214"/>
      <c r="AF230" s="1214"/>
      <c r="AV230" s="1214"/>
      <c r="AW230" s="1214"/>
      <c r="AX230" s="1214"/>
      <c r="AY230" s="1214"/>
      <c r="AZ230" s="1214"/>
      <c r="BA230" s="1214"/>
      <c r="BC230" s="1214"/>
      <c r="BE230" s="1214"/>
      <c r="BF230" s="1214"/>
      <c r="BG230" s="1214"/>
    </row>
    <row r="231" spans="18:59" x14ac:dyDescent="0.35">
      <c r="R231" s="1214"/>
      <c r="S231" s="1214"/>
      <c r="W231" s="1214"/>
      <c r="X231" s="1214"/>
      <c r="AE231" s="1214"/>
      <c r="AF231" s="1214"/>
      <c r="AV231" s="1214"/>
      <c r="AW231" s="1214"/>
      <c r="AX231" s="1214"/>
      <c r="AY231" s="1214"/>
      <c r="AZ231" s="1214"/>
      <c r="BA231" s="1214"/>
      <c r="BC231" s="1214"/>
      <c r="BE231" s="1214"/>
      <c r="BF231" s="1214"/>
      <c r="BG231" s="1214"/>
    </row>
    <row r="232" spans="18:59" x14ac:dyDescent="0.35">
      <c r="R232" s="1214"/>
      <c r="S232" s="1214"/>
      <c r="W232" s="1214"/>
      <c r="X232" s="1214"/>
      <c r="AE232" s="1214"/>
      <c r="AF232" s="1214"/>
      <c r="AV232" s="1214"/>
      <c r="AW232" s="1214"/>
      <c r="AX232" s="1214"/>
      <c r="AY232" s="1214"/>
      <c r="AZ232" s="1214"/>
      <c r="BA232" s="1214"/>
      <c r="BC232" s="1214"/>
      <c r="BE232" s="1214"/>
      <c r="BF232" s="1214"/>
      <c r="BG232" s="1214"/>
    </row>
    <row r="233" spans="18:59" x14ac:dyDescent="0.35">
      <c r="R233" s="1214"/>
      <c r="S233" s="1214"/>
      <c r="W233" s="1214"/>
      <c r="X233" s="1214"/>
      <c r="AE233" s="1214"/>
      <c r="AF233" s="1214"/>
      <c r="AV233" s="1214"/>
      <c r="AW233" s="1214"/>
      <c r="AX233" s="1214"/>
      <c r="AY233" s="1214"/>
      <c r="AZ233" s="1214"/>
      <c r="BA233" s="1214"/>
      <c r="BC233" s="1214"/>
      <c r="BE233" s="1214"/>
      <c r="BF233" s="1214"/>
      <c r="BG233" s="1214"/>
    </row>
    <row r="234" spans="18:59" x14ac:dyDescent="0.35">
      <c r="R234" s="1214"/>
      <c r="S234" s="1214"/>
      <c r="W234" s="1214"/>
      <c r="X234" s="1214"/>
      <c r="AE234" s="1214"/>
      <c r="AF234" s="1214"/>
      <c r="AV234" s="1214"/>
      <c r="AW234" s="1214"/>
      <c r="AX234" s="1214"/>
      <c r="AY234" s="1214"/>
      <c r="AZ234" s="1214"/>
      <c r="BA234" s="1214"/>
      <c r="BC234" s="1214"/>
      <c r="BE234" s="1214"/>
      <c r="BF234" s="1214"/>
      <c r="BG234" s="1214"/>
    </row>
    <row r="235" spans="18:59" x14ac:dyDescent="0.35">
      <c r="R235" s="1214"/>
      <c r="S235" s="1214"/>
      <c r="W235" s="1214"/>
      <c r="X235" s="1214"/>
      <c r="AE235" s="1214"/>
      <c r="AF235" s="1214"/>
      <c r="AV235" s="1214"/>
      <c r="AW235" s="1214"/>
      <c r="AX235" s="1214"/>
      <c r="AY235" s="1214"/>
      <c r="AZ235" s="1214"/>
      <c r="BA235" s="1214"/>
      <c r="BC235" s="1214"/>
      <c r="BE235" s="1214"/>
      <c r="BF235" s="1214"/>
      <c r="BG235" s="1214"/>
    </row>
    <row r="236" spans="18:59" x14ac:dyDescent="0.35">
      <c r="R236" s="1214"/>
      <c r="S236" s="1214"/>
      <c r="W236" s="1214"/>
      <c r="X236" s="1214"/>
      <c r="AE236" s="1214"/>
      <c r="AF236" s="1214"/>
      <c r="AV236" s="1214"/>
      <c r="AW236" s="1214"/>
      <c r="AX236" s="1214"/>
      <c r="AY236" s="1214"/>
      <c r="AZ236" s="1214"/>
      <c r="BA236" s="1214"/>
      <c r="BC236" s="1214"/>
      <c r="BE236" s="1214"/>
      <c r="BF236" s="1214"/>
      <c r="BG236" s="1214"/>
    </row>
    <row r="237" spans="18:59" x14ac:dyDescent="0.35">
      <c r="R237" s="1214"/>
      <c r="S237" s="1214"/>
      <c r="W237" s="1214"/>
      <c r="X237" s="1214"/>
      <c r="AE237" s="1214"/>
      <c r="AF237" s="1214"/>
      <c r="AV237" s="1214"/>
      <c r="AW237" s="1214"/>
      <c r="AX237" s="1214"/>
      <c r="AY237" s="1214"/>
      <c r="AZ237" s="1214"/>
      <c r="BA237" s="1214"/>
      <c r="BC237" s="1214"/>
      <c r="BE237" s="1214"/>
      <c r="BF237" s="1214"/>
      <c r="BG237" s="1214"/>
    </row>
    <row r="238" spans="18:59" x14ac:dyDescent="0.35">
      <c r="R238" s="1214"/>
      <c r="S238" s="1214"/>
      <c r="W238" s="1214"/>
      <c r="X238" s="1214"/>
      <c r="AE238" s="1214"/>
      <c r="AF238" s="1214"/>
      <c r="AV238" s="1214"/>
      <c r="AW238" s="1214"/>
      <c r="AX238" s="1214"/>
      <c r="AY238" s="1214"/>
      <c r="AZ238" s="1214"/>
      <c r="BA238" s="1214"/>
      <c r="BC238" s="1214"/>
      <c r="BE238" s="1214"/>
      <c r="BF238" s="1214"/>
      <c r="BG238" s="1214"/>
    </row>
    <row r="239" spans="18:59" x14ac:dyDescent="0.35">
      <c r="R239" s="1214"/>
      <c r="S239" s="1214"/>
      <c r="W239" s="1214"/>
      <c r="X239" s="1214"/>
      <c r="AE239" s="1214"/>
      <c r="AF239" s="1214"/>
      <c r="AV239" s="1214"/>
      <c r="AW239" s="1214"/>
      <c r="AX239" s="1214"/>
      <c r="AY239" s="1214"/>
      <c r="AZ239" s="1214"/>
      <c r="BA239" s="1214"/>
      <c r="BC239" s="1214"/>
      <c r="BE239" s="1214"/>
      <c r="BF239" s="1214"/>
      <c r="BG239" s="1214"/>
    </row>
    <row r="240" spans="18:59" x14ac:dyDescent="0.35">
      <c r="R240" s="1214"/>
      <c r="S240" s="1214"/>
      <c r="W240" s="1214"/>
      <c r="X240" s="1214"/>
      <c r="AE240" s="1214"/>
      <c r="AF240" s="1214"/>
      <c r="AV240" s="1214"/>
      <c r="AW240" s="1214"/>
      <c r="AX240" s="1214"/>
      <c r="AY240" s="1214"/>
      <c r="AZ240" s="1214"/>
      <c r="BA240" s="1214"/>
      <c r="BC240" s="1214"/>
      <c r="BE240" s="1214"/>
      <c r="BF240" s="1214"/>
      <c r="BG240" s="1214"/>
    </row>
    <row r="241" spans="18:59" x14ac:dyDescent="0.35">
      <c r="R241" s="1214"/>
      <c r="S241" s="1214"/>
      <c r="W241" s="1214"/>
      <c r="X241" s="1214"/>
      <c r="AE241" s="1214"/>
      <c r="AF241" s="1214"/>
      <c r="AV241" s="1214"/>
      <c r="AW241" s="1214"/>
      <c r="AX241" s="1214"/>
      <c r="AY241" s="1214"/>
      <c r="AZ241" s="1214"/>
      <c r="BA241" s="1214"/>
      <c r="BC241" s="1214"/>
      <c r="BE241" s="1214"/>
      <c r="BF241" s="1214"/>
      <c r="BG241" s="1214"/>
    </row>
    <row r="242" spans="18:59" x14ac:dyDescent="0.35">
      <c r="R242" s="1214"/>
      <c r="S242" s="1214"/>
      <c r="W242" s="1214"/>
      <c r="X242" s="1214"/>
      <c r="AE242" s="1214"/>
      <c r="AF242" s="1214"/>
      <c r="AV242" s="1214"/>
      <c r="AW242" s="1214"/>
      <c r="AX242" s="1214"/>
      <c r="AY242" s="1214"/>
      <c r="AZ242" s="1214"/>
      <c r="BA242" s="1214"/>
      <c r="BC242" s="1214"/>
      <c r="BE242" s="1214"/>
      <c r="BF242" s="1214"/>
      <c r="BG242" s="1214"/>
    </row>
    <row r="243" spans="18:59" x14ac:dyDescent="0.35">
      <c r="R243" s="1214"/>
      <c r="S243" s="1214"/>
      <c r="W243" s="1214"/>
      <c r="X243" s="1214"/>
      <c r="AE243" s="1214"/>
      <c r="AF243" s="1214"/>
      <c r="AV243" s="1214"/>
      <c r="AW243" s="1214"/>
      <c r="AX243" s="1214"/>
      <c r="AY243" s="1214"/>
      <c r="AZ243" s="1214"/>
      <c r="BA243" s="1214"/>
      <c r="BC243" s="1214"/>
      <c r="BE243" s="1214"/>
      <c r="BF243" s="1214"/>
      <c r="BG243" s="1214"/>
    </row>
    <row r="244" spans="18:59" x14ac:dyDescent="0.35">
      <c r="R244" s="1214"/>
      <c r="S244" s="1214"/>
      <c r="W244" s="1214"/>
      <c r="X244" s="1214"/>
      <c r="AE244" s="1214"/>
      <c r="AF244" s="1214"/>
      <c r="AV244" s="1214"/>
      <c r="AW244" s="1214"/>
      <c r="AX244" s="1214"/>
      <c r="AY244" s="1214"/>
      <c r="AZ244" s="1214"/>
      <c r="BA244" s="1214"/>
      <c r="BC244" s="1214"/>
      <c r="BE244" s="1214"/>
      <c r="BF244" s="1214"/>
      <c r="BG244" s="1214"/>
    </row>
    <row r="245" spans="18:59" x14ac:dyDescent="0.35">
      <c r="R245" s="1214"/>
      <c r="S245" s="1214"/>
      <c r="W245" s="1214"/>
      <c r="X245" s="1214"/>
      <c r="AE245" s="1214"/>
      <c r="AF245" s="1214"/>
      <c r="AV245" s="1214"/>
      <c r="AW245" s="1214"/>
      <c r="AX245" s="1214"/>
      <c r="AY245" s="1214"/>
      <c r="AZ245" s="1214"/>
      <c r="BA245" s="1214"/>
      <c r="BC245" s="1214"/>
      <c r="BE245" s="1214"/>
      <c r="BF245" s="1214"/>
      <c r="BG245" s="1214"/>
    </row>
    <row r="246" spans="18:59" x14ac:dyDescent="0.35">
      <c r="R246" s="1214"/>
      <c r="S246" s="1214"/>
      <c r="W246" s="1214"/>
      <c r="X246" s="1214"/>
      <c r="AE246" s="1214"/>
      <c r="AF246" s="1214"/>
      <c r="AV246" s="1214"/>
      <c r="AW246" s="1214"/>
      <c r="AX246" s="1214"/>
      <c r="AY246" s="1214"/>
      <c r="AZ246" s="1214"/>
      <c r="BA246" s="1214"/>
      <c r="BC246" s="1214"/>
      <c r="BE246" s="1214"/>
      <c r="BF246" s="1214"/>
      <c r="BG246" s="1214"/>
    </row>
    <row r="247" spans="18:59" x14ac:dyDescent="0.35">
      <c r="R247" s="1214"/>
      <c r="S247" s="1214"/>
      <c r="W247" s="1214"/>
      <c r="X247" s="1214"/>
      <c r="AE247" s="1214"/>
      <c r="AF247" s="1214"/>
      <c r="AV247" s="1214"/>
      <c r="AW247" s="1214"/>
      <c r="AX247" s="1214"/>
      <c r="AY247" s="1214"/>
      <c r="AZ247" s="1214"/>
      <c r="BA247" s="1214"/>
      <c r="BC247" s="1214"/>
      <c r="BE247" s="1214"/>
      <c r="BF247" s="1214"/>
      <c r="BG247" s="1214"/>
    </row>
    <row r="248" spans="18:59" x14ac:dyDescent="0.35">
      <c r="R248" s="1214"/>
      <c r="S248" s="1214"/>
      <c r="W248" s="1214"/>
      <c r="X248" s="1214"/>
      <c r="AE248" s="1214"/>
      <c r="AF248" s="1214"/>
      <c r="AV248" s="1214"/>
      <c r="AW248" s="1214"/>
      <c r="AX248" s="1214"/>
      <c r="AY248" s="1214"/>
      <c r="AZ248" s="1214"/>
      <c r="BA248" s="1214"/>
      <c r="BC248" s="1214"/>
      <c r="BE248" s="1214"/>
      <c r="BF248" s="1214"/>
      <c r="BG248" s="1214"/>
    </row>
    <row r="249" spans="18:59" x14ac:dyDescent="0.35">
      <c r="R249" s="1214"/>
      <c r="S249" s="1214"/>
      <c r="W249" s="1214"/>
      <c r="X249" s="1214"/>
      <c r="AE249" s="1214"/>
      <c r="AF249" s="1214"/>
      <c r="AV249" s="1214"/>
      <c r="AW249" s="1214"/>
      <c r="AX249" s="1214"/>
      <c r="AY249" s="1214"/>
      <c r="AZ249" s="1214"/>
      <c r="BA249" s="1214"/>
      <c r="BC249" s="1214"/>
      <c r="BE249" s="1214"/>
      <c r="BF249" s="1214"/>
      <c r="BG249" s="1214"/>
    </row>
    <row r="250" spans="18:59" x14ac:dyDescent="0.35">
      <c r="R250" s="1214"/>
      <c r="S250" s="1214"/>
      <c r="W250" s="1214"/>
      <c r="X250" s="1214"/>
      <c r="AE250" s="1214"/>
      <c r="AF250" s="1214"/>
      <c r="AV250" s="1214"/>
      <c r="AW250" s="1214"/>
      <c r="AX250" s="1214"/>
      <c r="AY250" s="1214"/>
      <c r="AZ250" s="1214"/>
      <c r="BA250" s="1214"/>
      <c r="BC250" s="1214"/>
      <c r="BE250" s="1214"/>
      <c r="BF250" s="1214"/>
      <c r="BG250" s="1214"/>
    </row>
    <row r="251" spans="18:59" x14ac:dyDescent="0.35">
      <c r="R251" s="1214"/>
      <c r="S251" s="1214"/>
      <c r="W251" s="1214"/>
      <c r="X251" s="1214"/>
      <c r="AE251" s="1214"/>
      <c r="AF251" s="1214"/>
      <c r="AV251" s="1214"/>
      <c r="AW251" s="1214"/>
      <c r="AX251" s="1214"/>
      <c r="AY251" s="1214"/>
      <c r="AZ251" s="1214"/>
      <c r="BA251" s="1214"/>
      <c r="BC251" s="1214"/>
      <c r="BE251" s="1214"/>
      <c r="BF251" s="1214"/>
      <c r="BG251" s="1214"/>
    </row>
    <row r="252" spans="18:59" x14ac:dyDescent="0.35">
      <c r="R252" s="1214"/>
      <c r="S252" s="1214"/>
      <c r="W252" s="1214"/>
      <c r="X252" s="1214"/>
      <c r="AE252" s="1214"/>
      <c r="AF252" s="1214"/>
      <c r="AV252" s="1214"/>
      <c r="AW252" s="1214"/>
      <c r="AX252" s="1214"/>
      <c r="AY252" s="1214"/>
      <c r="AZ252" s="1214"/>
      <c r="BA252" s="1214"/>
      <c r="BC252" s="1214"/>
      <c r="BE252" s="1214"/>
      <c r="BF252" s="1214"/>
      <c r="BG252" s="1214"/>
    </row>
    <row r="253" spans="18:59" x14ac:dyDescent="0.35">
      <c r="R253" s="1214"/>
      <c r="S253" s="1214"/>
      <c r="W253" s="1214"/>
      <c r="X253" s="1214"/>
      <c r="AE253" s="1214"/>
      <c r="AF253" s="1214"/>
      <c r="AV253" s="1214"/>
      <c r="AW253" s="1214"/>
      <c r="AX253" s="1214"/>
      <c r="AY253" s="1214"/>
      <c r="AZ253" s="1214"/>
      <c r="BA253" s="1214"/>
      <c r="BC253" s="1214"/>
      <c r="BE253" s="1214"/>
      <c r="BF253" s="1214"/>
      <c r="BG253" s="1214"/>
    </row>
    <row r="254" spans="18:59" x14ac:dyDescent="0.35">
      <c r="R254" s="1214"/>
      <c r="S254" s="1214"/>
      <c r="W254" s="1214"/>
      <c r="X254" s="1214"/>
      <c r="AE254" s="1214"/>
      <c r="AF254" s="1214"/>
      <c r="AV254" s="1214"/>
      <c r="AW254" s="1214"/>
      <c r="AX254" s="1214"/>
      <c r="AY254" s="1214"/>
      <c r="AZ254" s="1214"/>
      <c r="BA254" s="1214"/>
      <c r="BC254" s="1214"/>
      <c r="BE254" s="1214"/>
      <c r="BF254" s="1214"/>
      <c r="BG254" s="1214"/>
    </row>
    <row r="255" spans="18:59" x14ac:dyDescent="0.35">
      <c r="R255" s="1214"/>
      <c r="S255" s="1214"/>
      <c r="W255" s="1214"/>
      <c r="X255" s="1214"/>
      <c r="AE255" s="1214"/>
      <c r="AF255" s="1214"/>
      <c r="AV255" s="1214"/>
      <c r="AW255" s="1214"/>
      <c r="AX255" s="1214"/>
      <c r="AY255" s="1214"/>
      <c r="AZ255" s="1214"/>
      <c r="BA255" s="1214"/>
      <c r="BC255" s="1214"/>
      <c r="BE255" s="1214"/>
      <c r="BF255" s="1214"/>
      <c r="BG255" s="1214"/>
    </row>
    <row r="256" spans="18:59" x14ac:dyDescent="0.35">
      <c r="R256" s="1214"/>
      <c r="S256" s="1214"/>
      <c r="W256" s="1214"/>
      <c r="X256" s="1214"/>
      <c r="AE256" s="1214"/>
      <c r="AF256" s="1214"/>
      <c r="AV256" s="1214"/>
      <c r="AW256" s="1214"/>
      <c r="AX256" s="1214"/>
      <c r="AY256" s="1214"/>
      <c r="AZ256" s="1214"/>
      <c r="BA256" s="1214"/>
      <c r="BC256" s="1214"/>
      <c r="BE256" s="1214"/>
      <c r="BF256" s="1214"/>
      <c r="BG256" s="1214"/>
    </row>
    <row r="257" spans="18:59" x14ac:dyDescent="0.35">
      <c r="R257" s="1214"/>
      <c r="S257" s="1214"/>
      <c r="W257" s="1214"/>
      <c r="X257" s="1214"/>
      <c r="AE257" s="1214"/>
      <c r="AF257" s="1214"/>
      <c r="AV257" s="1214"/>
      <c r="AW257" s="1214"/>
      <c r="AX257" s="1214"/>
      <c r="AY257" s="1214"/>
      <c r="AZ257" s="1214"/>
      <c r="BA257" s="1214"/>
      <c r="BC257" s="1214"/>
      <c r="BE257" s="1214"/>
      <c r="BF257" s="1214"/>
      <c r="BG257" s="1214"/>
    </row>
    <row r="258" spans="18:59" x14ac:dyDescent="0.35">
      <c r="R258" s="1214"/>
      <c r="S258" s="1214"/>
      <c r="W258" s="1214"/>
      <c r="X258" s="1214"/>
      <c r="AE258" s="1214"/>
      <c r="AF258" s="1214"/>
      <c r="AV258" s="1214"/>
      <c r="AW258" s="1214"/>
      <c r="AX258" s="1214"/>
      <c r="AY258" s="1214"/>
      <c r="AZ258" s="1214"/>
      <c r="BA258" s="1214"/>
      <c r="BC258" s="1214"/>
      <c r="BE258" s="1214"/>
      <c r="BF258" s="1214"/>
      <c r="BG258" s="1214"/>
    </row>
    <row r="259" spans="18:59" x14ac:dyDescent="0.35">
      <c r="R259" s="1214"/>
      <c r="S259" s="1214"/>
      <c r="W259" s="1214"/>
      <c r="X259" s="1214"/>
      <c r="AE259" s="1214"/>
      <c r="AF259" s="1214"/>
      <c r="AV259" s="1214"/>
      <c r="AW259" s="1214"/>
      <c r="AX259" s="1214"/>
      <c r="AY259" s="1214"/>
      <c r="AZ259" s="1214"/>
      <c r="BA259" s="1214"/>
      <c r="BC259" s="1214"/>
      <c r="BE259" s="1214"/>
      <c r="BF259" s="1214"/>
      <c r="BG259" s="1214"/>
    </row>
    <row r="260" spans="18:59" x14ac:dyDescent="0.35">
      <c r="R260" s="1214"/>
      <c r="S260" s="1214"/>
      <c r="W260" s="1214"/>
      <c r="X260" s="1214"/>
      <c r="AE260" s="1214"/>
      <c r="AF260" s="1214"/>
      <c r="AV260" s="1214"/>
      <c r="AW260" s="1214"/>
      <c r="AX260" s="1214"/>
      <c r="AY260" s="1214"/>
      <c r="AZ260" s="1214"/>
      <c r="BA260" s="1214"/>
      <c r="BC260" s="1214"/>
      <c r="BE260" s="1214"/>
      <c r="BF260" s="1214"/>
      <c r="BG260" s="1214"/>
    </row>
    <row r="261" spans="18:59" x14ac:dyDescent="0.35">
      <c r="R261" s="1214"/>
      <c r="S261" s="1214"/>
      <c r="W261" s="1214"/>
      <c r="X261" s="1214"/>
      <c r="AE261" s="1214"/>
      <c r="AF261" s="1214"/>
      <c r="AV261" s="1214"/>
      <c r="AW261" s="1214"/>
      <c r="AX261" s="1214"/>
      <c r="AY261" s="1214"/>
      <c r="AZ261" s="1214"/>
      <c r="BA261" s="1214"/>
      <c r="BC261" s="1214"/>
      <c r="BE261" s="1214"/>
      <c r="BF261" s="1214"/>
      <c r="BG261" s="1214"/>
    </row>
    <row r="262" spans="18:59" x14ac:dyDescent="0.35">
      <c r="R262" s="1214"/>
      <c r="S262" s="1214"/>
      <c r="W262" s="1214"/>
      <c r="X262" s="1214"/>
      <c r="AE262" s="1214"/>
      <c r="AF262" s="1214"/>
      <c r="AV262" s="1214"/>
      <c r="AW262" s="1214"/>
      <c r="AX262" s="1214"/>
      <c r="AY262" s="1214"/>
      <c r="AZ262" s="1214"/>
      <c r="BA262" s="1214"/>
      <c r="BC262" s="1214"/>
      <c r="BE262" s="1214"/>
      <c r="BF262" s="1214"/>
      <c r="BG262" s="1214"/>
    </row>
    <row r="263" spans="18:59" x14ac:dyDescent="0.35">
      <c r="R263" s="1214"/>
      <c r="S263" s="1214"/>
      <c r="W263" s="1214"/>
      <c r="X263" s="1214"/>
      <c r="AE263" s="1214"/>
      <c r="AF263" s="1214"/>
      <c r="AV263" s="1214"/>
      <c r="AW263" s="1214"/>
      <c r="AX263" s="1214"/>
      <c r="AY263" s="1214"/>
      <c r="AZ263" s="1214"/>
      <c r="BA263" s="1214"/>
      <c r="BC263" s="1214"/>
      <c r="BE263" s="1214"/>
      <c r="BF263" s="1214"/>
      <c r="BG263" s="1214"/>
    </row>
    <row r="264" spans="18:59" x14ac:dyDescent="0.35">
      <c r="R264" s="1214"/>
      <c r="S264" s="1214"/>
      <c r="W264" s="1214"/>
      <c r="X264" s="1214"/>
      <c r="AE264" s="1214"/>
      <c r="AF264" s="1214"/>
      <c r="AV264" s="1214"/>
      <c r="AW264" s="1214"/>
      <c r="AX264" s="1214"/>
      <c r="AY264" s="1214"/>
      <c r="AZ264" s="1214"/>
      <c r="BA264" s="1214"/>
      <c r="BC264" s="1214"/>
      <c r="BE264" s="1214"/>
      <c r="BF264" s="1214"/>
      <c r="BG264" s="1214"/>
    </row>
    <row r="265" spans="18:59" x14ac:dyDescent="0.35">
      <c r="R265" s="1214"/>
      <c r="S265" s="1214"/>
      <c r="W265" s="1214"/>
      <c r="X265" s="1214"/>
      <c r="AE265" s="1214"/>
      <c r="AF265" s="1214"/>
      <c r="AV265" s="1214"/>
      <c r="AW265" s="1214"/>
      <c r="AX265" s="1214"/>
      <c r="AY265" s="1214"/>
      <c r="AZ265" s="1214"/>
      <c r="BA265" s="1214"/>
      <c r="BC265" s="1214"/>
      <c r="BE265" s="1214"/>
      <c r="BF265" s="1214"/>
      <c r="BG265" s="1214"/>
    </row>
    <row r="266" spans="18:59" x14ac:dyDescent="0.35">
      <c r="R266" s="1214"/>
      <c r="S266" s="1214"/>
      <c r="W266" s="1214"/>
      <c r="X266" s="1214"/>
      <c r="AE266" s="1214"/>
      <c r="AF266" s="1214"/>
      <c r="AV266" s="1214"/>
      <c r="AW266" s="1214"/>
      <c r="AX266" s="1214"/>
      <c r="AY266" s="1214"/>
      <c r="AZ266" s="1214"/>
      <c r="BA266" s="1214"/>
      <c r="BC266" s="1214"/>
      <c r="BE266" s="1214"/>
      <c r="BF266" s="1214"/>
      <c r="BG266" s="1214"/>
    </row>
    <row r="267" spans="18:59" x14ac:dyDescent="0.35">
      <c r="R267" s="1214"/>
      <c r="S267" s="1214"/>
      <c r="W267" s="1214"/>
      <c r="X267" s="1214"/>
      <c r="AE267" s="1214"/>
      <c r="AF267" s="1214"/>
      <c r="AV267" s="1214"/>
      <c r="AW267" s="1214"/>
      <c r="AX267" s="1214"/>
      <c r="AY267" s="1214"/>
      <c r="AZ267" s="1214"/>
      <c r="BA267" s="1214"/>
      <c r="BC267" s="1214"/>
      <c r="BE267" s="1214"/>
      <c r="BF267" s="1214"/>
      <c r="BG267" s="1214"/>
    </row>
    <row r="268" spans="18:59" x14ac:dyDescent="0.35">
      <c r="R268" s="1214"/>
      <c r="S268" s="1214"/>
      <c r="W268" s="1214"/>
      <c r="X268" s="1214"/>
      <c r="AE268" s="1214"/>
      <c r="AF268" s="1214"/>
      <c r="AV268" s="1214"/>
      <c r="AW268" s="1214"/>
      <c r="AX268" s="1214"/>
      <c r="AY268" s="1214"/>
      <c r="AZ268" s="1214"/>
      <c r="BA268" s="1214"/>
      <c r="BC268" s="1214"/>
      <c r="BE268" s="1214"/>
      <c r="BF268" s="1214"/>
      <c r="BG268" s="1214"/>
    </row>
    <row r="269" spans="18:59" x14ac:dyDescent="0.35">
      <c r="R269" s="1214"/>
      <c r="S269" s="1214"/>
      <c r="W269" s="1214"/>
      <c r="X269" s="1214"/>
      <c r="AE269" s="1214"/>
      <c r="AF269" s="1214"/>
      <c r="AV269" s="1214"/>
      <c r="AW269" s="1214"/>
      <c r="AX269" s="1214"/>
      <c r="AY269" s="1214"/>
      <c r="AZ269" s="1214"/>
      <c r="BA269" s="1214"/>
      <c r="BC269" s="1214"/>
      <c r="BE269" s="1214"/>
      <c r="BF269" s="1214"/>
      <c r="BG269" s="1214"/>
    </row>
    <row r="270" spans="18:59" x14ac:dyDescent="0.35">
      <c r="R270" s="1214"/>
      <c r="S270" s="1214"/>
      <c r="W270" s="1214"/>
      <c r="X270" s="1214"/>
      <c r="AE270" s="1214"/>
      <c r="AF270" s="1214"/>
      <c r="AV270" s="1214"/>
      <c r="AW270" s="1214"/>
      <c r="AX270" s="1214"/>
      <c r="AY270" s="1214"/>
      <c r="AZ270" s="1214"/>
      <c r="BA270" s="1214"/>
      <c r="BC270" s="1214"/>
      <c r="BE270" s="1214"/>
      <c r="BF270" s="1214"/>
      <c r="BG270" s="1214"/>
    </row>
    <row r="271" spans="18:59" x14ac:dyDescent="0.35">
      <c r="R271" s="1214"/>
      <c r="S271" s="1214"/>
      <c r="W271" s="1214"/>
      <c r="X271" s="1214"/>
      <c r="AE271" s="1214"/>
      <c r="AF271" s="1214"/>
      <c r="AV271" s="1214"/>
      <c r="AW271" s="1214"/>
      <c r="AX271" s="1214"/>
      <c r="AY271" s="1214"/>
      <c r="AZ271" s="1214"/>
      <c r="BA271" s="1214"/>
      <c r="BC271" s="1214"/>
      <c r="BE271" s="1214"/>
      <c r="BF271" s="1214"/>
      <c r="BG271" s="1214"/>
    </row>
    <row r="272" spans="18:59" x14ac:dyDescent="0.35">
      <c r="R272" s="1214"/>
      <c r="S272" s="1214"/>
      <c r="W272" s="1214"/>
      <c r="X272" s="1214"/>
      <c r="AE272" s="1214"/>
      <c r="AF272" s="1214"/>
      <c r="AV272" s="1214"/>
      <c r="AW272" s="1214"/>
      <c r="AX272" s="1214"/>
      <c r="AY272" s="1214"/>
      <c r="AZ272" s="1214"/>
      <c r="BA272" s="1214"/>
      <c r="BC272" s="1214"/>
      <c r="BE272" s="1214"/>
      <c r="BF272" s="1214"/>
      <c r="BG272" s="1214"/>
    </row>
    <row r="273" spans="18:59" x14ac:dyDescent="0.35">
      <c r="R273" s="1214"/>
      <c r="S273" s="1214"/>
      <c r="W273" s="1214"/>
      <c r="X273" s="1214"/>
      <c r="AE273" s="1214"/>
      <c r="AF273" s="1214"/>
      <c r="AV273" s="1214"/>
      <c r="AW273" s="1214"/>
      <c r="AX273" s="1214"/>
      <c r="AY273" s="1214"/>
      <c r="AZ273" s="1214"/>
      <c r="BA273" s="1214"/>
      <c r="BC273" s="1214"/>
      <c r="BE273" s="1214"/>
      <c r="BF273" s="1214"/>
      <c r="BG273" s="1214"/>
    </row>
    <row r="274" spans="18:59" x14ac:dyDescent="0.35">
      <c r="R274" s="1214"/>
      <c r="S274" s="1214"/>
      <c r="W274" s="1214"/>
      <c r="X274" s="1214"/>
      <c r="AE274" s="1214"/>
      <c r="AF274" s="1214"/>
      <c r="AV274" s="1214"/>
      <c r="AW274" s="1214"/>
      <c r="AX274" s="1214"/>
      <c r="AY274" s="1214"/>
      <c r="AZ274" s="1214"/>
      <c r="BA274" s="1214"/>
      <c r="BC274" s="1214"/>
      <c r="BE274" s="1214"/>
      <c r="BF274" s="1214"/>
      <c r="BG274" s="1214"/>
    </row>
    <row r="275" spans="18:59" x14ac:dyDescent="0.35">
      <c r="R275" s="1214"/>
      <c r="S275" s="1214"/>
      <c r="W275" s="1214"/>
      <c r="X275" s="1214"/>
      <c r="AE275" s="1214"/>
      <c r="AF275" s="1214"/>
      <c r="AV275" s="1214"/>
      <c r="AW275" s="1214"/>
      <c r="AX275" s="1214"/>
      <c r="AY275" s="1214"/>
      <c r="AZ275" s="1214"/>
      <c r="BA275" s="1214"/>
      <c r="BC275" s="1214"/>
      <c r="BE275" s="1214"/>
      <c r="BF275" s="1214"/>
      <c r="BG275" s="1214"/>
    </row>
    <row r="276" spans="18:59" x14ac:dyDescent="0.35">
      <c r="R276" s="1214"/>
      <c r="S276" s="1214"/>
      <c r="W276" s="1214"/>
      <c r="X276" s="1214"/>
      <c r="AE276" s="1214"/>
      <c r="AF276" s="1214"/>
      <c r="AV276" s="1214"/>
      <c r="AW276" s="1214"/>
      <c r="AX276" s="1214"/>
      <c r="AY276" s="1214"/>
      <c r="AZ276" s="1214"/>
      <c r="BA276" s="1214"/>
      <c r="BC276" s="1214"/>
      <c r="BE276" s="1214"/>
      <c r="BF276" s="1214"/>
      <c r="BG276" s="1214"/>
    </row>
    <row r="277" spans="18:59" x14ac:dyDescent="0.35">
      <c r="R277" s="1214"/>
      <c r="S277" s="1214"/>
      <c r="W277" s="1214"/>
      <c r="X277" s="1214"/>
      <c r="AE277" s="1214"/>
      <c r="AF277" s="1214"/>
      <c r="AV277" s="1214"/>
      <c r="AW277" s="1214"/>
      <c r="AX277" s="1214"/>
      <c r="AY277" s="1214"/>
      <c r="AZ277" s="1214"/>
      <c r="BA277" s="1214"/>
      <c r="BC277" s="1214"/>
      <c r="BE277" s="1214"/>
      <c r="BF277" s="1214"/>
      <c r="BG277" s="1214"/>
    </row>
    <row r="278" spans="18:59" x14ac:dyDescent="0.35">
      <c r="R278" s="1214"/>
      <c r="S278" s="1214"/>
      <c r="W278" s="1214"/>
      <c r="X278" s="1214"/>
      <c r="AE278" s="1214"/>
      <c r="AF278" s="1214"/>
      <c r="AV278" s="1214"/>
      <c r="AW278" s="1214"/>
      <c r="AX278" s="1214"/>
      <c r="AY278" s="1214"/>
      <c r="AZ278" s="1214"/>
      <c r="BA278" s="1214"/>
      <c r="BC278" s="1214"/>
      <c r="BE278" s="1214"/>
      <c r="BF278" s="1214"/>
      <c r="BG278" s="1214"/>
    </row>
    <row r="279" spans="18:59" x14ac:dyDescent="0.35">
      <c r="R279" s="1214"/>
      <c r="S279" s="1214"/>
      <c r="W279" s="1214"/>
      <c r="X279" s="1214"/>
      <c r="AE279" s="1214"/>
      <c r="AF279" s="1214"/>
      <c r="AV279" s="1214"/>
      <c r="AW279" s="1214"/>
      <c r="AX279" s="1214"/>
      <c r="AY279" s="1214"/>
      <c r="AZ279" s="1214"/>
      <c r="BA279" s="1214"/>
      <c r="BC279" s="1214"/>
      <c r="BE279" s="1214"/>
      <c r="BF279" s="1214"/>
      <c r="BG279" s="1214"/>
    </row>
    <row r="280" spans="18:59" x14ac:dyDescent="0.35">
      <c r="R280" s="1214"/>
      <c r="S280" s="1214"/>
      <c r="W280" s="1214"/>
      <c r="X280" s="1214"/>
      <c r="AE280" s="1214"/>
      <c r="AF280" s="1214"/>
      <c r="AV280" s="1214"/>
      <c r="AW280" s="1214"/>
      <c r="AX280" s="1214"/>
      <c r="AY280" s="1214"/>
      <c r="AZ280" s="1214"/>
      <c r="BA280" s="1214"/>
      <c r="BC280" s="1214"/>
      <c r="BE280" s="1214"/>
      <c r="BF280" s="1214"/>
      <c r="BG280" s="1214"/>
    </row>
    <row r="281" spans="18:59" x14ac:dyDescent="0.35">
      <c r="R281" s="1214"/>
      <c r="S281" s="1214"/>
      <c r="W281" s="1214"/>
      <c r="X281" s="1214"/>
      <c r="AE281" s="1214"/>
      <c r="AF281" s="1214"/>
      <c r="AV281" s="1214"/>
      <c r="AW281" s="1214"/>
      <c r="AX281" s="1214"/>
      <c r="AY281" s="1214"/>
      <c r="AZ281" s="1214"/>
      <c r="BA281" s="1214"/>
      <c r="BC281" s="1214"/>
      <c r="BE281" s="1214"/>
      <c r="BF281" s="1214"/>
      <c r="BG281" s="1214"/>
    </row>
    <row r="282" spans="18:59" x14ac:dyDescent="0.35">
      <c r="R282" s="1214"/>
      <c r="S282" s="1214"/>
      <c r="W282" s="1214"/>
      <c r="X282" s="1214"/>
      <c r="AE282" s="1214"/>
      <c r="AF282" s="1214"/>
      <c r="AV282" s="1214"/>
      <c r="AW282" s="1214"/>
      <c r="AX282" s="1214"/>
      <c r="AY282" s="1214"/>
      <c r="AZ282" s="1214"/>
      <c r="BA282" s="1214"/>
      <c r="BC282" s="1214"/>
      <c r="BE282" s="1214"/>
      <c r="BF282" s="1214"/>
      <c r="BG282" s="1214"/>
    </row>
    <row r="283" spans="18:59" x14ac:dyDescent="0.35">
      <c r="R283" s="1214"/>
      <c r="S283" s="1214"/>
      <c r="W283" s="1214"/>
      <c r="X283" s="1214"/>
      <c r="AE283" s="1214"/>
      <c r="AF283" s="1214"/>
      <c r="AV283" s="1214"/>
      <c r="AW283" s="1214"/>
      <c r="AX283" s="1214"/>
      <c r="AY283" s="1214"/>
      <c r="AZ283" s="1214"/>
      <c r="BA283" s="1214"/>
      <c r="BC283" s="1214"/>
      <c r="BE283" s="1214"/>
      <c r="BF283" s="1214"/>
      <c r="BG283" s="1214"/>
    </row>
    <row r="284" spans="18:59" x14ac:dyDescent="0.35">
      <c r="R284" s="1214"/>
      <c r="S284" s="1214"/>
      <c r="W284" s="1214"/>
      <c r="X284" s="1214"/>
      <c r="AE284" s="1214"/>
      <c r="AF284" s="1214"/>
      <c r="AV284" s="1214"/>
      <c r="AW284" s="1214"/>
      <c r="AX284" s="1214"/>
      <c r="AY284" s="1214"/>
      <c r="AZ284" s="1214"/>
      <c r="BA284" s="1214"/>
      <c r="BC284" s="1214"/>
      <c r="BE284" s="1214"/>
      <c r="BF284" s="1214"/>
      <c r="BG284" s="1214"/>
    </row>
    <row r="285" spans="18:59" x14ac:dyDescent="0.35">
      <c r="R285" s="1214"/>
      <c r="S285" s="1214"/>
      <c r="W285" s="1214"/>
      <c r="X285" s="1214"/>
      <c r="AE285" s="1214"/>
      <c r="AF285" s="1214"/>
      <c r="AV285" s="1214"/>
      <c r="AW285" s="1214"/>
      <c r="AX285" s="1214"/>
      <c r="AY285" s="1214"/>
      <c r="AZ285" s="1214"/>
      <c r="BA285" s="1214"/>
      <c r="BC285" s="1214"/>
      <c r="BE285" s="1214"/>
      <c r="BF285" s="1214"/>
      <c r="BG285" s="1214"/>
    </row>
    <row r="286" spans="18:59" x14ac:dyDescent="0.35">
      <c r="R286" s="1214"/>
      <c r="S286" s="1214"/>
      <c r="W286" s="1214"/>
      <c r="X286" s="1214"/>
      <c r="AE286" s="1214"/>
      <c r="AF286" s="1214"/>
      <c r="AV286" s="1214"/>
      <c r="AW286" s="1214"/>
      <c r="AX286" s="1214"/>
      <c r="AY286" s="1214"/>
      <c r="AZ286" s="1214"/>
      <c r="BA286" s="1214"/>
      <c r="BC286" s="1214"/>
      <c r="BE286" s="1214"/>
      <c r="BF286" s="1214"/>
      <c r="BG286" s="1214"/>
    </row>
    <row r="287" spans="18:59" x14ac:dyDescent="0.35">
      <c r="R287" s="1214"/>
      <c r="S287" s="1214"/>
      <c r="W287" s="1214"/>
      <c r="X287" s="1214"/>
      <c r="AE287" s="1214"/>
      <c r="AF287" s="1214"/>
      <c r="AV287" s="1214"/>
      <c r="AW287" s="1214"/>
      <c r="AX287" s="1214"/>
      <c r="AY287" s="1214"/>
      <c r="AZ287" s="1214"/>
      <c r="BA287" s="1214"/>
      <c r="BC287" s="1214"/>
      <c r="BE287" s="1214"/>
      <c r="BF287" s="1214"/>
      <c r="BG287" s="1214"/>
    </row>
    <row r="288" spans="18:59" x14ac:dyDescent="0.35">
      <c r="R288" s="1214"/>
      <c r="S288" s="1214"/>
      <c r="W288" s="1214"/>
      <c r="X288" s="1214"/>
      <c r="AE288" s="1214"/>
      <c r="AF288" s="1214"/>
      <c r="AV288" s="1214"/>
      <c r="AW288" s="1214"/>
      <c r="AX288" s="1214"/>
      <c r="AY288" s="1214"/>
      <c r="AZ288" s="1214"/>
      <c r="BA288" s="1214"/>
      <c r="BC288" s="1214"/>
      <c r="BE288" s="1214"/>
      <c r="BF288" s="1214"/>
      <c r="BG288" s="1214"/>
    </row>
    <row r="289" spans="18:59" x14ac:dyDescent="0.35">
      <c r="R289" s="1214"/>
      <c r="S289" s="1214"/>
      <c r="W289" s="1214"/>
      <c r="X289" s="1214"/>
      <c r="AE289" s="1214"/>
      <c r="AF289" s="1214"/>
      <c r="AV289" s="1214"/>
      <c r="AW289" s="1214"/>
      <c r="AX289" s="1214"/>
      <c r="AY289" s="1214"/>
      <c r="AZ289" s="1214"/>
      <c r="BA289" s="1214"/>
      <c r="BC289" s="1214"/>
      <c r="BE289" s="1214"/>
      <c r="BF289" s="1214"/>
      <c r="BG289" s="1214"/>
    </row>
    <row r="290" spans="18:59" x14ac:dyDescent="0.35">
      <c r="R290" s="1214"/>
      <c r="S290" s="1214"/>
      <c r="W290" s="1214"/>
      <c r="X290" s="1214"/>
      <c r="AE290" s="1214"/>
      <c r="AF290" s="1214"/>
      <c r="AV290" s="1214"/>
      <c r="AW290" s="1214"/>
      <c r="AX290" s="1214"/>
      <c r="AY290" s="1214"/>
      <c r="AZ290" s="1214"/>
      <c r="BA290" s="1214"/>
      <c r="BC290" s="1214"/>
      <c r="BE290" s="1214"/>
      <c r="BF290" s="1214"/>
      <c r="BG290" s="1214"/>
    </row>
    <row r="291" spans="18:59" x14ac:dyDescent="0.35">
      <c r="R291" s="1214"/>
      <c r="S291" s="1214"/>
      <c r="W291" s="1214"/>
      <c r="X291" s="1214"/>
      <c r="AE291" s="1214"/>
      <c r="AF291" s="1214"/>
      <c r="AV291" s="1214"/>
      <c r="AW291" s="1214"/>
      <c r="AX291" s="1214"/>
      <c r="AY291" s="1214"/>
      <c r="AZ291" s="1214"/>
      <c r="BA291" s="1214"/>
      <c r="BC291" s="1214"/>
      <c r="BE291" s="1214"/>
      <c r="BF291" s="1214"/>
      <c r="BG291" s="1214"/>
    </row>
    <row r="292" spans="18:59" x14ac:dyDescent="0.35">
      <c r="R292" s="1214"/>
      <c r="S292" s="1214"/>
      <c r="W292" s="1214"/>
      <c r="X292" s="1214"/>
      <c r="AE292" s="1214"/>
      <c r="AF292" s="1214"/>
      <c r="AV292" s="1214"/>
      <c r="AW292" s="1214"/>
      <c r="AX292" s="1214"/>
      <c r="AY292" s="1214"/>
      <c r="AZ292" s="1214"/>
      <c r="BA292" s="1214"/>
      <c r="BC292" s="1214"/>
      <c r="BE292" s="1214"/>
      <c r="BF292" s="1214"/>
      <c r="BG292" s="1214"/>
    </row>
    <row r="293" spans="18:59" x14ac:dyDescent="0.35">
      <c r="R293" s="1214"/>
      <c r="S293" s="1214"/>
      <c r="W293" s="1214"/>
      <c r="X293" s="1214"/>
      <c r="AE293" s="1214"/>
      <c r="AF293" s="1214"/>
      <c r="AV293" s="1214"/>
      <c r="AW293" s="1214"/>
      <c r="AX293" s="1214"/>
      <c r="AY293" s="1214"/>
      <c r="AZ293" s="1214"/>
      <c r="BA293" s="1214"/>
      <c r="BC293" s="1214"/>
      <c r="BE293" s="1214"/>
      <c r="BF293" s="1214"/>
      <c r="BG293" s="1214"/>
    </row>
    <row r="294" spans="18:59" x14ac:dyDescent="0.35">
      <c r="R294" s="1214"/>
      <c r="S294" s="1214"/>
      <c r="W294" s="1214"/>
      <c r="X294" s="1214"/>
      <c r="AE294" s="1214"/>
      <c r="AF294" s="1214"/>
      <c r="AV294" s="1214"/>
      <c r="AW294" s="1214"/>
      <c r="AX294" s="1214"/>
      <c r="AY294" s="1214"/>
      <c r="AZ294" s="1214"/>
      <c r="BA294" s="1214"/>
      <c r="BC294" s="1214"/>
      <c r="BE294" s="1214"/>
      <c r="BF294" s="1214"/>
      <c r="BG294" s="1214"/>
    </row>
    <row r="295" spans="18:59" x14ac:dyDescent="0.35">
      <c r="R295" s="1214"/>
      <c r="S295" s="1214"/>
      <c r="W295" s="1214"/>
      <c r="X295" s="1214"/>
      <c r="AE295" s="1214"/>
      <c r="AF295" s="1214"/>
      <c r="AV295" s="1214"/>
      <c r="AW295" s="1214"/>
      <c r="AX295" s="1214"/>
      <c r="AY295" s="1214"/>
      <c r="AZ295" s="1214"/>
      <c r="BA295" s="1214"/>
      <c r="BC295" s="1214"/>
      <c r="BE295" s="1214"/>
      <c r="BF295" s="1214"/>
      <c r="BG295" s="1214"/>
    </row>
    <row r="296" spans="18:59" x14ac:dyDescent="0.35">
      <c r="R296" s="1214"/>
      <c r="S296" s="1214"/>
      <c r="W296" s="1214"/>
      <c r="X296" s="1214"/>
      <c r="AE296" s="1214"/>
      <c r="AF296" s="1214"/>
      <c r="AV296" s="1214"/>
      <c r="AW296" s="1214"/>
      <c r="AX296" s="1214"/>
      <c r="AY296" s="1214"/>
      <c r="AZ296" s="1214"/>
      <c r="BA296" s="1214"/>
      <c r="BC296" s="1214"/>
      <c r="BE296" s="1214"/>
      <c r="BF296" s="1214"/>
      <c r="BG296" s="1214"/>
    </row>
    <row r="297" spans="18:59" x14ac:dyDescent="0.35">
      <c r="R297" s="1214"/>
      <c r="S297" s="1214"/>
      <c r="W297" s="1214"/>
      <c r="X297" s="1214"/>
      <c r="AE297" s="1214"/>
      <c r="AF297" s="1214"/>
      <c r="AV297" s="1214"/>
      <c r="AW297" s="1214"/>
      <c r="AX297" s="1214"/>
      <c r="AY297" s="1214"/>
      <c r="AZ297" s="1214"/>
      <c r="BA297" s="1214"/>
      <c r="BC297" s="1214"/>
      <c r="BE297" s="1214"/>
      <c r="BF297" s="1214"/>
      <c r="BG297" s="1214"/>
    </row>
    <row r="298" spans="18:59" x14ac:dyDescent="0.35">
      <c r="R298" s="1214"/>
      <c r="S298" s="1214"/>
      <c r="W298" s="1214"/>
      <c r="X298" s="1214"/>
      <c r="AE298" s="1214"/>
      <c r="AF298" s="1214"/>
      <c r="AV298" s="1214"/>
      <c r="AW298" s="1214"/>
      <c r="AX298" s="1214"/>
      <c r="AY298" s="1214"/>
      <c r="AZ298" s="1214"/>
      <c r="BA298" s="1214"/>
      <c r="BC298" s="1214"/>
      <c r="BE298" s="1214"/>
      <c r="BF298" s="1214"/>
      <c r="BG298" s="1214"/>
    </row>
    <row r="299" spans="18:59" x14ac:dyDescent="0.35">
      <c r="R299" s="1214"/>
      <c r="S299" s="1214"/>
      <c r="W299" s="1214"/>
      <c r="X299" s="1214"/>
      <c r="AE299" s="1214"/>
      <c r="AF299" s="1214"/>
      <c r="AV299" s="1214"/>
      <c r="AW299" s="1214"/>
      <c r="AX299" s="1214"/>
      <c r="AY299" s="1214"/>
      <c r="AZ299" s="1214"/>
      <c r="BA299" s="1214"/>
      <c r="BC299" s="1214"/>
      <c r="BE299" s="1214"/>
      <c r="BF299" s="1214"/>
      <c r="BG299" s="1214"/>
    </row>
    <row r="300" spans="18:59" x14ac:dyDescent="0.35">
      <c r="R300" s="1214"/>
      <c r="S300" s="1214"/>
      <c r="W300" s="1214"/>
      <c r="X300" s="1214"/>
      <c r="AE300" s="1214"/>
      <c r="AF300" s="1214"/>
      <c r="AV300" s="1214"/>
      <c r="AW300" s="1214"/>
      <c r="AX300" s="1214"/>
      <c r="AY300" s="1214"/>
      <c r="AZ300" s="1214"/>
      <c r="BA300" s="1214"/>
      <c r="BC300" s="1214"/>
      <c r="BE300" s="1214"/>
      <c r="BF300" s="1214"/>
      <c r="BG300" s="1214"/>
    </row>
    <row r="301" spans="18:59" x14ac:dyDescent="0.35">
      <c r="R301" s="1214"/>
      <c r="S301" s="1214"/>
      <c r="W301" s="1214"/>
      <c r="X301" s="1214"/>
      <c r="AE301" s="1214"/>
      <c r="AF301" s="1214"/>
      <c r="AV301" s="1214"/>
      <c r="AW301" s="1214"/>
      <c r="AX301" s="1214"/>
      <c r="AY301" s="1214"/>
      <c r="AZ301" s="1214"/>
      <c r="BA301" s="1214"/>
      <c r="BC301" s="1214"/>
      <c r="BE301" s="1214"/>
      <c r="BF301" s="1214"/>
      <c r="BG301" s="1214"/>
    </row>
    <row r="302" spans="18:59" x14ac:dyDescent="0.35">
      <c r="R302" s="1214"/>
      <c r="S302" s="1214"/>
      <c r="W302" s="1214"/>
      <c r="X302" s="1214"/>
      <c r="AE302" s="1214"/>
      <c r="AF302" s="1214"/>
      <c r="AV302" s="1214"/>
      <c r="AW302" s="1214"/>
      <c r="AX302" s="1214"/>
      <c r="AY302" s="1214"/>
      <c r="AZ302" s="1214"/>
      <c r="BA302" s="1214"/>
      <c r="BC302" s="1214"/>
      <c r="BE302" s="1214"/>
      <c r="BF302" s="1214"/>
      <c r="BG302" s="1214"/>
    </row>
    <row r="303" spans="18:59" x14ac:dyDescent="0.35">
      <c r="R303" s="1214"/>
      <c r="S303" s="1214"/>
      <c r="W303" s="1214"/>
      <c r="X303" s="1214"/>
      <c r="AE303" s="1214"/>
      <c r="AF303" s="1214"/>
      <c r="AV303" s="1214"/>
      <c r="AW303" s="1214"/>
      <c r="AX303" s="1214"/>
      <c r="AY303" s="1214"/>
      <c r="AZ303" s="1214"/>
      <c r="BA303" s="1214"/>
      <c r="BC303" s="1214"/>
      <c r="BE303" s="1214"/>
      <c r="BF303" s="1214"/>
      <c r="BG303" s="1214"/>
    </row>
    <row r="304" spans="18:59" x14ac:dyDescent="0.35">
      <c r="R304" s="1214"/>
      <c r="S304" s="1214"/>
      <c r="W304" s="1214"/>
      <c r="X304" s="1214"/>
      <c r="AE304" s="1214"/>
      <c r="AF304" s="1214"/>
      <c r="AV304" s="1214"/>
      <c r="AW304" s="1214"/>
      <c r="AX304" s="1214"/>
      <c r="AY304" s="1214"/>
      <c r="AZ304" s="1214"/>
      <c r="BA304" s="1214"/>
      <c r="BC304" s="1214"/>
      <c r="BE304" s="1214"/>
      <c r="BF304" s="1214"/>
      <c r="BG304" s="1214"/>
    </row>
    <row r="305" spans="18:59" x14ac:dyDescent="0.35">
      <c r="R305" s="1214"/>
      <c r="S305" s="1214"/>
      <c r="W305" s="1214"/>
      <c r="X305" s="1214"/>
      <c r="AE305" s="1214"/>
      <c r="AF305" s="1214"/>
      <c r="AV305" s="1214"/>
      <c r="AW305" s="1214"/>
      <c r="AX305" s="1214"/>
      <c r="AY305" s="1214"/>
      <c r="AZ305" s="1214"/>
      <c r="BA305" s="1214"/>
      <c r="BC305" s="1214"/>
      <c r="BE305" s="1214"/>
      <c r="BF305" s="1214"/>
      <c r="BG305" s="1214"/>
    </row>
    <row r="306" spans="18:59" x14ac:dyDescent="0.35">
      <c r="R306" s="1214"/>
      <c r="S306" s="1214"/>
      <c r="W306" s="1214"/>
      <c r="X306" s="1214"/>
      <c r="AE306" s="1214"/>
      <c r="AF306" s="1214"/>
      <c r="AV306" s="1214"/>
      <c r="AW306" s="1214"/>
      <c r="AX306" s="1214"/>
      <c r="AY306" s="1214"/>
      <c r="AZ306" s="1214"/>
      <c r="BA306" s="1214"/>
      <c r="BC306" s="1214"/>
      <c r="BE306" s="1214"/>
      <c r="BF306" s="1214"/>
      <c r="BG306" s="1214"/>
    </row>
    <row r="307" spans="18:59" x14ac:dyDescent="0.35">
      <c r="R307" s="1214"/>
      <c r="S307" s="1214"/>
      <c r="W307" s="1214"/>
      <c r="X307" s="1214"/>
      <c r="AE307" s="1214"/>
      <c r="AF307" s="1214"/>
      <c r="AV307" s="1214"/>
      <c r="AW307" s="1214"/>
      <c r="AX307" s="1214"/>
      <c r="AY307" s="1214"/>
      <c r="AZ307" s="1214"/>
      <c r="BA307" s="1214"/>
      <c r="BC307" s="1214"/>
      <c r="BE307" s="1214"/>
      <c r="BF307" s="1214"/>
      <c r="BG307" s="1214"/>
    </row>
    <row r="308" spans="18:59" x14ac:dyDescent="0.35">
      <c r="R308" s="1214"/>
      <c r="S308" s="1214"/>
      <c r="W308" s="1214"/>
      <c r="X308" s="1214"/>
      <c r="AE308" s="1214"/>
      <c r="AF308" s="1214"/>
      <c r="AV308" s="1214"/>
      <c r="AW308" s="1214"/>
      <c r="AX308" s="1214"/>
      <c r="AY308" s="1214"/>
      <c r="AZ308" s="1214"/>
      <c r="BA308" s="1214"/>
      <c r="BC308" s="1214"/>
      <c r="BE308" s="1214"/>
      <c r="BF308" s="1214"/>
      <c r="BG308" s="1214"/>
    </row>
    <row r="309" spans="18:59" x14ac:dyDescent="0.35">
      <c r="R309" s="1214"/>
      <c r="S309" s="1214"/>
      <c r="W309" s="1214"/>
      <c r="X309" s="1214"/>
      <c r="AE309" s="1214"/>
      <c r="AF309" s="1214"/>
      <c r="AV309" s="1214"/>
      <c r="AW309" s="1214"/>
      <c r="AX309" s="1214"/>
      <c r="AY309" s="1214"/>
      <c r="AZ309" s="1214"/>
      <c r="BA309" s="1214"/>
      <c r="BC309" s="1214"/>
      <c r="BE309" s="1214"/>
      <c r="BF309" s="1214"/>
      <c r="BG309" s="1214"/>
    </row>
    <row r="310" spans="18:59" x14ac:dyDescent="0.35">
      <c r="R310" s="1214"/>
      <c r="S310" s="1214"/>
      <c r="W310" s="1214"/>
      <c r="X310" s="1214"/>
      <c r="AE310" s="1214"/>
      <c r="AF310" s="1214"/>
      <c r="AV310" s="1214"/>
      <c r="AW310" s="1214"/>
      <c r="AX310" s="1214"/>
      <c r="AY310" s="1214"/>
      <c r="AZ310" s="1214"/>
      <c r="BA310" s="1214"/>
      <c r="BC310" s="1214"/>
      <c r="BE310" s="1214"/>
      <c r="BF310" s="1214"/>
      <c r="BG310" s="1214"/>
    </row>
    <row r="311" spans="18:59" x14ac:dyDescent="0.35">
      <c r="R311" s="1214"/>
      <c r="S311" s="1214"/>
      <c r="W311" s="1214"/>
      <c r="X311" s="1214"/>
      <c r="AE311" s="1214"/>
      <c r="AF311" s="1214"/>
      <c r="AV311" s="1214"/>
      <c r="AW311" s="1214"/>
      <c r="AX311" s="1214"/>
      <c r="AY311" s="1214"/>
      <c r="AZ311" s="1214"/>
      <c r="BA311" s="1214"/>
      <c r="BC311" s="1214"/>
      <c r="BE311" s="1214"/>
      <c r="BF311" s="1214"/>
      <c r="BG311" s="1214"/>
    </row>
    <row r="312" spans="18:59" x14ac:dyDescent="0.35">
      <c r="R312" s="1214"/>
      <c r="S312" s="1214"/>
      <c r="W312" s="1214"/>
      <c r="X312" s="1214"/>
      <c r="AE312" s="1214"/>
      <c r="AF312" s="1214"/>
      <c r="AV312" s="1214"/>
      <c r="AW312" s="1214"/>
      <c r="AX312" s="1214"/>
      <c r="AY312" s="1214"/>
      <c r="AZ312" s="1214"/>
      <c r="BA312" s="1214"/>
      <c r="BC312" s="1214"/>
      <c r="BE312" s="1214"/>
      <c r="BF312" s="1214"/>
      <c r="BG312" s="1214"/>
    </row>
    <row r="313" spans="18:59" x14ac:dyDescent="0.35">
      <c r="R313" s="1214"/>
      <c r="S313" s="1214"/>
      <c r="W313" s="1214"/>
      <c r="X313" s="1214"/>
      <c r="AE313" s="1214"/>
      <c r="AF313" s="1214"/>
      <c r="AV313" s="1214"/>
      <c r="AW313" s="1214"/>
      <c r="AX313" s="1214"/>
      <c r="AY313" s="1214"/>
      <c r="AZ313" s="1214"/>
      <c r="BA313" s="1214"/>
      <c r="BC313" s="1214"/>
      <c r="BE313" s="1214"/>
      <c r="BF313" s="1214"/>
      <c r="BG313" s="1214"/>
    </row>
    <row r="314" spans="18:59" x14ac:dyDescent="0.35">
      <c r="R314" s="1214"/>
      <c r="S314" s="1214"/>
      <c r="W314" s="1214"/>
      <c r="X314" s="1214"/>
      <c r="AE314" s="1214"/>
      <c r="AF314" s="1214"/>
      <c r="AV314" s="1214"/>
      <c r="AW314" s="1214"/>
      <c r="AX314" s="1214"/>
      <c r="AY314" s="1214"/>
      <c r="AZ314" s="1214"/>
      <c r="BA314" s="1214"/>
      <c r="BC314" s="1214"/>
      <c r="BE314" s="1214"/>
      <c r="BF314" s="1214"/>
      <c r="BG314" s="1214"/>
    </row>
    <row r="315" spans="18:59" x14ac:dyDescent="0.35">
      <c r="R315" s="1214"/>
      <c r="S315" s="1214"/>
      <c r="W315" s="1214"/>
      <c r="X315" s="1214"/>
      <c r="AE315" s="1214"/>
      <c r="AF315" s="1214"/>
      <c r="AV315" s="1214"/>
      <c r="AW315" s="1214"/>
      <c r="AX315" s="1214"/>
      <c r="AY315" s="1214"/>
      <c r="AZ315" s="1214"/>
      <c r="BA315" s="1214"/>
      <c r="BC315" s="1214"/>
      <c r="BE315" s="1214"/>
      <c r="BF315" s="1214"/>
      <c r="BG315" s="1214"/>
    </row>
    <row r="316" spans="18:59" x14ac:dyDescent="0.35">
      <c r="R316" s="1214"/>
      <c r="S316" s="1214"/>
      <c r="W316" s="1214"/>
      <c r="X316" s="1214"/>
      <c r="AE316" s="1214"/>
      <c r="AF316" s="1214"/>
      <c r="AV316" s="1214"/>
      <c r="AW316" s="1214"/>
      <c r="AX316" s="1214"/>
      <c r="AY316" s="1214"/>
      <c r="AZ316" s="1214"/>
      <c r="BA316" s="1214"/>
      <c r="BC316" s="1214"/>
      <c r="BE316" s="1214"/>
      <c r="BF316" s="1214"/>
      <c r="BG316" s="1214"/>
    </row>
    <row r="317" spans="18:59" x14ac:dyDescent="0.35">
      <c r="R317" s="1214"/>
      <c r="S317" s="1214"/>
      <c r="W317" s="1214"/>
      <c r="X317" s="1214"/>
      <c r="AE317" s="1214"/>
      <c r="AF317" s="1214"/>
      <c r="AV317" s="1214"/>
      <c r="AW317" s="1214"/>
      <c r="AX317" s="1214"/>
      <c r="AY317" s="1214"/>
      <c r="AZ317" s="1214"/>
      <c r="BA317" s="1214"/>
      <c r="BC317" s="1214"/>
      <c r="BE317" s="1214"/>
      <c r="BF317" s="1214"/>
      <c r="BG317" s="1214"/>
    </row>
    <row r="318" spans="18:59" x14ac:dyDescent="0.35">
      <c r="R318" s="1214"/>
      <c r="S318" s="1214"/>
      <c r="W318" s="1214"/>
      <c r="X318" s="1214"/>
      <c r="AE318" s="1214"/>
      <c r="AF318" s="1214"/>
      <c r="AV318" s="1214"/>
      <c r="AW318" s="1214"/>
      <c r="AX318" s="1214"/>
      <c r="AY318" s="1214"/>
      <c r="AZ318" s="1214"/>
      <c r="BA318" s="1214"/>
      <c r="BC318" s="1214"/>
      <c r="BE318" s="1214"/>
      <c r="BF318" s="1214"/>
      <c r="BG318" s="1214"/>
    </row>
    <row r="319" spans="18:59" x14ac:dyDescent="0.35">
      <c r="R319" s="1214"/>
      <c r="S319" s="1214"/>
      <c r="W319" s="1214"/>
      <c r="X319" s="1214"/>
      <c r="AE319" s="1214"/>
      <c r="AF319" s="1214"/>
      <c r="AV319" s="1214"/>
      <c r="AW319" s="1214"/>
      <c r="AX319" s="1214"/>
      <c r="AY319" s="1214"/>
      <c r="AZ319" s="1214"/>
      <c r="BA319" s="1214"/>
      <c r="BC319" s="1214"/>
      <c r="BE319" s="1214"/>
      <c r="BF319" s="1214"/>
      <c r="BG319" s="1214"/>
    </row>
    <row r="320" spans="18:59" x14ac:dyDescent="0.35">
      <c r="R320" s="1214"/>
      <c r="S320" s="1214"/>
      <c r="W320" s="1214"/>
      <c r="X320" s="1214"/>
      <c r="AE320" s="1214"/>
      <c r="AF320" s="1214"/>
      <c r="AV320" s="1214"/>
      <c r="AW320" s="1214"/>
      <c r="AX320" s="1214"/>
      <c r="AY320" s="1214"/>
      <c r="AZ320" s="1214"/>
      <c r="BA320" s="1214"/>
      <c r="BC320" s="1214"/>
      <c r="BE320" s="1214"/>
      <c r="BF320" s="1214"/>
      <c r="BG320" s="1214"/>
    </row>
    <row r="321" spans="18:59" x14ac:dyDescent="0.35">
      <c r="R321" s="1214"/>
      <c r="S321" s="1214"/>
      <c r="W321" s="1214"/>
      <c r="X321" s="1214"/>
      <c r="AE321" s="1214"/>
      <c r="AF321" s="1214"/>
      <c r="AV321" s="1214"/>
      <c r="AW321" s="1214"/>
      <c r="AX321" s="1214"/>
      <c r="AY321" s="1214"/>
      <c r="AZ321" s="1214"/>
      <c r="BA321" s="1214"/>
      <c r="BC321" s="1214"/>
      <c r="BE321" s="1214"/>
      <c r="BF321" s="1214"/>
      <c r="BG321" s="1214"/>
    </row>
    <row r="322" spans="18:59" x14ac:dyDescent="0.35">
      <c r="R322" s="1214"/>
      <c r="S322" s="1214"/>
      <c r="W322" s="1214"/>
      <c r="X322" s="1214"/>
      <c r="AE322" s="1214"/>
      <c r="AF322" s="1214"/>
      <c r="AV322" s="1214"/>
      <c r="AW322" s="1214"/>
      <c r="AX322" s="1214"/>
      <c r="AY322" s="1214"/>
      <c r="AZ322" s="1214"/>
      <c r="BA322" s="1214"/>
      <c r="BC322" s="1214"/>
      <c r="BE322" s="1214"/>
      <c r="BF322" s="1214"/>
      <c r="BG322" s="1214"/>
    </row>
    <row r="323" spans="18:59" x14ac:dyDescent="0.35">
      <c r="R323" s="1214"/>
      <c r="S323" s="1214"/>
      <c r="W323" s="1214"/>
      <c r="X323" s="1214"/>
      <c r="AE323" s="1214"/>
      <c r="AF323" s="1214"/>
      <c r="AV323" s="1214"/>
      <c r="AW323" s="1214"/>
      <c r="AX323" s="1214"/>
      <c r="AY323" s="1214"/>
      <c r="AZ323" s="1214"/>
      <c r="BA323" s="1214"/>
      <c r="BC323" s="1214"/>
      <c r="BE323" s="1214"/>
      <c r="BF323" s="1214"/>
      <c r="BG323" s="1214"/>
    </row>
    <row r="324" spans="18:59" x14ac:dyDescent="0.35">
      <c r="R324" s="1214"/>
      <c r="S324" s="1214"/>
      <c r="W324" s="1214"/>
      <c r="X324" s="1214"/>
      <c r="AE324" s="1214"/>
      <c r="AF324" s="1214"/>
      <c r="AV324" s="1214"/>
      <c r="AW324" s="1214"/>
      <c r="AX324" s="1214"/>
      <c r="AY324" s="1214"/>
      <c r="AZ324" s="1214"/>
      <c r="BA324" s="1214"/>
      <c r="BC324" s="1214"/>
      <c r="BE324" s="1214"/>
      <c r="BF324" s="1214"/>
      <c r="BG324" s="1214"/>
    </row>
    <row r="325" spans="18:59" x14ac:dyDescent="0.35">
      <c r="R325" s="1214"/>
      <c r="S325" s="1214"/>
      <c r="W325" s="1214"/>
      <c r="X325" s="1214"/>
      <c r="AE325" s="1214"/>
      <c r="AF325" s="1214"/>
      <c r="AV325" s="1214"/>
      <c r="AW325" s="1214"/>
      <c r="AX325" s="1214"/>
      <c r="AY325" s="1214"/>
      <c r="AZ325" s="1214"/>
      <c r="BA325" s="1214"/>
      <c r="BC325" s="1214"/>
      <c r="BE325" s="1214"/>
      <c r="BF325" s="1214"/>
      <c r="BG325" s="1214"/>
    </row>
    <row r="326" spans="18:59" x14ac:dyDescent="0.35">
      <c r="R326" s="1214"/>
      <c r="S326" s="1214"/>
      <c r="W326" s="1214"/>
      <c r="X326" s="1214"/>
      <c r="AE326" s="1214"/>
      <c r="AF326" s="1214"/>
      <c r="AV326" s="1214"/>
      <c r="AW326" s="1214"/>
      <c r="AX326" s="1214"/>
      <c r="AY326" s="1214"/>
      <c r="AZ326" s="1214"/>
      <c r="BA326" s="1214"/>
      <c r="BC326" s="1214"/>
      <c r="BE326" s="1214"/>
      <c r="BF326" s="1214"/>
      <c r="BG326" s="1214"/>
    </row>
    <row r="327" spans="18:59" x14ac:dyDescent="0.35">
      <c r="R327" s="1214"/>
      <c r="S327" s="1214"/>
      <c r="W327" s="1214"/>
      <c r="X327" s="1214"/>
      <c r="AE327" s="1214"/>
      <c r="AF327" s="1214"/>
      <c r="AV327" s="1214"/>
      <c r="AW327" s="1214"/>
      <c r="AX327" s="1214"/>
      <c r="AY327" s="1214"/>
      <c r="AZ327" s="1214"/>
      <c r="BA327" s="1214"/>
      <c r="BC327" s="1214"/>
      <c r="BE327" s="1214"/>
      <c r="BF327" s="1214"/>
      <c r="BG327" s="1214"/>
    </row>
    <row r="328" spans="18:59" x14ac:dyDescent="0.35">
      <c r="R328" s="1214"/>
      <c r="S328" s="1214"/>
      <c r="W328" s="1214"/>
      <c r="X328" s="1214"/>
      <c r="AE328" s="1214"/>
      <c r="AF328" s="1214"/>
      <c r="AV328" s="1214"/>
      <c r="AW328" s="1214"/>
      <c r="AX328" s="1214"/>
      <c r="AY328" s="1214"/>
      <c r="AZ328" s="1214"/>
      <c r="BA328" s="1214"/>
      <c r="BC328" s="1214"/>
      <c r="BE328" s="1214"/>
      <c r="BF328" s="1214"/>
      <c r="BG328" s="1214"/>
    </row>
    <row r="329" spans="18:59" x14ac:dyDescent="0.35">
      <c r="R329" s="1214"/>
      <c r="S329" s="1214"/>
      <c r="W329" s="1214"/>
      <c r="X329" s="1214"/>
      <c r="AE329" s="1214"/>
      <c r="AF329" s="1214"/>
      <c r="AV329" s="1214"/>
      <c r="AW329" s="1214"/>
      <c r="AX329" s="1214"/>
      <c r="AY329" s="1214"/>
      <c r="AZ329" s="1214"/>
      <c r="BA329" s="1214"/>
      <c r="BC329" s="1214"/>
      <c r="BE329" s="1214"/>
      <c r="BF329" s="1214"/>
      <c r="BG329" s="1214"/>
    </row>
    <row r="330" spans="18:59" x14ac:dyDescent="0.35">
      <c r="R330" s="1214"/>
      <c r="S330" s="1214"/>
      <c r="W330" s="1214"/>
      <c r="X330" s="1214"/>
      <c r="AE330" s="1214"/>
      <c r="AF330" s="1214"/>
      <c r="AV330" s="1214"/>
      <c r="AW330" s="1214"/>
      <c r="AX330" s="1214"/>
      <c r="AY330" s="1214"/>
      <c r="AZ330" s="1214"/>
      <c r="BA330" s="1214"/>
      <c r="BC330" s="1214"/>
      <c r="BE330" s="1214"/>
      <c r="BF330" s="1214"/>
      <c r="BG330" s="1214"/>
    </row>
    <row r="331" spans="18:59" x14ac:dyDescent="0.35">
      <c r="R331" s="1214"/>
      <c r="S331" s="1214"/>
      <c r="W331" s="1214"/>
      <c r="X331" s="1214"/>
      <c r="AE331" s="1214"/>
      <c r="AF331" s="1214"/>
      <c r="AV331" s="1214"/>
      <c r="AW331" s="1214"/>
      <c r="AX331" s="1214"/>
      <c r="AY331" s="1214"/>
      <c r="AZ331" s="1214"/>
      <c r="BA331" s="1214"/>
      <c r="BC331" s="1214"/>
      <c r="BE331" s="1214"/>
      <c r="BF331" s="1214"/>
      <c r="BG331" s="1214"/>
    </row>
    <row r="332" spans="18:59" x14ac:dyDescent="0.35">
      <c r="R332" s="1214"/>
      <c r="S332" s="1214"/>
      <c r="W332" s="1214"/>
      <c r="X332" s="1214"/>
      <c r="AE332" s="1214"/>
      <c r="AF332" s="1214"/>
      <c r="AV332" s="1214"/>
      <c r="AW332" s="1214"/>
      <c r="AX332" s="1214"/>
      <c r="AY332" s="1214"/>
      <c r="AZ332" s="1214"/>
      <c r="BA332" s="1214"/>
      <c r="BC332" s="1214"/>
      <c r="BE332" s="1214"/>
      <c r="BF332" s="1214"/>
      <c r="BG332" s="1214"/>
    </row>
    <row r="333" spans="18:59" x14ac:dyDescent="0.35">
      <c r="R333" s="1214"/>
      <c r="S333" s="1214"/>
      <c r="W333" s="1214"/>
      <c r="X333" s="1214"/>
      <c r="AE333" s="1214"/>
      <c r="AF333" s="1214"/>
      <c r="AV333" s="1214"/>
      <c r="AW333" s="1214"/>
      <c r="AX333" s="1214"/>
      <c r="AY333" s="1214"/>
      <c r="AZ333" s="1214"/>
      <c r="BA333" s="1214"/>
      <c r="BC333" s="1214"/>
      <c r="BE333" s="1214"/>
      <c r="BF333" s="1214"/>
      <c r="BG333" s="1214"/>
    </row>
    <row r="334" spans="18:59" x14ac:dyDescent="0.35">
      <c r="R334" s="1214"/>
      <c r="S334" s="1214"/>
      <c r="W334" s="1214"/>
      <c r="X334" s="1214"/>
      <c r="AE334" s="1214"/>
      <c r="AF334" s="1214"/>
      <c r="AV334" s="1214"/>
      <c r="AW334" s="1214"/>
      <c r="AX334" s="1214"/>
      <c r="AY334" s="1214"/>
      <c r="AZ334" s="1214"/>
      <c r="BA334" s="1214"/>
      <c r="BC334" s="1214"/>
      <c r="BE334" s="1214"/>
      <c r="BF334" s="1214"/>
      <c r="BG334" s="1214"/>
    </row>
    <row r="335" spans="18:59" x14ac:dyDescent="0.35">
      <c r="R335" s="1214"/>
      <c r="S335" s="1214"/>
      <c r="W335" s="1214"/>
      <c r="X335" s="1214"/>
      <c r="AE335" s="1214"/>
      <c r="AF335" s="1214"/>
      <c r="AV335" s="1214"/>
      <c r="AW335" s="1214"/>
      <c r="AX335" s="1214"/>
      <c r="AY335" s="1214"/>
      <c r="AZ335" s="1214"/>
      <c r="BA335" s="1214"/>
      <c r="BC335" s="1214"/>
      <c r="BE335" s="1214"/>
      <c r="BF335" s="1214"/>
      <c r="BG335" s="1214"/>
    </row>
    <row r="336" spans="18:59" x14ac:dyDescent="0.35">
      <c r="R336" s="1214"/>
      <c r="S336" s="1214"/>
      <c r="W336" s="1214"/>
      <c r="X336" s="1214"/>
      <c r="AE336" s="1214"/>
      <c r="AF336" s="1214"/>
      <c r="AV336" s="1214"/>
      <c r="AW336" s="1214"/>
      <c r="AX336" s="1214"/>
      <c r="AY336" s="1214"/>
      <c r="AZ336" s="1214"/>
      <c r="BA336" s="1214"/>
      <c r="BC336" s="1214"/>
      <c r="BE336" s="1214"/>
      <c r="BF336" s="1214"/>
      <c r="BG336" s="1214"/>
    </row>
    <row r="337" spans="18:59" x14ac:dyDescent="0.35">
      <c r="R337" s="1214"/>
      <c r="S337" s="1214"/>
      <c r="W337" s="1214"/>
      <c r="X337" s="1214"/>
      <c r="AE337" s="1214"/>
      <c r="AF337" s="1214"/>
      <c r="AV337" s="1214"/>
      <c r="AW337" s="1214"/>
      <c r="AX337" s="1214"/>
      <c r="AY337" s="1214"/>
      <c r="AZ337" s="1214"/>
      <c r="BA337" s="1214"/>
      <c r="BC337" s="1214"/>
      <c r="BE337" s="1214"/>
      <c r="BF337" s="1214"/>
      <c r="BG337" s="1214"/>
    </row>
    <row r="338" spans="18:59" x14ac:dyDescent="0.35">
      <c r="R338" s="1214"/>
      <c r="S338" s="1214"/>
      <c r="W338" s="1214"/>
      <c r="X338" s="1214"/>
      <c r="AE338" s="1214"/>
      <c r="AF338" s="1214"/>
      <c r="AV338" s="1214"/>
      <c r="AW338" s="1214"/>
      <c r="AX338" s="1214"/>
      <c r="AY338" s="1214"/>
      <c r="AZ338" s="1214"/>
      <c r="BA338" s="1214"/>
      <c r="BC338" s="1214"/>
      <c r="BE338" s="1214"/>
      <c r="BF338" s="1214"/>
      <c r="BG338" s="1214"/>
    </row>
    <row r="339" spans="18:59" x14ac:dyDescent="0.35">
      <c r="R339" s="1214"/>
      <c r="S339" s="1214"/>
      <c r="W339" s="1214"/>
      <c r="X339" s="1214"/>
      <c r="AE339" s="1214"/>
      <c r="AF339" s="1214"/>
      <c r="AV339" s="1214"/>
      <c r="AW339" s="1214"/>
      <c r="AX339" s="1214"/>
      <c r="AY339" s="1214"/>
      <c r="AZ339" s="1214"/>
      <c r="BA339" s="1214"/>
      <c r="BC339" s="1214"/>
      <c r="BE339" s="1214"/>
      <c r="BF339" s="1214"/>
      <c r="BG339" s="1214"/>
    </row>
    <row r="340" spans="18:59" x14ac:dyDescent="0.35">
      <c r="R340" s="1214"/>
      <c r="S340" s="1214"/>
      <c r="W340" s="1214"/>
      <c r="X340" s="1214"/>
      <c r="AE340" s="1214"/>
      <c r="AF340" s="1214"/>
      <c r="AV340" s="1214"/>
      <c r="AW340" s="1214"/>
      <c r="AX340" s="1214"/>
      <c r="AY340" s="1214"/>
      <c r="AZ340" s="1214"/>
      <c r="BA340" s="1214"/>
      <c r="BC340" s="1214"/>
      <c r="BE340" s="1214"/>
      <c r="BF340" s="1214"/>
      <c r="BG340" s="1214"/>
    </row>
    <row r="341" spans="18:59" x14ac:dyDescent="0.35">
      <c r="R341" s="1214"/>
      <c r="S341" s="1214"/>
      <c r="W341" s="1214"/>
      <c r="X341" s="1214"/>
      <c r="AE341" s="1214"/>
      <c r="AF341" s="1214"/>
      <c r="AV341" s="1214"/>
      <c r="AW341" s="1214"/>
      <c r="AX341" s="1214"/>
      <c r="AY341" s="1214"/>
      <c r="AZ341" s="1214"/>
      <c r="BA341" s="1214"/>
      <c r="BC341" s="1214"/>
      <c r="BE341" s="1214"/>
      <c r="BF341" s="1214"/>
      <c r="BG341" s="1214"/>
    </row>
    <row r="342" spans="18:59" x14ac:dyDescent="0.35">
      <c r="R342" s="1214"/>
      <c r="S342" s="1214"/>
      <c r="W342" s="1214"/>
      <c r="X342" s="1214"/>
      <c r="AE342" s="1214"/>
      <c r="AF342" s="1214"/>
      <c r="AV342" s="1214"/>
      <c r="AW342" s="1214"/>
      <c r="AX342" s="1214"/>
      <c r="AY342" s="1214"/>
      <c r="AZ342" s="1214"/>
      <c r="BA342" s="1214"/>
      <c r="BC342" s="1214"/>
      <c r="BE342" s="1214"/>
      <c r="BF342" s="1214"/>
      <c r="BG342" s="1214"/>
    </row>
    <row r="343" spans="18:59" x14ac:dyDescent="0.35">
      <c r="R343" s="1214"/>
      <c r="S343" s="1214"/>
      <c r="W343" s="1214"/>
      <c r="X343" s="1214"/>
      <c r="AE343" s="1214"/>
      <c r="AF343" s="1214"/>
      <c r="AV343" s="1214"/>
      <c r="AW343" s="1214"/>
      <c r="AX343" s="1214"/>
      <c r="AY343" s="1214"/>
      <c r="AZ343" s="1214"/>
      <c r="BA343" s="1214"/>
      <c r="BC343" s="1214"/>
      <c r="BE343" s="1214"/>
      <c r="BF343" s="1214"/>
      <c r="BG343" s="1214"/>
    </row>
    <row r="344" spans="18:59" x14ac:dyDescent="0.35">
      <c r="R344" s="1214"/>
      <c r="S344" s="1214"/>
      <c r="W344" s="1214"/>
      <c r="X344" s="1214"/>
      <c r="AE344" s="1214"/>
      <c r="AF344" s="1214"/>
      <c r="AV344" s="1214"/>
      <c r="AW344" s="1214"/>
      <c r="AX344" s="1214"/>
      <c r="AY344" s="1214"/>
      <c r="AZ344" s="1214"/>
      <c r="BA344" s="1214"/>
      <c r="BC344" s="1214"/>
      <c r="BE344" s="1214"/>
      <c r="BF344" s="1214"/>
      <c r="BG344" s="1214"/>
    </row>
    <row r="345" spans="18:59" x14ac:dyDescent="0.35">
      <c r="R345" s="1214"/>
      <c r="S345" s="1214"/>
      <c r="W345" s="1214"/>
      <c r="X345" s="1214"/>
      <c r="AE345" s="1214"/>
      <c r="AF345" s="1214"/>
      <c r="AV345" s="1214"/>
      <c r="AW345" s="1214"/>
      <c r="AX345" s="1214"/>
      <c r="AY345" s="1214"/>
      <c r="AZ345" s="1214"/>
      <c r="BA345" s="1214"/>
      <c r="BC345" s="1214"/>
      <c r="BE345" s="1214"/>
      <c r="BF345" s="1214"/>
      <c r="BG345" s="1214"/>
    </row>
    <row r="346" spans="18:59" x14ac:dyDescent="0.35">
      <c r="R346" s="1214"/>
      <c r="S346" s="1214"/>
      <c r="W346" s="1214"/>
      <c r="X346" s="1214"/>
      <c r="AE346" s="1214"/>
      <c r="AF346" s="1214"/>
      <c r="AV346" s="1214"/>
      <c r="AW346" s="1214"/>
      <c r="AX346" s="1214"/>
      <c r="AY346" s="1214"/>
      <c r="AZ346" s="1214"/>
      <c r="BA346" s="1214"/>
      <c r="BC346" s="1214"/>
      <c r="BE346" s="1214"/>
      <c r="BF346" s="1214"/>
      <c r="BG346" s="1214"/>
    </row>
    <row r="347" spans="18:59" x14ac:dyDescent="0.35">
      <c r="R347" s="1214"/>
      <c r="S347" s="1214"/>
      <c r="W347" s="1214"/>
      <c r="X347" s="1214"/>
      <c r="AE347" s="1214"/>
      <c r="AF347" s="1214"/>
      <c r="AV347" s="1214"/>
      <c r="AW347" s="1214"/>
      <c r="AX347" s="1214"/>
      <c r="AY347" s="1214"/>
      <c r="AZ347" s="1214"/>
      <c r="BA347" s="1214"/>
      <c r="BC347" s="1214"/>
      <c r="BE347" s="1214"/>
      <c r="BF347" s="1214"/>
      <c r="BG347" s="1214"/>
    </row>
    <row r="348" spans="18:59" x14ac:dyDescent="0.35">
      <c r="R348" s="1214"/>
      <c r="S348" s="1214"/>
      <c r="W348" s="1214"/>
      <c r="X348" s="1214"/>
      <c r="AE348" s="1214"/>
      <c r="AF348" s="1214"/>
      <c r="AV348" s="1214"/>
      <c r="AW348" s="1214"/>
      <c r="AX348" s="1214"/>
      <c r="AY348" s="1214"/>
      <c r="AZ348" s="1214"/>
      <c r="BA348" s="1214"/>
      <c r="BC348" s="1214"/>
      <c r="BE348" s="1214"/>
      <c r="BF348" s="1214"/>
      <c r="BG348" s="1214"/>
    </row>
    <row r="349" spans="18:59" x14ac:dyDescent="0.35">
      <c r="R349" s="1214"/>
      <c r="S349" s="1214"/>
      <c r="W349" s="1214"/>
      <c r="X349" s="1214"/>
      <c r="AE349" s="1214"/>
      <c r="AF349" s="1214"/>
      <c r="AV349" s="1214"/>
      <c r="AW349" s="1214"/>
      <c r="AX349" s="1214"/>
      <c r="AY349" s="1214"/>
      <c r="AZ349" s="1214"/>
      <c r="BA349" s="1214"/>
      <c r="BC349" s="1214"/>
      <c r="BE349" s="1214"/>
      <c r="BF349" s="1214"/>
      <c r="BG349" s="1214"/>
    </row>
    <row r="350" spans="18:59" x14ac:dyDescent="0.35">
      <c r="R350" s="1214"/>
      <c r="S350" s="1214"/>
      <c r="W350" s="1214"/>
      <c r="X350" s="1214"/>
      <c r="AE350" s="1214"/>
      <c r="AF350" s="1214"/>
      <c r="AV350" s="1214"/>
      <c r="AW350" s="1214"/>
      <c r="AX350" s="1214"/>
      <c r="AY350" s="1214"/>
      <c r="AZ350" s="1214"/>
      <c r="BA350" s="1214"/>
      <c r="BC350" s="1214"/>
      <c r="BE350" s="1214"/>
      <c r="BF350" s="1214"/>
      <c r="BG350" s="1214"/>
    </row>
    <row r="351" spans="18:59" x14ac:dyDescent="0.35">
      <c r="R351" s="1214"/>
      <c r="S351" s="1214"/>
      <c r="W351" s="1214"/>
      <c r="X351" s="1214"/>
      <c r="AE351" s="1214"/>
      <c r="AF351" s="1214"/>
      <c r="AV351" s="1214"/>
      <c r="AW351" s="1214"/>
      <c r="AX351" s="1214"/>
      <c r="AY351" s="1214"/>
      <c r="AZ351" s="1214"/>
      <c r="BA351" s="1214"/>
      <c r="BC351" s="1214"/>
      <c r="BE351" s="1214"/>
      <c r="BF351" s="1214"/>
      <c r="BG351" s="1214"/>
    </row>
    <row r="352" spans="18:59" x14ac:dyDescent="0.35">
      <c r="R352" s="1214"/>
      <c r="S352" s="1214"/>
      <c r="W352" s="1214"/>
      <c r="X352" s="1214"/>
      <c r="AE352" s="1214"/>
      <c r="AF352" s="1214"/>
      <c r="AV352" s="1214"/>
      <c r="AW352" s="1214"/>
      <c r="AX352" s="1214"/>
      <c r="AY352" s="1214"/>
      <c r="AZ352" s="1214"/>
      <c r="BA352" s="1214"/>
      <c r="BC352" s="1214"/>
      <c r="BE352" s="1214"/>
      <c r="BF352" s="1214"/>
      <c r="BG352" s="1214"/>
    </row>
    <row r="353" spans="18:59" x14ac:dyDescent="0.35">
      <c r="R353" s="1214"/>
      <c r="S353" s="1214"/>
      <c r="W353" s="1214"/>
      <c r="X353" s="1214"/>
      <c r="AE353" s="1214"/>
      <c r="AF353" s="1214"/>
      <c r="AV353" s="1214"/>
      <c r="AW353" s="1214"/>
      <c r="AX353" s="1214"/>
      <c r="AY353" s="1214"/>
      <c r="AZ353" s="1214"/>
      <c r="BA353" s="1214"/>
      <c r="BC353" s="1214"/>
      <c r="BE353" s="1214"/>
      <c r="BF353" s="1214"/>
      <c r="BG353" s="1214"/>
    </row>
    <row r="354" spans="18:59" x14ac:dyDescent="0.35">
      <c r="R354" s="1214"/>
      <c r="S354" s="1214"/>
      <c r="W354" s="1214"/>
      <c r="X354" s="1214"/>
      <c r="AE354" s="1214"/>
      <c r="AF354" s="1214"/>
      <c r="AV354" s="1214"/>
      <c r="AW354" s="1214"/>
      <c r="AX354" s="1214"/>
      <c r="AY354" s="1214"/>
      <c r="AZ354" s="1214"/>
      <c r="BA354" s="1214"/>
      <c r="BC354" s="1214"/>
      <c r="BE354" s="1214"/>
      <c r="BF354" s="1214"/>
      <c r="BG354" s="1214"/>
    </row>
    <row r="355" spans="18:59" x14ac:dyDescent="0.35">
      <c r="R355" s="1214"/>
      <c r="S355" s="1214"/>
      <c r="W355" s="1214"/>
      <c r="X355" s="1214"/>
      <c r="AE355" s="1214"/>
      <c r="AF355" s="1214"/>
      <c r="AV355" s="1214"/>
      <c r="AW355" s="1214"/>
      <c r="AX355" s="1214"/>
      <c r="AY355" s="1214"/>
      <c r="AZ355" s="1214"/>
      <c r="BA355" s="1214"/>
      <c r="BC355" s="1214"/>
      <c r="BE355" s="1214"/>
      <c r="BF355" s="1214"/>
      <c r="BG355" s="1214"/>
    </row>
    <row r="356" spans="18:59" x14ac:dyDescent="0.35">
      <c r="R356" s="1214"/>
      <c r="S356" s="1214"/>
      <c r="W356" s="1214"/>
      <c r="X356" s="1214"/>
      <c r="AE356" s="1214"/>
      <c r="AF356" s="1214"/>
      <c r="AV356" s="1214"/>
      <c r="AW356" s="1214"/>
      <c r="AX356" s="1214"/>
      <c r="AY356" s="1214"/>
      <c r="AZ356" s="1214"/>
      <c r="BA356" s="1214"/>
      <c r="BC356" s="1214"/>
      <c r="BE356" s="1214"/>
      <c r="BF356" s="1214"/>
      <c r="BG356" s="1214"/>
    </row>
    <row r="357" spans="18:59" x14ac:dyDescent="0.35">
      <c r="R357" s="1214"/>
      <c r="S357" s="1214"/>
      <c r="W357" s="1214"/>
      <c r="X357" s="1214"/>
      <c r="AE357" s="1214"/>
      <c r="AF357" s="1214"/>
      <c r="AV357" s="1214"/>
      <c r="AW357" s="1214"/>
      <c r="AX357" s="1214"/>
      <c r="AY357" s="1214"/>
      <c r="AZ357" s="1214"/>
      <c r="BA357" s="1214"/>
      <c r="BC357" s="1214"/>
      <c r="BE357" s="1214"/>
      <c r="BF357" s="1214"/>
      <c r="BG357" s="1214"/>
    </row>
    <row r="358" spans="18:59" x14ac:dyDescent="0.35">
      <c r="R358" s="1214"/>
      <c r="S358" s="1214"/>
      <c r="W358" s="1214"/>
      <c r="X358" s="1214"/>
      <c r="AE358" s="1214"/>
      <c r="AF358" s="1214"/>
      <c r="AV358" s="1214"/>
      <c r="AW358" s="1214"/>
      <c r="AX358" s="1214"/>
      <c r="AY358" s="1214"/>
      <c r="AZ358" s="1214"/>
      <c r="BA358" s="1214"/>
      <c r="BC358" s="1214"/>
      <c r="BE358" s="1214"/>
      <c r="BF358" s="1214"/>
      <c r="BG358" s="1214"/>
    </row>
    <row r="359" spans="18:59" x14ac:dyDescent="0.35">
      <c r="R359" s="1214"/>
      <c r="S359" s="1214"/>
      <c r="W359" s="1214"/>
      <c r="X359" s="1214"/>
      <c r="AE359" s="1214"/>
      <c r="AF359" s="1214"/>
      <c r="AV359" s="1214"/>
      <c r="AW359" s="1214"/>
      <c r="AX359" s="1214"/>
      <c r="AY359" s="1214"/>
      <c r="AZ359" s="1214"/>
      <c r="BA359" s="1214"/>
      <c r="BC359" s="1214"/>
      <c r="BE359" s="1214"/>
      <c r="BF359" s="1214"/>
      <c r="BG359" s="1214"/>
    </row>
    <row r="360" spans="18:59" x14ac:dyDescent="0.35">
      <c r="R360" s="1214"/>
      <c r="S360" s="1214"/>
      <c r="W360" s="1214"/>
      <c r="X360" s="1214"/>
      <c r="AE360" s="1214"/>
      <c r="AF360" s="1214"/>
      <c r="AV360" s="1214"/>
      <c r="AW360" s="1214"/>
      <c r="AX360" s="1214"/>
      <c r="AY360" s="1214"/>
      <c r="AZ360" s="1214"/>
      <c r="BA360" s="1214"/>
      <c r="BC360" s="1214"/>
      <c r="BE360" s="1214"/>
      <c r="BF360" s="1214"/>
      <c r="BG360" s="1214"/>
    </row>
    <row r="361" spans="18:59" x14ac:dyDescent="0.35">
      <c r="R361" s="1214"/>
      <c r="S361" s="1214"/>
      <c r="W361" s="1214"/>
      <c r="X361" s="1214"/>
      <c r="AE361" s="1214"/>
      <c r="AF361" s="1214"/>
      <c r="AV361" s="1214"/>
      <c r="AW361" s="1214"/>
      <c r="AX361" s="1214"/>
      <c r="AY361" s="1214"/>
      <c r="AZ361" s="1214"/>
      <c r="BA361" s="1214"/>
      <c r="BC361" s="1214"/>
      <c r="BE361" s="1214"/>
      <c r="BF361" s="1214"/>
      <c r="BG361" s="1214"/>
    </row>
    <row r="362" spans="18:59" x14ac:dyDescent="0.35">
      <c r="R362" s="1214"/>
      <c r="S362" s="1214"/>
      <c r="W362" s="1214"/>
      <c r="X362" s="1214"/>
      <c r="AE362" s="1214"/>
      <c r="AF362" s="1214"/>
      <c r="AV362" s="1214"/>
      <c r="AW362" s="1214"/>
      <c r="AX362" s="1214"/>
      <c r="AY362" s="1214"/>
      <c r="AZ362" s="1214"/>
      <c r="BA362" s="1214"/>
      <c r="BC362" s="1214"/>
      <c r="BE362" s="1214"/>
      <c r="BF362" s="1214"/>
      <c r="BG362" s="1214"/>
    </row>
    <row r="363" spans="18:59" x14ac:dyDescent="0.35">
      <c r="R363" s="1214"/>
      <c r="S363" s="1214"/>
      <c r="W363" s="1214"/>
      <c r="X363" s="1214"/>
      <c r="AE363" s="1214"/>
      <c r="AF363" s="1214"/>
      <c r="AV363" s="1214"/>
      <c r="AW363" s="1214"/>
      <c r="AX363" s="1214"/>
      <c r="AY363" s="1214"/>
      <c r="AZ363" s="1214"/>
      <c r="BA363" s="1214"/>
      <c r="BC363" s="1214"/>
      <c r="BE363" s="1214"/>
      <c r="BF363" s="1214"/>
      <c r="BG363" s="1214"/>
    </row>
    <row r="364" spans="18:59" x14ac:dyDescent="0.35">
      <c r="R364" s="1214"/>
      <c r="S364" s="1214"/>
      <c r="W364" s="1214"/>
      <c r="X364" s="1214"/>
      <c r="AE364" s="1214"/>
      <c r="AF364" s="1214"/>
      <c r="AV364" s="1214"/>
      <c r="AW364" s="1214"/>
      <c r="AX364" s="1214"/>
      <c r="AY364" s="1214"/>
      <c r="AZ364" s="1214"/>
      <c r="BA364" s="1214"/>
      <c r="BC364" s="1214"/>
      <c r="BE364" s="1214"/>
      <c r="BF364" s="1214"/>
      <c r="BG364" s="1214"/>
    </row>
    <row r="365" spans="18:59" x14ac:dyDescent="0.35">
      <c r="R365" s="1214"/>
      <c r="S365" s="1214"/>
      <c r="W365" s="1214"/>
      <c r="X365" s="1214"/>
      <c r="AE365" s="1214"/>
      <c r="AF365" s="1214"/>
      <c r="AV365" s="1214"/>
      <c r="AW365" s="1214"/>
      <c r="AX365" s="1214"/>
      <c r="AY365" s="1214"/>
      <c r="AZ365" s="1214"/>
      <c r="BA365" s="1214"/>
      <c r="BC365" s="1214"/>
      <c r="BE365" s="1214"/>
      <c r="BF365" s="1214"/>
      <c r="BG365" s="1214"/>
    </row>
    <row r="366" spans="18:59" x14ac:dyDescent="0.35">
      <c r="R366" s="1214"/>
      <c r="S366" s="1214"/>
      <c r="W366" s="1214"/>
      <c r="X366" s="1214"/>
      <c r="AE366" s="1214"/>
      <c r="AF366" s="1214"/>
      <c r="AV366" s="1214"/>
      <c r="AW366" s="1214"/>
      <c r="AX366" s="1214"/>
      <c r="AY366" s="1214"/>
      <c r="AZ366" s="1214"/>
      <c r="BA366" s="1214"/>
      <c r="BC366" s="1214"/>
      <c r="BE366" s="1214"/>
      <c r="BF366" s="1214"/>
      <c r="BG366" s="1214"/>
    </row>
    <row r="367" spans="18:59" x14ac:dyDescent="0.35">
      <c r="R367" s="1214"/>
      <c r="S367" s="1214"/>
      <c r="W367" s="1214"/>
      <c r="X367" s="1214"/>
      <c r="AE367" s="1214"/>
      <c r="AF367" s="1214"/>
      <c r="AV367" s="1214"/>
      <c r="AW367" s="1214"/>
      <c r="AX367" s="1214"/>
      <c r="AY367" s="1214"/>
      <c r="AZ367" s="1214"/>
      <c r="BA367" s="1214"/>
      <c r="BC367" s="1214"/>
      <c r="BE367" s="1214"/>
      <c r="BF367" s="1214"/>
      <c r="BG367" s="1214"/>
    </row>
    <row r="368" spans="18:59" x14ac:dyDescent="0.35">
      <c r="R368" s="1214"/>
      <c r="S368" s="1214"/>
      <c r="W368" s="1214"/>
      <c r="X368" s="1214"/>
      <c r="AE368" s="1214"/>
      <c r="AF368" s="1214"/>
      <c r="AV368" s="1214"/>
      <c r="AW368" s="1214"/>
      <c r="AX368" s="1214"/>
      <c r="AY368" s="1214"/>
      <c r="AZ368" s="1214"/>
      <c r="BA368" s="1214"/>
      <c r="BC368" s="1214"/>
      <c r="BE368" s="1214"/>
      <c r="BF368" s="1214"/>
      <c r="BG368" s="1214"/>
    </row>
    <row r="369" spans="18:59" x14ac:dyDescent="0.35">
      <c r="R369" s="1214"/>
      <c r="S369" s="1214"/>
      <c r="W369" s="1214"/>
      <c r="X369" s="1214"/>
      <c r="AE369" s="1214"/>
      <c r="AF369" s="1214"/>
      <c r="AV369" s="1214"/>
      <c r="AW369" s="1214"/>
      <c r="AX369" s="1214"/>
      <c r="AY369" s="1214"/>
      <c r="AZ369" s="1214"/>
      <c r="BA369" s="1214"/>
      <c r="BC369" s="1214"/>
      <c r="BE369" s="1214"/>
      <c r="BF369" s="1214"/>
      <c r="BG369" s="1214"/>
    </row>
    <row r="370" spans="18:59" x14ac:dyDescent="0.35">
      <c r="R370" s="1214"/>
      <c r="S370" s="1214"/>
      <c r="W370" s="1214"/>
      <c r="X370" s="1214"/>
      <c r="AE370" s="1214"/>
      <c r="AF370" s="1214"/>
      <c r="AV370" s="1214"/>
      <c r="AW370" s="1214"/>
      <c r="AX370" s="1214"/>
      <c r="AY370" s="1214"/>
      <c r="AZ370" s="1214"/>
      <c r="BA370" s="1214"/>
      <c r="BC370" s="1214"/>
      <c r="BE370" s="1214"/>
      <c r="BF370" s="1214"/>
      <c r="BG370" s="1214"/>
    </row>
    <row r="371" spans="18:59" x14ac:dyDescent="0.35">
      <c r="R371" s="1214"/>
      <c r="S371" s="1214"/>
      <c r="W371" s="1214"/>
      <c r="X371" s="1214"/>
      <c r="AE371" s="1214"/>
      <c r="AF371" s="1214"/>
      <c r="AV371" s="1214"/>
      <c r="AW371" s="1214"/>
      <c r="AX371" s="1214"/>
      <c r="AY371" s="1214"/>
      <c r="AZ371" s="1214"/>
      <c r="BA371" s="1214"/>
      <c r="BC371" s="1214"/>
      <c r="BE371" s="1214"/>
      <c r="BF371" s="1214"/>
      <c r="BG371" s="1214"/>
    </row>
    <row r="372" spans="18:59" x14ac:dyDescent="0.35">
      <c r="R372" s="1214"/>
      <c r="S372" s="1214"/>
      <c r="W372" s="1214"/>
      <c r="X372" s="1214"/>
      <c r="AE372" s="1214"/>
      <c r="AF372" s="1214"/>
      <c r="AV372" s="1214"/>
      <c r="AW372" s="1214"/>
      <c r="AX372" s="1214"/>
      <c r="AY372" s="1214"/>
      <c r="AZ372" s="1214"/>
      <c r="BA372" s="1214"/>
      <c r="BC372" s="1214"/>
      <c r="BE372" s="1214"/>
      <c r="BF372" s="1214"/>
      <c r="BG372" s="1214"/>
    </row>
    <row r="373" spans="18:59" x14ac:dyDescent="0.35">
      <c r="R373" s="1214"/>
      <c r="S373" s="1214"/>
      <c r="W373" s="1214"/>
      <c r="X373" s="1214"/>
      <c r="AE373" s="1214"/>
      <c r="AF373" s="1214"/>
      <c r="AV373" s="1214"/>
      <c r="AW373" s="1214"/>
      <c r="AX373" s="1214"/>
      <c r="AY373" s="1214"/>
      <c r="AZ373" s="1214"/>
      <c r="BA373" s="1214"/>
      <c r="BC373" s="1214"/>
      <c r="BE373" s="1214"/>
      <c r="BF373" s="1214"/>
      <c r="BG373" s="1214"/>
    </row>
    <row r="374" spans="18:59" x14ac:dyDescent="0.35">
      <c r="R374" s="1214"/>
      <c r="S374" s="1214"/>
      <c r="W374" s="1214"/>
      <c r="X374" s="1214"/>
      <c r="AE374" s="1214"/>
      <c r="AF374" s="1214"/>
      <c r="AV374" s="1214"/>
      <c r="AW374" s="1214"/>
      <c r="AX374" s="1214"/>
      <c r="AY374" s="1214"/>
      <c r="AZ374" s="1214"/>
      <c r="BA374" s="1214"/>
      <c r="BC374" s="1214"/>
      <c r="BE374" s="1214"/>
      <c r="BF374" s="1214"/>
      <c r="BG374" s="1214"/>
    </row>
    <row r="375" spans="18:59" x14ac:dyDescent="0.35">
      <c r="R375" s="1214"/>
      <c r="S375" s="1214"/>
      <c r="W375" s="1214"/>
      <c r="X375" s="1214"/>
      <c r="AE375" s="1214"/>
      <c r="AF375" s="1214"/>
      <c r="AV375" s="1214"/>
      <c r="AW375" s="1214"/>
      <c r="AX375" s="1214"/>
      <c r="AY375" s="1214"/>
      <c r="AZ375" s="1214"/>
      <c r="BA375" s="1214"/>
      <c r="BC375" s="1214"/>
      <c r="BE375" s="1214"/>
      <c r="BF375" s="1214"/>
      <c r="BG375" s="1214"/>
    </row>
    <row r="376" spans="18:59" x14ac:dyDescent="0.35">
      <c r="R376" s="1214"/>
      <c r="S376" s="1214"/>
      <c r="W376" s="1214"/>
      <c r="X376" s="1214"/>
      <c r="AE376" s="1214"/>
      <c r="AF376" s="1214"/>
      <c r="AV376" s="1214"/>
      <c r="AW376" s="1214"/>
      <c r="AX376" s="1214"/>
      <c r="AY376" s="1214"/>
      <c r="AZ376" s="1214"/>
      <c r="BA376" s="1214"/>
      <c r="BC376" s="1214"/>
      <c r="BE376" s="1214"/>
      <c r="BF376" s="1214"/>
      <c r="BG376" s="1214"/>
    </row>
    <row r="377" spans="18:59" x14ac:dyDescent="0.35">
      <c r="R377" s="1214"/>
      <c r="S377" s="1214"/>
      <c r="W377" s="1214"/>
      <c r="X377" s="1214"/>
      <c r="AE377" s="1214"/>
      <c r="AF377" s="1214"/>
      <c r="AV377" s="1214"/>
      <c r="AW377" s="1214"/>
      <c r="AX377" s="1214"/>
      <c r="AY377" s="1214"/>
      <c r="AZ377" s="1214"/>
      <c r="BA377" s="1214"/>
      <c r="BC377" s="1214"/>
      <c r="BE377" s="1214"/>
      <c r="BF377" s="1214"/>
      <c r="BG377" s="1214"/>
    </row>
    <row r="378" spans="18:59" x14ac:dyDescent="0.35">
      <c r="R378" s="1214"/>
      <c r="S378" s="1214"/>
      <c r="W378" s="1214"/>
      <c r="X378" s="1214"/>
      <c r="AE378" s="1214"/>
      <c r="AF378" s="1214"/>
      <c r="AV378" s="1214"/>
      <c r="AW378" s="1214"/>
      <c r="AX378" s="1214"/>
      <c r="AY378" s="1214"/>
      <c r="AZ378" s="1214"/>
      <c r="BA378" s="1214"/>
      <c r="BC378" s="1214"/>
      <c r="BE378" s="1214"/>
      <c r="BF378" s="1214"/>
      <c r="BG378" s="1214"/>
    </row>
    <row r="379" spans="18:59" x14ac:dyDescent="0.35">
      <c r="R379" s="1214"/>
      <c r="S379" s="1214"/>
      <c r="W379" s="1214"/>
      <c r="X379" s="1214"/>
      <c r="AE379" s="1214"/>
      <c r="AF379" s="1214"/>
      <c r="AV379" s="1214"/>
      <c r="AW379" s="1214"/>
      <c r="AX379" s="1214"/>
      <c r="AY379" s="1214"/>
      <c r="AZ379" s="1214"/>
      <c r="BA379" s="1214"/>
      <c r="BC379" s="1214"/>
      <c r="BE379" s="1214"/>
      <c r="BF379" s="1214"/>
      <c r="BG379" s="1214"/>
    </row>
    <row r="380" spans="18:59" x14ac:dyDescent="0.35">
      <c r="R380" s="1214"/>
      <c r="S380" s="1214"/>
      <c r="W380" s="1214"/>
      <c r="X380" s="1214"/>
      <c r="AE380" s="1214"/>
      <c r="AF380" s="1214"/>
      <c r="AV380" s="1214"/>
      <c r="AW380" s="1214"/>
      <c r="AX380" s="1214"/>
      <c r="AY380" s="1214"/>
      <c r="AZ380" s="1214"/>
      <c r="BA380" s="1214"/>
      <c r="BC380" s="1214"/>
      <c r="BE380" s="1214"/>
      <c r="BF380" s="1214"/>
      <c r="BG380" s="1214"/>
    </row>
    <row r="381" spans="18:59" x14ac:dyDescent="0.35">
      <c r="R381" s="1214"/>
      <c r="S381" s="1214"/>
      <c r="W381" s="1214"/>
      <c r="X381" s="1214"/>
      <c r="AE381" s="1214"/>
      <c r="AF381" s="1214"/>
      <c r="AV381" s="1214"/>
      <c r="AW381" s="1214"/>
      <c r="AX381" s="1214"/>
      <c r="AY381" s="1214"/>
      <c r="AZ381" s="1214"/>
      <c r="BA381" s="1214"/>
      <c r="BC381" s="1214"/>
      <c r="BE381" s="1214"/>
      <c r="BF381" s="1214"/>
      <c r="BG381" s="1214"/>
    </row>
    <row r="382" spans="18:59" x14ac:dyDescent="0.35">
      <c r="R382" s="1214"/>
      <c r="S382" s="1214"/>
      <c r="W382" s="1214"/>
      <c r="X382" s="1214"/>
      <c r="AE382" s="1214"/>
      <c r="AF382" s="1214"/>
      <c r="AV382" s="1214"/>
      <c r="AW382" s="1214"/>
      <c r="AX382" s="1214"/>
      <c r="AY382" s="1214"/>
      <c r="AZ382" s="1214"/>
      <c r="BA382" s="1214"/>
      <c r="BC382" s="1214"/>
      <c r="BE382" s="1214"/>
      <c r="BF382" s="1214"/>
      <c r="BG382" s="1214"/>
    </row>
    <row r="383" spans="18:59" x14ac:dyDescent="0.35">
      <c r="R383" s="1214"/>
      <c r="S383" s="1214"/>
      <c r="W383" s="1214"/>
      <c r="X383" s="1214"/>
      <c r="AE383" s="1214"/>
      <c r="AF383" s="1214"/>
      <c r="AV383" s="1214"/>
      <c r="AW383" s="1214"/>
      <c r="AX383" s="1214"/>
      <c r="AY383" s="1214"/>
      <c r="AZ383" s="1214"/>
      <c r="BA383" s="1214"/>
      <c r="BC383" s="1214"/>
      <c r="BE383" s="1214"/>
      <c r="BF383" s="1214"/>
      <c r="BG383" s="1214"/>
    </row>
    <row r="384" spans="18:59" x14ac:dyDescent="0.35">
      <c r="R384" s="1214"/>
      <c r="S384" s="1214"/>
      <c r="W384" s="1214"/>
      <c r="X384" s="1214"/>
      <c r="AE384" s="1214"/>
      <c r="AF384" s="1214"/>
      <c r="AV384" s="1214"/>
      <c r="AW384" s="1214"/>
      <c r="AX384" s="1214"/>
      <c r="AY384" s="1214"/>
      <c r="AZ384" s="1214"/>
      <c r="BA384" s="1214"/>
      <c r="BC384" s="1214"/>
      <c r="BE384" s="1214"/>
      <c r="BF384" s="1214"/>
      <c r="BG384" s="1214"/>
    </row>
    <row r="385" spans="18:59" x14ac:dyDescent="0.35">
      <c r="R385" s="1214"/>
      <c r="S385" s="1214"/>
      <c r="W385" s="1214"/>
      <c r="X385" s="1214"/>
      <c r="AE385" s="1214"/>
      <c r="AF385" s="1214"/>
      <c r="AV385" s="1214"/>
      <c r="AW385" s="1214"/>
      <c r="AX385" s="1214"/>
      <c r="AY385" s="1214"/>
      <c r="AZ385" s="1214"/>
      <c r="BA385" s="1214"/>
      <c r="BC385" s="1214"/>
      <c r="BE385" s="1214"/>
      <c r="BF385" s="1214"/>
      <c r="BG385" s="1214"/>
    </row>
    <row r="386" spans="18:59" x14ac:dyDescent="0.35">
      <c r="R386" s="1214"/>
      <c r="S386" s="1214"/>
      <c r="W386" s="1214"/>
      <c r="X386" s="1214"/>
      <c r="AE386" s="1214"/>
      <c r="AF386" s="1214"/>
      <c r="AV386" s="1214"/>
      <c r="AW386" s="1214"/>
      <c r="AX386" s="1214"/>
      <c r="AY386" s="1214"/>
      <c r="AZ386" s="1214"/>
      <c r="BA386" s="1214"/>
      <c r="BC386" s="1214"/>
      <c r="BE386" s="1214"/>
      <c r="BF386" s="1214"/>
      <c r="BG386" s="1214"/>
    </row>
    <row r="387" spans="18:59" x14ac:dyDescent="0.35">
      <c r="R387" s="1214"/>
      <c r="S387" s="1214"/>
      <c r="W387" s="1214"/>
      <c r="X387" s="1214"/>
      <c r="AE387" s="1214"/>
      <c r="AF387" s="1214"/>
      <c r="AV387" s="1214"/>
      <c r="AW387" s="1214"/>
      <c r="AX387" s="1214"/>
      <c r="AY387" s="1214"/>
      <c r="AZ387" s="1214"/>
      <c r="BA387" s="1214"/>
      <c r="BC387" s="1214"/>
      <c r="BE387" s="1214"/>
      <c r="BF387" s="1214"/>
      <c r="BG387" s="1214"/>
    </row>
    <row r="388" spans="18:59" x14ac:dyDescent="0.35">
      <c r="R388" s="1214"/>
      <c r="S388" s="1214"/>
      <c r="W388" s="1214"/>
      <c r="X388" s="1214"/>
      <c r="AE388" s="1214"/>
      <c r="AF388" s="1214"/>
      <c r="AV388" s="1214"/>
      <c r="AW388" s="1214"/>
      <c r="AX388" s="1214"/>
      <c r="AY388" s="1214"/>
      <c r="AZ388" s="1214"/>
      <c r="BA388" s="1214"/>
      <c r="BC388" s="1214"/>
      <c r="BE388" s="1214"/>
      <c r="BF388" s="1214"/>
      <c r="BG388" s="1214"/>
    </row>
    <row r="389" spans="18:59" x14ac:dyDescent="0.35">
      <c r="R389" s="1214"/>
      <c r="S389" s="1214"/>
      <c r="W389" s="1214"/>
      <c r="X389" s="1214"/>
      <c r="AE389" s="1214"/>
      <c r="AF389" s="1214"/>
      <c r="AV389" s="1214"/>
      <c r="AW389" s="1214"/>
      <c r="AX389" s="1214"/>
      <c r="AY389" s="1214"/>
      <c r="AZ389" s="1214"/>
      <c r="BA389" s="1214"/>
      <c r="BC389" s="1214"/>
      <c r="BE389" s="1214"/>
      <c r="BF389" s="1214"/>
      <c r="BG389" s="1214"/>
    </row>
    <row r="390" spans="18:59" x14ac:dyDescent="0.35">
      <c r="R390" s="1214"/>
      <c r="S390" s="1214"/>
      <c r="W390" s="1214"/>
      <c r="X390" s="1214"/>
      <c r="AE390" s="1214"/>
      <c r="AF390" s="1214"/>
      <c r="AV390" s="1214"/>
      <c r="AW390" s="1214"/>
      <c r="AX390" s="1214"/>
      <c r="AY390" s="1214"/>
      <c r="AZ390" s="1214"/>
      <c r="BA390" s="1214"/>
      <c r="BC390" s="1214"/>
      <c r="BE390" s="1214"/>
      <c r="BF390" s="1214"/>
      <c r="BG390" s="1214"/>
    </row>
    <row r="391" spans="18:59" x14ac:dyDescent="0.35">
      <c r="R391" s="1214"/>
      <c r="S391" s="1214"/>
      <c r="W391" s="1214"/>
      <c r="X391" s="1214"/>
      <c r="AE391" s="1214"/>
      <c r="AF391" s="1214"/>
      <c r="AV391" s="1214"/>
      <c r="AW391" s="1214"/>
      <c r="AX391" s="1214"/>
      <c r="AY391" s="1214"/>
      <c r="AZ391" s="1214"/>
      <c r="BA391" s="1214"/>
      <c r="BC391" s="1214"/>
      <c r="BE391" s="1214"/>
      <c r="BF391" s="1214"/>
      <c r="BG391" s="1214"/>
    </row>
    <row r="392" spans="18:59" x14ac:dyDescent="0.35">
      <c r="R392" s="1214"/>
      <c r="S392" s="1214"/>
      <c r="W392" s="1214"/>
      <c r="X392" s="1214"/>
      <c r="AE392" s="1214"/>
      <c r="AF392" s="1214"/>
      <c r="AV392" s="1214"/>
      <c r="AW392" s="1214"/>
      <c r="AX392" s="1214"/>
      <c r="AY392" s="1214"/>
      <c r="AZ392" s="1214"/>
      <c r="BA392" s="1214"/>
      <c r="BC392" s="1214"/>
      <c r="BE392" s="1214"/>
      <c r="BF392" s="1214"/>
      <c r="BG392" s="1214"/>
    </row>
    <row r="393" spans="18:59" x14ac:dyDescent="0.35">
      <c r="R393" s="1214"/>
      <c r="S393" s="1214"/>
      <c r="W393" s="1214"/>
      <c r="X393" s="1214"/>
      <c r="AE393" s="1214"/>
      <c r="AF393" s="1214"/>
      <c r="AV393" s="1214"/>
      <c r="AW393" s="1214"/>
      <c r="AX393" s="1214"/>
      <c r="AY393" s="1214"/>
      <c r="AZ393" s="1214"/>
      <c r="BA393" s="1214"/>
      <c r="BC393" s="1214"/>
      <c r="BE393" s="1214"/>
      <c r="BF393" s="1214"/>
      <c r="BG393" s="1214"/>
    </row>
    <row r="394" spans="18:59" x14ac:dyDescent="0.35">
      <c r="R394" s="1214"/>
      <c r="S394" s="1214"/>
      <c r="W394" s="1214"/>
      <c r="X394" s="1214"/>
      <c r="AE394" s="1214"/>
      <c r="AF394" s="1214"/>
      <c r="AV394" s="1214"/>
      <c r="AW394" s="1214"/>
      <c r="AX394" s="1214"/>
      <c r="AY394" s="1214"/>
      <c r="AZ394" s="1214"/>
      <c r="BA394" s="1214"/>
      <c r="BC394" s="1214"/>
      <c r="BE394" s="1214"/>
      <c r="BF394" s="1214"/>
      <c r="BG394" s="1214"/>
    </row>
    <row r="395" spans="18:59" x14ac:dyDescent="0.35">
      <c r="R395" s="1214"/>
      <c r="S395" s="1214"/>
      <c r="W395" s="1214"/>
      <c r="X395" s="1214"/>
      <c r="AE395" s="1214"/>
      <c r="AF395" s="1214"/>
      <c r="AV395" s="1214"/>
      <c r="AW395" s="1214"/>
      <c r="AX395" s="1214"/>
      <c r="AY395" s="1214"/>
      <c r="AZ395" s="1214"/>
      <c r="BA395" s="1214"/>
      <c r="BC395" s="1214"/>
      <c r="BE395" s="1214"/>
      <c r="BF395" s="1214"/>
      <c r="BG395" s="1214"/>
    </row>
    <row r="396" spans="18:59" x14ac:dyDescent="0.35">
      <c r="R396" s="1214"/>
      <c r="S396" s="1214"/>
      <c r="W396" s="1214"/>
      <c r="X396" s="1214"/>
      <c r="AE396" s="1214"/>
      <c r="AF396" s="1214"/>
      <c r="AV396" s="1214"/>
      <c r="AW396" s="1214"/>
      <c r="AX396" s="1214"/>
      <c r="AY396" s="1214"/>
      <c r="AZ396" s="1214"/>
      <c r="BA396" s="1214"/>
      <c r="BC396" s="1214"/>
      <c r="BE396" s="1214"/>
      <c r="BF396" s="1214"/>
      <c r="BG396" s="1214"/>
    </row>
    <row r="397" spans="18:59" x14ac:dyDescent="0.35">
      <c r="R397" s="1214"/>
      <c r="S397" s="1214"/>
      <c r="W397" s="1214"/>
      <c r="X397" s="1214"/>
      <c r="AE397" s="1214"/>
      <c r="AF397" s="1214"/>
      <c r="AV397" s="1214"/>
      <c r="AW397" s="1214"/>
      <c r="AX397" s="1214"/>
      <c r="AY397" s="1214"/>
      <c r="AZ397" s="1214"/>
      <c r="BA397" s="1214"/>
      <c r="BC397" s="1214"/>
      <c r="BE397" s="1214"/>
      <c r="BF397" s="1214"/>
      <c r="BG397" s="1214"/>
    </row>
    <row r="398" spans="18:59" x14ac:dyDescent="0.35">
      <c r="R398" s="1214"/>
      <c r="S398" s="1214"/>
      <c r="W398" s="1214"/>
      <c r="X398" s="1214"/>
      <c r="AE398" s="1214"/>
      <c r="AF398" s="1214"/>
      <c r="AV398" s="1214"/>
      <c r="AW398" s="1214"/>
      <c r="AX398" s="1214"/>
      <c r="AY398" s="1214"/>
      <c r="AZ398" s="1214"/>
      <c r="BA398" s="1214"/>
      <c r="BC398" s="1214"/>
      <c r="BE398" s="1214"/>
      <c r="BF398" s="1214"/>
      <c r="BG398" s="1214"/>
    </row>
    <row r="399" spans="18:59" x14ac:dyDescent="0.35">
      <c r="R399" s="1214"/>
      <c r="S399" s="1214"/>
      <c r="W399" s="1214"/>
      <c r="X399" s="1214"/>
      <c r="AE399" s="1214"/>
      <c r="AF399" s="1214"/>
      <c r="AV399" s="1214"/>
      <c r="AW399" s="1214"/>
      <c r="AX399" s="1214"/>
      <c r="AY399" s="1214"/>
      <c r="AZ399" s="1214"/>
      <c r="BA399" s="1214"/>
      <c r="BC399" s="1214"/>
      <c r="BE399" s="1214"/>
      <c r="BF399" s="1214"/>
      <c r="BG399" s="1214"/>
    </row>
    <row r="400" spans="18:59" x14ac:dyDescent="0.35">
      <c r="R400" s="1214"/>
      <c r="S400" s="1214"/>
      <c r="W400" s="1214"/>
      <c r="X400" s="1214"/>
      <c r="AE400" s="1214"/>
      <c r="AF400" s="1214"/>
      <c r="AV400" s="1214"/>
      <c r="AW400" s="1214"/>
      <c r="AX400" s="1214"/>
      <c r="AY400" s="1214"/>
      <c r="AZ400" s="1214"/>
      <c r="BA400" s="1214"/>
      <c r="BC400" s="1214"/>
      <c r="BE400" s="1214"/>
      <c r="BF400" s="1214"/>
      <c r="BG400" s="1214"/>
    </row>
    <row r="401" spans="18:59" x14ac:dyDescent="0.35">
      <c r="R401" s="1214"/>
      <c r="S401" s="1214"/>
      <c r="W401" s="1214"/>
      <c r="X401" s="1214"/>
      <c r="AE401" s="1214"/>
      <c r="AF401" s="1214"/>
      <c r="AV401" s="1214"/>
      <c r="AW401" s="1214"/>
      <c r="AX401" s="1214"/>
      <c r="AY401" s="1214"/>
      <c r="AZ401" s="1214"/>
      <c r="BA401" s="1214"/>
      <c r="BC401" s="1214"/>
      <c r="BE401" s="1214"/>
      <c r="BF401" s="1214"/>
      <c r="BG401" s="1214"/>
    </row>
    <row r="402" spans="18:59" x14ac:dyDescent="0.35">
      <c r="R402" s="1214"/>
      <c r="S402" s="1214"/>
      <c r="W402" s="1214"/>
      <c r="X402" s="1214"/>
      <c r="AE402" s="1214"/>
      <c r="AF402" s="1214"/>
      <c r="AV402" s="1214"/>
      <c r="AW402" s="1214"/>
      <c r="AX402" s="1214"/>
      <c r="AY402" s="1214"/>
      <c r="AZ402" s="1214"/>
      <c r="BA402" s="1214"/>
      <c r="BC402" s="1214"/>
      <c r="BE402" s="1214"/>
      <c r="BF402" s="1214"/>
      <c r="BG402" s="1214"/>
    </row>
    <row r="403" spans="18:59" x14ac:dyDescent="0.35">
      <c r="R403" s="1214"/>
      <c r="S403" s="1214"/>
      <c r="W403" s="1214"/>
      <c r="X403" s="1214"/>
      <c r="AE403" s="1214"/>
      <c r="AF403" s="1214"/>
      <c r="AV403" s="1214"/>
      <c r="AW403" s="1214"/>
      <c r="AX403" s="1214"/>
      <c r="AY403" s="1214"/>
      <c r="AZ403" s="1214"/>
      <c r="BA403" s="1214"/>
      <c r="BC403" s="1214"/>
      <c r="BE403" s="1214"/>
      <c r="BF403" s="1214"/>
      <c r="BG403" s="1214"/>
    </row>
    <row r="404" spans="18:59" x14ac:dyDescent="0.35">
      <c r="R404" s="1214"/>
      <c r="S404" s="1214"/>
      <c r="W404" s="1214"/>
      <c r="X404" s="1214"/>
      <c r="AE404" s="1214"/>
      <c r="AF404" s="1214"/>
      <c r="AV404" s="1214"/>
      <c r="AW404" s="1214"/>
      <c r="AX404" s="1214"/>
      <c r="AY404" s="1214"/>
      <c r="AZ404" s="1214"/>
      <c r="BA404" s="1214"/>
      <c r="BC404" s="1214"/>
      <c r="BE404" s="1214"/>
      <c r="BF404" s="1214"/>
      <c r="BG404" s="1214"/>
    </row>
    <row r="405" spans="18:59" x14ac:dyDescent="0.35">
      <c r="R405" s="1214"/>
      <c r="S405" s="1214"/>
      <c r="W405" s="1214"/>
      <c r="X405" s="1214"/>
      <c r="AE405" s="1214"/>
      <c r="AF405" s="1214"/>
      <c r="AV405" s="1214"/>
      <c r="AW405" s="1214"/>
      <c r="AX405" s="1214"/>
      <c r="AY405" s="1214"/>
      <c r="AZ405" s="1214"/>
      <c r="BA405" s="1214"/>
      <c r="BC405" s="1214"/>
      <c r="BE405" s="1214"/>
      <c r="BF405" s="1214"/>
      <c r="BG405" s="1214"/>
    </row>
    <row r="406" spans="18:59" x14ac:dyDescent="0.35">
      <c r="R406" s="1214"/>
      <c r="S406" s="1214"/>
      <c r="W406" s="1214"/>
      <c r="X406" s="1214"/>
      <c r="AE406" s="1214"/>
      <c r="AF406" s="1214"/>
      <c r="AV406" s="1214"/>
      <c r="AW406" s="1214"/>
      <c r="AX406" s="1214"/>
      <c r="AY406" s="1214"/>
      <c r="AZ406" s="1214"/>
      <c r="BA406" s="1214"/>
      <c r="BC406" s="1214"/>
      <c r="BE406" s="1214"/>
      <c r="BF406" s="1214"/>
      <c r="BG406" s="1214"/>
    </row>
    <row r="407" spans="18:59" x14ac:dyDescent="0.35">
      <c r="R407" s="1214"/>
      <c r="S407" s="1214"/>
      <c r="W407" s="1214"/>
      <c r="X407" s="1214"/>
      <c r="AE407" s="1214"/>
      <c r="AF407" s="1214"/>
      <c r="AV407" s="1214"/>
      <c r="AW407" s="1214"/>
      <c r="AX407" s="1214"/>
      <c r="AY407" s="1214"/>
      <c r="AZ407" s="1214"/>
      <c r="BA407" s="1214"/>
      <c r="BC407" s="1214"/>
      <c r="BE407" s="1214"/>
      <c r="BF407" s="1214"/>
      <c r="BG407" s="1214"/>
    </row>
    <row r="408" spans="18:59" x14ac:dyDescent="0.35">
      <c r="R408" s="1214"/>
      <c r="S408" s="1214"/>
      <c r="W408" s="1214"/>
      <c r="X408" s="1214"/>
      <c r="AE408" s="1214"/>
      <c r="AF408" s="1214"/>
      <c r="AV408" s="1214"/>
      <c r="AW408" s="1214"/>
      <c r="AX408" s="1214"/>
      <c r="AY408" s="1214"/>
      <c r="AZ408" s="1214"/>
      <c r="BA408" s="1214"/>
      <c r="BC408" s="1214"/>
      <c r="BE408" s="1214"/>
      <c r="BF408" s="1214"/>
      <c r="BG408" s="1214"/>
    </row>
    <row r="409" spans="18:59" x14ac:dyDescent="0.35">
      <c r="R409" s="1214"/>
      <c r="S409" s="1214"/>
      <c r="W409" s="1214"/>
      <c r="X409" s="1214"/>
      <c r="AE409" s="1214"/>
      <c r="AF409" s="1214"/>
      <c r="AV409" s="1214"/>
      <c r="AW409" s="1214"/>
      <c r="AX409" s="1214"/>
      <c r="AY409" s="1214"/>
      <c r="AZ409" s="1214"/>
      <c r="BA409" s="1214"/>
      <c r="BC409" s="1214"/>
      <c r="BE409" s="1214"/>
      <c r="BF409" s="1214"/>
      <c r="BG409" s="1214"/>
    </row>
    <row r="410" spans="18:59" x14ac:dyDescent="0.35">
      <c r="R410" s="1214"/>
      <c r="S410" s="1214"/>
      <c r="W410" s="1214"/>
      <c r="X410" s="1214"/>
      <c r="AE410" s="1214"/>
      <c r="AF410" s="1214"/>
      <c r="AV410" s="1214"/>
      <c r="AW410" s="1214"/>
      <c r="AX410" s="1214"/>
      <c r="AY410" s="1214"/>
      <c r="AZ410" s="1214"/>
      <c r="BA410" s="1214"/>
      <c r="BC410" s="1214"/>
      <c r="BE410" s="1214"/>
      <c r="BF410" s="1214"/>
      <c r="BG410" s="1214"/>
    </row>
    <row r="411" spans="18:59" x14ac:dyDescent="0.35">
      <c r="R411" s="1214"/>
      <c r="S411" s="1214"/>
      <c r="W411" s="1214"/>
      <c r="X411" s="1214"/>
      <c r="AE411" s="1214"/>
      <c r="AF411" s="1214"/>
      <c r="AV411" s="1214"/>
      <c r="AW411" s="1214"/>
      <c r="AX411" s="1214"/>
      <c r="AY411" s="1214"/>
      <c r="AZ411" s="1214"/>
      <c r="BA411" s="1214"/>
      <c r="BC411" s="1214"/>
      <c r="BE411" s="1214"/>
      <c r="BF411" s="1214"/>
      <c r="BG411" s="1214"/>
    </row>
    <row r="412" spans="18:59" x14ac:dyDescent="0.35">
      <c r="R412" s="1214"/>
      <c r="S412" s="1214"/>
      <c r="W412" s="1214"/>
      <c r="X412" s="1214"/>
      <c r="AE412" s="1214"/>
      <c r="AF412" s="1214"/>
      <c r="AV412" s="1214"/>
      <c r="AW412" s="1214"/>
      <c r="AX412" s="1214"/>
      <c r="AY412" s="1214"/>
      <c r="AZ412" s="1214"/>
      <c r="BA412" s="1214"/>
      <c r="BC412" s="1214"/>
      <c r="BE412" s="1214"/>
      <c r="BF412" s="1214"/>
      <c r="BG412" s="1214"/>
    </row>
    <row r="413" spans="18:59" x14ac:dyDescent="0.35">
      <c r="R413" s="1214"/>
      <c r="S413" s="1214"/>
      <c r="W413" s="1214"/>
      <c r="X413" s="1214"/>
      <c r="AE413" s="1214"/>
      <c r="AF413" s="1214"/>
      <c r="AV413" s="1214"/>
      <c r="AW413" s="1214"/>
      <c r="AX413" s="1214"/>
      <c r="AY413" s="1214"/>
      <c r="AZ413" s="1214"/>
      <c r="BA413" s="1214"/>
      <c r="BC413" s="1214"/>
      <c r="BE413" s="1214"/>
      <c r="BF413" s="1214"/>
      <c r="BG413" s="1214"/>
    </row>
    <row r="414" spans="18:59" x14ac:dyDescent="0.35">
      <c r="R414" s="1214"/>
      <c r="S414" s="1214"/>
      <c r="W414" s="1214"/>
      <c r="X414" s="1214"/>
      <c r="AE414" s="1214"/>
      <c r="AF414" s="1214"/>
      <c r="AV414" s="1214"/>
      <c r="AW414" s="1214"/>
      <c r="AX414" s="1214"/>
      <c r="AY414" s="1214"/>
      <c r="AZ414" s="1214"/>
      <c r="BA414" s="1214"/>
      <c r="BC414" s="1214"/>
      <c r="BE414" s="1214"/>
      <c r="BF414" s="1214"/>
      <c r="BG414" s="1214"/>
    </row>
    <row r="415" spans="18:59" x14ac:dyDescent="0.35">
      <c r="R415" s="1214"/>
      <c r="S415" s="1214"/>
      <c r="W415" s="1214"/>
      <c r="X415" s="1214"/>
      <c r="AE415" s="1214"/>
      <c r="AF415" s="1214"/>
      <c r="AV415" s="1214"/>
      <c r="AW415" s="1214"/>
      <c r="AX415" s="1214"/>
      <c r="AY415" s="1214"/>
      <c r="AZ415" s="1214"/>
      <c r="BA415" s="1214"/>
      <c r="BC415" s="1214"/>
      <c r="BE415" s="1214"/>
      <c r="BF415" s="1214"/>
      <c r="BG415" s="1214"/>
    </row>
    <row r="416" spans="18:59" x14ac:dyDescent="0.35">
      <c r="R416" s="1214"/>
      <c r="S416" s="1214"/>
      <c r="W416" s="1214"/>
      <c r="X416" s="1214"/>
      <c r="AE416" s="1214"/>
      <c r="AF416" s="1214"/>
      <c r="AV416" s="1214"/>
      <c r="AW416" s="1214"/>
      <c r="AX416" s="1214"/>
      <c r="AY416" s="1214"/>
      <c r="AZ416" s="1214"/>
      <c r="BA416" s="1214"/>
      <c r="BC416" s="1214"/>
      <c r="BE416" s="1214"/>
      <c r="BF416" s="1214"/>
      <c r="BG416" s="1214"/>
    </row>
    <row r="417" spans="18:59" x14ac:dyDescent="0.35">
      <c r="R417" s="1214"/>
      <c r="S417" s="1214"/>
      <c r="W417" s="1214"/>
      <c r="X417" s="1214"/>
      <c r="AE417" s="1214"/>
      <c r="AF417" s="1214"/>
      <c r="AV417" s="1214"/>
      <c r="AW417" s="1214"/>
      <c r="AX417" s="1214"/>
      <c r="AY417" s="1214"/>
      <c r="AZ417" s="1214"/>
      <c r="BA417" s="1214"/>
      <c r="BC417" s="1214"/>
      <c r="BE417" s="1214"/>
      <c r="BF417" s="1214"/>
      <c r="BG417" s="1214"/>
    </row>
    <row r="418" spans="18:59" x14ac:dyDescent="0.35">
      <c r="R418" s="1214"/>
      <c r="S418" s="1214"/>
      <c r="W418" s="1214"/>
      <c r="X418" s="1214"/>
      <c r="AE418" s="1214"/>
      <c r="AF418" s="1214"/>
      <c r="AV418" s="1214"/>
      <c r="AW418" s="1214"/>
      <c r="AX418" s="1214"/>
      <c r="AY418" s="1214"/>
      <c r="AZ418" s="1214"/>
      <c r="BA418" s="1214"/>
      <c r="BC418" s="1214"/>
      <c r="BE418" s="1214"/>
      <c r="BF418" s="1214"/>
      <c r="BG418" s="1214"/>
    </row>
    <row r="419" spans="18:59" x14ac:dyDescent="0.35">
      <c r="R419" s="1214"/>
      <c r="S419" s="1214"/>
      <c r="W419" s="1214"/>
      <c r="X419" s="1214"/>
      <c r="AE419" s="1214"/>
      <c r="AF419" s="1214"/>
      <c r="AV419" s="1214"/>
      <c r="AW419" s="1214"/>
      <c r="AX419" s="1214"/>
      <c r="AY419" s="1214"/>
      <c r="AZ419" s="1214"/>
      <c r="BA419" s="1214"/>
      <c r="BC419" s="1214"/>
      <c r="BE419" s="1214"/>
      <c r="BF419" s="1214"/>
      <c r="BG419" s="1214"/>
    </row>
    <row r="420" spans="18:59" x14ac:dyDescent="0.35">
      <c r="R420" s="1214"/>
      <c r="S420" s="1214"/>
      <c r="W420" s="1214"/>
      <c r="X420" s="1214"/>
      <c r="AE420" s="1214"/>
      <c r="AF420" s="1214"/>
      <c r="AV420" s="1214"/>
      <c r="AW420" s="1214"/>
      <c r="AX420" s="1214"/>
      <c r="AY420" s="1214"/>
      <c r="AZ420" s="1214"/>
      <c r="BA420" s="1214"/>
      <c r="BC420" s="1214"/>
      <c r="BE420" s="1214"/>
      <c r="BF420" s="1214"/>
      <c r="BG420" s="1214"/>
    </row>
    <row r="421" spans="18:59" x14ac:dyDescent="0.35">
      <c r="R421" s="1214"/>
      <c r="S421" s="1214"/>
      <c r="W421" s="1214"/>
      <c r="X421" s="1214"/>
      <c r="AE421" s="1214"/>
      <c r="AF421" s="1214"/>
      <c r="AV421" s="1214"/>
      <c r="AW421" s="1214"/>
      <c r="AX421" s="1214"/>
      <c r="AY421" s="1214"/>
      <c r="AZ421" s="1214"/>
      <c r="BA421" s="1214"/>
      <c r="BC421" s="1214"/>
      <c r="BE421" s="1214"/>
      <c r="BF421" s="1214"/>
      <c r="BG421" s="1214"/>
    </row>
    <row r="422" spans="18:59" x14ac:dyDescent="0.35">
      <c r="R422" s="1214"/>
      <c r="S422" s="1214"/>
      <c r="W422" s="1214"/>
      <c r="X422" s="1214"/>
      <c r="AE422" s="1214"/>
      <c r="AF422" s="1214"/>
      <c r="AV422" s="1214"/>
      <c r="AW422" s="1214"/>
      <c r="AX422" s="1214"/>
      <c r="AY422" s="1214"/>
      <c r="AZ422" s="1214"/>
      <c r="BA422" s="1214"/>
      <c r="BC422" s="1214"/>
      <c r="BE422" s="1214"/>
      <c r="BF422" s="1214"/>
      <c r="BG422" s="1214"/>
    </row>
    <row r="423" spans="18:59" x14ac:dyDescent="0.35">
      <c r="R423" s="1214"/>
      <c r="S423" s="1214"/>
      <c r="W423" s="1214"/>
      <c r="X423" s="1214"/>
      <c r="AE423" s="1214"/>
      <c r="AF423" s="1214"/>
      <c r="AV423" s="1214"/>
      <c r="AW423" s="1214"/>
      <c r="AX423" s="1214"/>
      <c r="AY423" s="1214"/>
      <c r="AZ423" s="1214"/>
      <c r="BA423" s="1214"/>
      <c r="BC423" s="1214"/>
      <c r="BE423" s="1214"/>
      <c r="BF423" s="1214"/>
      <c r="BG423" s="1214"/>
    </row>
    <row r="424" spans="18:59" x14ac:dyDescent="0.35">
      <c r="R424" s="1214"/>
      <c r="S424" s="1214"/>
      <c r="W424" s="1214"/>
      <c r="X424" s="1214"/>
      <c r="AE424" s="1214"/>
      <c r="AF424" s="1214"/>
      <c r="AV424" s="1214"/>
      <c r="AW424" s="1214"/>
      <c r="AX424" s="1214"/>
      <c r="AY424" s="1214"/>
      <c r="AZ424" s="1214"/>
      <c r="BA424" s="1214"/>
      <c r="BC424" s="1214"/>
      <c r="BE424" s="1214"/>
      <c r="BF424" s="1214"/>
      <c r="BG424" s="1214"/>
    </row>
    <row r="425" spans="18:59" x14ac:dyDescent="0.35">
      <c r="R425" s="1214"/>
      <c r="S425" s="1214"/>
      <c r="W425" s="1214"/>
      <c r="X425" s="1214"/>
      <c r="AE425" s="1214"/>
      <c r="AF425" s="1214"/>
      <c r="AV425" s="1214"/>
      <c r="AW425" s="1214"/>
      <c r="AX425" s="1214"/>
      <c r="AY425" s="1214"/>
      <c r="AZ425" s="1214"/>
      <c r="BA425" s="1214"/>
      <c r="BC425" s="1214"/>
      <c r="BE425" s="1214"/>
      <c r="BF425" s="1214"/>
      <c r="BG425" s="1214"/>
    </row>
    <row r="426" spans="18:59" x14ac:dyDescent="0.35">
      <c r="R426" s="1214"/>
      <c r="S426" s="1214"/>
      <c r="W426" s="1214"/>
      <c r="X426" s="1214"/>
      <c r="AE426" s="1214"/>
      <c r="AF426" s="1214"/>
      <c r="AV426" s="1214"/>
      <c r="AW426" s="1214"/>
      <c r="AX426" s="1214"/>
      <c r="AY426" s="1214"/>
      <c r="AZ426" s="1214"/>
      <c r="BA426" s="1214"/>
      <c r="BC426" s="1214"/>
      <c r="BE426" s="1214"/>
      <c r="BF426" s="1214"/>
      <c r="BG426" s="1214"/>
    </row>
    <row r="427" spans="18:59" x14ac:dyDescent="0.35">
      <c r="R427" s="1214"/>
      <c r="S427" s="1214"/>
      <c r="W427" s="1214"/>
      <c r="X427" s="1214"/>
      <c r="AE427" s="1214"/>
      <c r="AF427" s="1214"/>
      <c r="AV427" s="1214"/>
      <c r="AW427" s="1214"/>
      <c r="AX427" s="1214"/>
      <c r="AY427" s="1214"/>
      <c r="AZ427" s="1214"/>
      <c r="BA427" s="1214"/>
      <c r="BC427" s="1214"/>
      <c r="BE427" s="1214"/>
      <c r="BF427" s="1214"/>
      <c r="BG427" s="1214"/>
    </row>
    <row r="428" spans="18:59" x14ac:dyDescent="0.35">
      <c r="R428" s="1214"/>
      <c r="S428" s="1214"/>
      <c r="W428" s="1214"/>
      <c r="X428" s="1214"/>
      <c r="AE428" s="1214"/>
      <c r="AF428" s="1214"/>
      <c r="AV428" s="1214"/>
      <c r="AW428" s="1214"/>
      <c r="AX428" s="1214"/>
      <c r="AY428" s="1214"/>
      <c r="AZ428" s="1214"/>
      <c r="BA428" s="1214"/>
      <c r="BC428" s="1214"/>
      <c r="BE428" s="1214"/>
      <c r="BF428" s="1214"/>
      <c r="BG428" s="1214"/>
    </row>
    <row r="429" spans="18:59" x14ac:dyDescent="0.35">
      <c r="R429" s="1214"/>
      <c r="S429" s="1214"/>
      <c r="W429" s="1214"/>
      <c r="X429" s="1214"/>
      <c r="AE429" s="1214"/>
      <c r="AF429" s="1214"/>
      <c r="AV429" s="1214"/>
      <c r="AW429" s="1214"/>
      <c r="AX429" s="1214"/>
      <c r="AY429" s="1214"/>
      <c r="AZ429" s="1214"/>
      <c r="BA429" s="1214"/>
      <c r="BC429" s="1214"/>
      <c r="BE429" s="1214"/>
      <c r="BF429" s="1214"/>
      <c r="BG429" s="1214"/>
    </row>
    <row r="430" spans="18:59" x14ac:dyDescent="0.35">
      <c r="R430" s="1214"/>
      <c r="S430" s="1214"/>
      <c r="W430" s="1214"/>
      <c r="X430" s="1214"/>
      <c r="AE430" s="1214"/>
      <c r="AF430" s="1214"/>
      <c r="AV430" s="1214"/>
      <c r="AW430" s="1214"/>
      <c r="AX430" s="1214"/>
      <c r="AY430" s="1214"/>
      <c r="AZ430" s="1214"/>
      <c r="BA430" s="1214"/>
      <c r="BC430" s="1214"/>
      <c r="BE430" s="1214"/>
      <c r="BF430" s="1214"/>
      <c r="BG430" s="1214"/>
    </row>
    <row r="431" spans="18:59" x14ac:dyDescent="0.35">
      <c r="R431" s="1214"/>
      <c r="S431" s="1214"/>
      <c r="W431" s="1214"/>
      <c r="X431" s="1214"/>
      <c r="AE431" s="1214"/>
      <c r="AF431" s="1214"/>
      <c r="AV431" s="1214"/>
      <c r="AW431" s="1214"/>
      <c r="AX431" s="1214"/>
      <c r="AY431" s="1214"/>
      <c r="AZ431" s="1214"/>
      <c r="BA431" s="1214"/>
      <c r="BC431" s="1214"/>
      <c r="BE431" s="1214"/>
      <c r="BF431" s="1214"/>
      <c r="BG431" s="1214"/>
    </row>
    <row r="432" spans="18:59" x14ac:dyDescent="0.35">
      <c r="R432" s="1214"/>
      <c r="S432" s="1214"/>
      <c r="W432" s="1214"/>
      <c r="X432" s="1214"/>
      <c r="AE432" s="1214"/>
      <c r="AF432" s="1214"/>
      <c r="AV432" s="1214"/>
      <c r="AW432" s="1214"/>
      <c r="AX432" s="1214"/>
      <c r="AY432" s="1214"/>
      <c r="AZ432" s="1214"/>
      <c r="BA432" s="1214"/>
      <c r="BC432" s="1214"/>
      <c r="BE432" s="1214"/>
      <c r="BF432" s="1214"/>
      <c r="BG432" s="1214"/>
    </row>
    <row r="433" spans="18:59" x14ac:dyDescent="0.35">
      <c r="R433" s="1214"/>
      <c r="S433" s="1214"/>
      <c r="W433" s="1214"/>
      <c r="X433" s="1214"/>
      <c r="AE433" s="1214"/>
      <c r="AF433" s="1214"/>
      <c r="AV433" s="1214"/>
      <c r="AW433" s="1214"/>
      <c r="AX433" s="1214"/>
      <c r="AY433" s="1214"/>
      <c r="AZ433" s="1214"/>
      <c r="BA433" s="1214"/>
      <c r="BC433" s="1214"/>
      <c r="BE433" s="1214"/>
      <c r="BF433" s="1214"/>
      <c r="BG433" s="1214"/>
    </row>
    <row r="434" spans="18:59" x14ac:dyDescent="0.35">
      <c r="R434" s="1214"/>
      <c r="S434" s="1214"/>
      <c r="W434" s="1214"/>
      <c r="X434" s="1214"/>
      <c r="AE434" s="1214"/>
      <c r="AF434" s="1214"/>
      <c r="AV434" s="1214"/>
      <c r="AW434" s="1214"/>
      <c r="AX434" s="1214"/>
      <c r="AY434" s="1214"/>
      <c r="AZ434" s="1214"/>
      <c r="BA434" s="1214"/>
      <c r="BC434" s="1214"/>
      <c r="BE434" s="1214"/>
      <c r="BF434" s="1214"/>
      <c r="BG434" s="1214"/>
    </row>
    <row r="435" spans="18:59" x14ac:dyDescent="0.35">
      <c r="R435" s="1214"/>
      <c r="S435" s="1214"/>
      <c r="W435" s="1214"/>
      <c r="X435" s="1214"/>
      <c r="AE435" s="1214"/>
      <c r="AF435" s="1214"/>
      <c r="AV435" s="1214"/>
      <c r="AW435" s="1214"/>
      <c r="AX435" s="1214"/>
      <c r="AY435" s="1214"/>
      <c r="AZ435" s="1214"/>
      <c r="BA435" s="1214"/>
      <c r="BC435" s="1214"/>
      <c r="BE435" s="1214"/>
      <c r="BF435" s="1214"/>
      <c r="BG435" s="1214"/>
    </row>
    <row r="436" spans="18:59" x14ac:dyDescent="0.35">
      <c r="R436" s="1214"/>
      <c r="S436" s="1214"/>
      <c r="W436" s="1214"/>
      <c r="X436" s="1214"/>
      <c r="AE436" s="1214"/>
      <c r="AF436" s="1214"/>
      <c r="AV436" s="1214"/>
      <c r="AW436" s="1214"/>
      <c r="AX436" s="1214"/>
      <c r="AY436" s="1214"/>
      <c r="AZ436" s="1214"/>
      <c r="BA436" s="1214"/>
      <c r="BC436" s="1214"/>
      <c r="BE436" s="1214"/>
      <c r="BF436" s="1214"/>
      <c r="BG436" s="1214"/>
    </row>
    <row r="437" spans="18:59" x14ac:dyDescent="0.35">
      <c r="R437" s="1214"/>
      <c r="S437" s="1214"/>
      <c r="W437" s="1214"/>
      <c r="X437" s="1214"/>
      <c r="AE437" s="1214"/>
      <c r="AF437" s="1214"/>
      <c r="AV437" s="1214"/>
      <c r="AW437" s="1214"/>
      <c r="AX437" s="1214"/>
      <c r="AY437" s="1214"/>
      <c r="AZ437" s="1214"/>
      <c r="BA437" s="1214"/>
      <c r="BC437" s="1214"/>
      <c r="BE437" s="1214"/>
      <c r="BF437" s="1214"/>
      <c r="BG437" s="1214"/>
    </row>
    <row r="438" spans="18:59" x14ac:dyDescent="0.35">
      <c r="R438" s="1214"/>
      <c r="S438" s="1214"/>
      <c r="W438" s="1214"/>
      <c r="X438" s="1214"/>
      <c r="AE438" s="1214"/>
      <c r="AF438" s="1214"/>
      <c r="AV438" s="1214"/>
      <c r="AW438" s="1214"/>
      <c r="AX438" s="1214"/>
      <c r="AY438" s="1214"/>
      <c r="AZ438" s="1214"/>
      <c r="BA438" s="1214"/>
      <c r="BC438" s="1214"/>
      <c r="BE438" s="1214"/>
      <c r="BF438" s="1214"/>
      <c r="BG438" s="1214"/>
    </row>
    <row r="439" spans="18:59" x14ac:dyDescent="0.35">
      <c r="R439" s="1214"/>
      <c r="S439" s="1214"/>
      <c r="W439" s="1214"/>
      <c r="X439" s="1214"/>
      <c r="AE439" s="1214"/>
      <c r="AF439" s="1214"/>
      <c r="AV439" s="1214"/>
      <c r="AW439" s="1214"/>
      <c r="AX439" s="1214"/>
      <c r="AY439" s="1214"/>
      <c r="AZ439" s="1214"/>
      <c r="BA439" s="1214"/>
      <c r="BC439" s="1214"/>
      <c r="BE439" s="1214"/>
      <c r="BF439" s="1214"/>
      <c r="BG439" s="1214"/>
    </row>
    <row r="440" spans="18:59" x14ac:dyDescent="0.35">
      <c r="R440" s="1214"/>
      <c r="S440" s="1214"/>
      <c r="W440" s="1214"/>
      <c r="X440" s="1214"/>
      <c r="AE440" s="1214"/>
      <c r="AF440" s="1214"/>
      <c r="AV440" s="1214"/>
      <c r="AW440" s="1214"/>
      <c r="AX440" s="1214"/>
      <c r="AY440" s="1214"/>
      <c r="AZ440" s="1214"/>
      <c r="BA440" s="1214"/>
      <c r="BC440" s="1214"/>
      <c r="BE440" s="1214"/>
      <c r="BF440" s="1214"/>
      <c r="BG440" s="1214"/>
    </row>
    <row r="441" spans="18:59" x14ac:dyDescent="0.35">
      <c r="R441" s="1214"/>
      <c r="S441" s="1214"/>
      <c r="W441" s="1214"/>
      <c r="X441" s="1214"/>
      <c r="AE441" s="1214"/>
      <c r="AF441" s="1214"/>
      <c r="AV441" s="1214"/>
      <c r="AW441" s="1214"/>
      <c r="AX441" s="1214"/>
      <c r="AY441" s="1214"/>
      <c r="AZ441" s="1214"/>
      <c r="BA441" s="1214"/>
      <c r="BC441" s="1214"/>
      <c r="BE441" s="1214"/>
      <c r="BF441" s="1214"/>
      <c r="BG441" s="1214"/>
    </row>
    <row r="442" spans="18:59" x14ac:dyDescent="0.35">
      <c r="R442" s="1214"/>
      <c r="S442" s="1214"/>
      <c r="W442" s="1214"/>
      <c r="X442" s="1214"/>
      <c r="AE442" s="1214"/>
      <c r="AF442" s="1214"/>
      <c r="AV442" s="1214"/>
      <c r="AW442" s="1214"/>
      <c r="AX442" s="1214"/>
      <c r="AY442" s="1214"/>
      <c r="AZ442" s="1214"/>
      <c r="BA442" s="1214"/>
      <c r="BC442" s="1214"/>
      <c r="BE442" s="1214"/>
      <c r="BF442" s="1214"/>
      <c r="BG442" s="1214"/>
    </row>
    <row r="443" spans="18:59" x14ac:dyDescent="0.35">
      <c r="R443" s="1214"/>
      <c r="S443" s="1214"/>
      <c r="W443" s="1214"/>
      <c r="X443" s="1214"/>
      <c r="AE443" s="1214"/>
      <c r="AF443" s="1214"/>
      <c r="AV443" s="1214"/>
      <c r="AW443" s="1214"/>
      <c r="AX443" s="1214"/>
      <c r="AY443" s="1214"/>
      <c r="AZ443" s="1214"/>
      <c r="BA443" s="1214"/>
      <c r="BC443" s="1214"/>
      <c r="BE443" s="1214"/>
      <c r="BF443" s="1214"/>
      <c r="BG443" s="1214"/>
    </row>
    <row r="444" spans="18:59" x14ac:dyDescent="0.35">
      <c r="R444" s="1214"/>
      <c r="S444" s="1214"/>
      <c r="W444" s="1214"/>
      <c r="X444" s="1214"/>
      <c r="AE444" s="1214"/>
      <c r="AF444" s="1214"/>
      <c r="AV444" s="1214"/>
      <c r="AW444" s="1214"/>
      <c r="AX444" s="1214"/>
      <c r="AY444" s="1214"/>
      <c r="AZ444" s="1214"/>
      <c r="BA444" s="1214"/>
      <c r="BC444" s="1214"/>
      <c r="BE444" s="1214"/>
      <c r="BF444" s="1214"/>
      <c r="BG444" s="1214"/>
    </row>
    <row r="445" spans="18:59" x14ac:dyDescent="0.35">
      <c r="R445" s="1214"/>
      <c r="S445" s="1214"/>
      <c r="W445" s="1214"/>
      <c r="X445" s="1214"/>
      <c r="AE445" s="1214"/>
      <c r="AF445" s="1214"/>
      <c r="AV445" s="1214"/>
      <c r="AW445" s="1214"/>
      <c r="AX445" s="1214"/>
      <c r="AY445" s="1214"/>
      <c r="AZ445" s="1214"/>
      <c r="BA445" s="1214"/>
      <c r="BC445" s="1214"/>
      <c r="BE445" s="1214"/>
      <c r="BF445" s="1214"/>
      <c r="BG445" s="1214"/>
    </row>
    <row r="446" spans="18:59" x14ac:dyDescent="0.35">
      <c r="R446" s="1214"/>
      <c r="S446" s="1214"/>
      <c r="W446" s="1214"/>
      <c r="X446" s="1214"/>
      <c r="AE446" s="1214"/>
      <c r="AF446" s="1214"/>
      <c r="AV446" s="1214"/>
      <c r="AW446" s="1214"/>
      <c r="AX446" s="1214"/>
      <c r="AY446" s="1214"/>
      <c r="AZ446" s="1214"/>
      <c r="BA446" s="1214"/>
      <c r="BC446" s="1214"/>
      <c r="BE446" s="1214"/>
      <c r="BF446" s="1214"/>
      <c r="BG446" s="1214"/>
    </row>
    <row r="447" spans="18:59" x14ac:dyDescent="0.35">
      <c r="R447" s="1214"/>
      <c r="S447" s="1214"/>
      <c r="W447" s="1214"/>
      <c r="X447" s="1214"/>
      <c r="AE447" s="1214"/>
      <c r="AF447" s="1214"/>
      <c r="AV447" s="1214"/>
      <c r="AW447" s="1214"/>
      <c r="AX447" s="1214"/>
      <c r="AY447" s="1214"/>
      <c r="AZ447" s="1214"/>
      <c r="BA447" s="1214"/>
      <c r="BC447" s="1214"/>
      <c r="BE447" s="1214"/>
      <c r="BF447" s="1214"/>
      <c r="BG447" s="1214"/>
    </row>
    <row r="448" spans="18:59" x14ac:dyDescent="0.35">
      <c r="R448" s="1214"/>
      <c r="S448" s="1214"/>
      <c r="W448" s="1214"/>
      <c r="X448" s="1214"/>
      <c r="AE448" s="1214"/>
      <c r="AF448" s="1214"/>
      <c r="AV448" s="1214"/>
      <c r="AW448" s="1214"/>
      <c r="AX448" s="1214"/>
      <c r="AY448" s="1214"/>
      <c r="AZ448" s="1214"/>
      <c r="BA448" s="1214"/>
      <c r="BC448" s="1214"/>
      <c r="BE448" s="1214"/>
      <c r="BF448" s="1214"/>
      <c r="BG448" s="1214"/>
    </row>
    <row r="449" spans="18:59" x14ac:dyDescent="0.35">
      <c r="R449" s="1214"/>
      <c r="S449" s="1214"/>
      <c r="W449" s="1214"/>
      <c r="X449" s="1214"/>
      <c r="AE449" s="1214"/>
      <c r="AF449" s="1214"/>
      <c r="AV449" s="1214"/>
      <c r="AW449" s="1214"/>
      <c r="AX449" s="1214"/>
      <c r="AY449" s="1214"/>
      <c r="AZ449" s="1214"/>
      <c r="BA449" s="1214"/>
      <c r="BC449" s="1214"/>
      <c r="BE449" s="1214"/>
      <c r="BF449" s="1214"/>
      <c r="BG449" s="1214"/>
    </row>
    <row r="450" spans="18:59" x14ac:dyDescent="0.35">
      <c r="R450" s="1214"/>
      <c r="S450" s="1214"/>
      <c r="W450" s="1214"/>
      <c r="X450" s="1214"/>
      <c r="AE450" s="1214"/>
      <c r="AF450" s="1214"/>
      <c r="AV450" s="1214"/>
      <c r="AW450" s="1214"/>
      <c r="AX450" s="1214"/>
      <c r="AY450" s="1214"/>
      <c r="AZ450" s="1214"/>
      <c r="BA450" s="1214"/>
      <c r="BC450" s="1214"/>
      <c r="BE450" s="1214"/>
      <c r="BF450" s="1214"/>
      <c r="BG450" s="1214"/>
    </row>
    <row r="451" spans="18:59" x14ac:dyDescent="0.35">
      <c r="R451" s="1214"/>
      <c r="S451" s="1214"/>
      <c r="W451" s="1214"/>
      <c r="X451" s="1214"/>
      <c r="AE451" s="1214"/>
      <c r="AF451" s="1214"/>
      <c r="AV451" s="1214"/>
      <c r="AW451" s="1214"/>
      <c r="AX451" s="1214"/>
      <c r="AY451" s="1214"/>
      <c r="AZ451" s="1214"/>
      <c r="BA451" s="1214"/>
      <c r="BC451" s="1214"/>
      <c r="BE451" s="1214"/>
      <c r="BF451" s="1214"/>
      <c r="BG451" s="1214"/>
    </row>
    <row r="452" spans="18:59" x14ac:dyDescent="0.35">
      <c r="R452" s="1214"/>
      <c r="S452" s="1214"/>
      <c r="W452" s="1214"/>
      <c r="X452" s="1214"/>
      <c r="AE452" s="1214"/>
      <c r="AF452" s="1214"/>
      <c r="AV452" s="1214"/>
      <c r="AW452" s="1214"/>
      <c r="AX452" s="1214"/>
      <c r="AY452" s="1214"/>
      <c r="AZ452" s="1214"/>
      <c r="BA452" s="1214"/>
      <c r="BC452" s="1214"/>
      <c r="BE452" s="1214"/>
      <c r="BF452" s="1214"/>
      <c r="BG452" s="1214"/>
    </row>
    <row r="453" spans="18:59" x14ac:dyDescent="0.35">
      <c r="R453" s="1214"/>
      <c r="S453" s="1214"/>
      <c r="W453" s="1214"/>
      <c r="X453" s="1214"/>
      <c r="AE453" s="1214"/>
      <c r="AF453" s="1214"/>
      <c r="AV453" s="1214"/>
      <c r="AW453" s="1214"/>
      <c r="AX453" s="1214"/>
      <c r="AY453" s="1214"/>
      <c r="AZ453" s="1214"/>
      <c r="BA453" s="1214"/>
      <c r="BC453" s="1214"/>
      <c r="BE453" s="1214"/>
      <c r="BF453" s="1214"/>
      <c r="BG453" s="1214"/>
    </row>
    <row r="454" spans="18:59" x14ac:dyDescent="0.35">
      <c r="R454" s="1214"/>
      <c r="S454" s="1214"/>
      <c r="W454" s="1214"/>
      <c r="X454" s="1214"/>
      <c r="AE454" s="1214"/>
      <c r="AF454" s="1214"/>
      <c r="AV454" s="1214"/>
      <c r="AW454" s="1214"/>
      <c r="AX454" s="1214"/>
      <c r="AY454" s="1214"/>
      <c r="AZ454" s="1214"/>
      <c r="BA454" s="1214"/>
      <c r="BC454" s="1214"/>
      <c r="BE454" s="1214"/>
      <c r="BF454" s="1214"/>
      <c r="BG454" s="1214"/>
    </row>
    <row r="455" spans="18:59" x14ac:dyDescent="0.35">
      <c r="R455" s="1214"/>
      <c r="S455" s="1214"/>
      <c r="W455" s="1214"/>
      <c r="X455" s="1214"/>
      <c r="AE455" s="1214"/>
      <c r="AF455" s="1214"/>
      <c r="AV455" s="1214"/>
      <c r="AW455" s="1214"/>
      <c r="AX455" s="1214"/>
      <c r="AY455" s="1214"/>
      <c r="AZ455" s="1214"/>
      <c r="BA455" s="1214"/>
      <c r="BC455" s="1214"/>
      <c r="BE455" s="1214"/>
      <c r="BF455" s="1214"/>
      <c r="BG455" s="1214"/>
    </row>
    <row r="456" spans="18:59" x14ac:dyDescent="0.35">
      <c r="R456" s="1214"/>
      <c r="S456" s="1214"/>
      <c r="W456" s="1214"/>
      <c r="X456" s="1214"/>
      <c r="AE456" s="1214"/>
      <c r="AF456" s="1214"/>
      <c r="AV456" s="1214"/>
      <c r="AW456" s="1214"/>
      <c r="AX456" s="1214"/>
      <c r="AY456" s="1214"/>
      <c r="AZ456" s="1214"/>
      <c r="BA456" s="1214"/>
      <c r="BC456" s="1214"/>
      <c r="BE456" s="1214"/>
      <c r="BF456" s="1214"/>
      <c r="BG456" s="1214"/>
    </row>
    <row r="457" spans="18:59" x14ac:dyDescent="0.35">
      <c r="R457" s="1214"/>
      <c r="S457" s="1214"/>
      <c r="W457" s="1214"/>
      <c r="X457" s="1214"/>
      <c r="AE457" s="1214"/>
      <c r="AF457" s="1214"/>
      <c r="AV457" s="1214"/>
      <c r="AW457" s="1214"/>
      <c r="AX457" s="1214"/>
      <c r="AY457" s="1214"/>
      <c r="AZ457" s="1214"/>
      <c r="BA457" s="1214"/>
      <c r="BC457" s="1214"/>
      <c r="BE457" s="1214"/>
      <c r="BF457" s="1214"/>
      <c r="BG457" s="1214"/>
    </row>
    <row r="458" spans="18:59" x14ac:dyDescent="0.35">
      <c r="R458" s="1214"/>
      <c r="S458" s="1214"/>
      <c r="W458" s="1214"/>
      <c r="X458" s="1214"/>
      <c r="AE458" s="1214"/>
      <c r="AF458" s="1214"/>
      <c r="AV458" s="1214"/>
      <c r="AW458" s="1214"/>
      <c r="AX458" s="1214"/>
      <c r="AY458" s="1214"/>
      <c r="AZ458" s="1214"/>
      <c r="BA458" s="1214"/>
      <c r="BC458" s="1214"/>
      <c r="BE458" s="1214"/>
      <c r="BF458" s="1214"/>
      <c r="BG458" s="1214"/>
    </row>
    <row r="459" spans="18:59" x14ac:dyDescent="0.35">
      <c r="R459" s="1214"/>
      <c r="S459" s="1214"/>
      <c r="W459" s="1214"/>
      <c r="X459" s="1214"/>
      <c r="AE459" s="1214"/>
      <c r="AF459" s="1214"/>
      <c r="AV459" s="1214"/>
      <c r="AW459" s="1214"/>
      <c r="AX459" s="1214"/>
      <c r="AY459" s="1214"/>
      <c r="AZ459" s="1214"/>
      <c r="BA459" s="1214"/>
      <c r="BC459" s="1214"/>
      <c r="BE459" s="1214"/>
      <c r="BF459" s="1214"/>
      <c r="BG459" s="1214"/>
    </row>
    <row r="460" spans="18:59" x14ac:dyDescent="0.35">
      <c r="R460" s="1214"/>
      <c r="S460" s="1214"/>
      <c r="W460" s="1214"/>
      <c r="X460" s="1214"/>
      <c r="AE460" s="1214"/>
      <c r="AF460" s="1214"/>
      <c r="AV460" s="1214"/>
      <c r="AW460" s="1214"/>
      <c r="AX460" s="1214"/>
      <c r="AY460" s="1214"/>
      <c r="AZ460" s="1214"/>
      <c r="BA460" s="1214"/>
      <c r="BC460" s="1214"/>
      <c r="BE460" s="1214"/>
      <c r="BF460" s="1214"/>
      <c r="BG460" s="1214"/>
    </row>
    <row r="461" spans="18:59" x14ac:dyDescent="0.35">
      <c r="R461" s="1214"/>
      <c r="S461" s="1214"/>
      <c r="W461" s="1214"/>
      <c r="X461" s="1214"/>
      <c r="AE461" s="1214"/>
      <c r="AF461" s="1214"/>
      <c r="AV461" s="1214"/>
      <c r="AW461" s="1214"/>
      <c r="AX461" s="1214"/>
      <c r="AY461" s="1214"/>
      <c r="AZ461" s="1214"/>
      <c r="BA461" s="1214"/>
      <c r="BC461" s="1214"/>
      <c r="BE461" s="1214"/>
      <c r="BF461" s="1214"/>
      <c r="BG461" s="1214"/>
    </row>
    <row r="462" spans="18:59" x14ac:dyDescent="0.35">
      <c r="R462" s="1214"/>
      <c r="S462" s="1214"/>
      <c r="W462" s="1214"/>
      <c r="X462" s="1214"/>
      <c r="AE462" s="1214"/>
      <c r="AF462" s="1214"/>
      <c r="AV462" s="1214"/>
      <c r="AW462" s="1214"/>
      <c r="AX462" s="1214"/>
      <c r="AY462" s="1214"/>
      <c r="AZ462" s="1214"/>
      <c r="BA462" s="1214"/>
      <c r="BC462" s="1214"/>
      <c r="BE462" s="1214"/>
      <c r="BF462" s="1214"/>
      <c r="BG462" s="1214"/>
    </row>
    <row r="463" spans="18:59" x14ac:dyDescent="0.35">
      <c r="R463" s="1214"/>
      <c r="S463" s="1214"/>
      <c r="W463" s="1214"/>
      <c r="X463" s="1214"/>
      <c r="AE463" s="1214"/>
      <c r="AF463" s="1214"/>
      <c r="AV463" s="1214"/>
      <c r="AW463" s="1214"/>
      <c r="AX463" s="1214"/>
      <c r="AY463" s="1214"/>
      <c r="AZ463" s="1214"/>
      <c r="BA463" s="1214"/>
      <c r="BC463" s="1214"/>
      <c r="BE463" s="1214"/>
      <c r="BF463" s="1214"/>
      <c r="BG463" s="1214"/>
    </row>
    <row r="464" spans="18:59" x14ac:dyDescent="0.35">
      <c r="R464" s="1214"/>
      <c r="S464" s="1214"/>
      <c r="W464" s="1214"/>
      <c r="X464" s="1214"/>
      <c r="AE464" s="1214"/>
      <c r="AF464" s="1214"/>
      <c r="AV464" s="1214"/>
      <c r="AW464" s="1214"/>
      <c r="AX464" s="1214"/>
      <c r="AY464" s="1214"/>
      <c r="AZ464" s="1214"/>
      <c r="BA464" s="1214"/>
      <c r="BC464" s="1214"/>
      <c r="BE464" s="1214"/>
      <c r="BF464" s="1214"/>
      <c r="BG464" s="1214"/>
    </row>
    <row r="465" spans="18:59" x14ac:dyDescent="0.35">
      <c r="R465" s="1214"/>
      <c r="S465" s="1214"/>
      <c r="W465" s="1214"/>
      <c r="X465" s="1214"/>
      <c r="AE465" s="1214"/>
      <c r="AF465" s="1214"/>
      <c r="AV465" s="1214"/>
      <c r="AW465" s="1214"/>
      <c r="AX465" s="1214"/>
      <c r="AY465" s="1214"/>
      <c r="AZ465" s="1214"/>
      <c r="BA465" s="1214"/>
      <c r="BC465" s="1214"/>
      <c r="BE465" s="1214"/>
      <c r="BF465" s="1214"/>
      <c r="BG465" s="1214"/>
    </row>
    <row r="466" spans="18:59" x14ac:dyDescent="0.35">
      <c r="R466" s="1214"/>
      <c r="S466" s="1214"/>
      <c r="W466" s="1214"/>
      <c r="X466" s="1214"/>
      <c r="AE466" s="1214"/>
      <c r="AF466" s="1214"/>
      <c r="AV466" s="1214"/>
      <c r="AW466" s="1214"/>
      <c r="AX466" s="1214"/>
      <c r="AY466" s="1214"/>
      <c r="AZ466" s="1214"/>
      <c r="BA466" s="1214"/>
      <c r="BC466" s="1214"/>
      <c r="BE466" s="1214"/>
      <c r="BF466" s="1214"/>
      <c r="BG466" s="1214"/>
    </row>
    <row r="467" spans="18:59" x14ac:dyDescent="0.35">
      <c r="R467" s="1214"/>
      <c r="S467" s="1214"/>
      <c r="W467" s="1214"/>
      <c r="X467" s="1214"/>
      <c r="AE467" s="1214"/>
      <c r="AF467" s="1214"/>
      <c r="AV467" s="1214"/>
      <c r="AW467" s="1214"/>
      <c r="AX467" s="1214"/>
      <c r="AY467" s="1214"/>
      <c r="AZ467" s="1214"/>
      <c r="BA467" s="1214"/>
      <c r="BC467" s="1214"/>
      <c r="BE467" s="1214"/>
      <c r="BF467" s="1214"/>
      <c r="BG467" s="1214"/>
    </row>
    <row r="468" spans="18:59" x14ac:dyDescent="0.35">
      <c r="R468" s="1214"/>
      <c r="S468" s="1214"/>
      <c r="W468" s="1214"/>
      <c r="X468" s="1214"/>
      <c r="AE468" s="1214"/>
      <c r="AF468" s="1214"/>
      <c r="AV468" s="1214"/>
      <c r="AW468" s="1214"/>
      <c r="AX468" s="1214"/>
      <c r="AY468" s="1214"/>
      <c r="AZ468" s="1214"/>
      <c r="BA468" s="1214"/>
      <c r="BC468" s="1214"/>
      <c r="BE468" s="1214"/>
      <c r="BF468" s="1214"/>
      <c r="BG468" s="1214"/>
    </row>
    <row r="469" spans="18:59" x14ac:dyDescent="0.35">
      <c r="R469" s="1214"/>
      <c r="S469" s="1214"/>
      <c r="W469" s="1214"/>
      <c r="X469" s="1214"/>
      <c r="AE469" s="1214"/>
      <c r="AF469" s="1214"/>
      <c r="AV469" s="1214"/>
      <c r="AW469" s="1214"/>
      <c r="AX469" s="1214"/>
      <c r="AY469" s="1214"/>
      <c r="AZ469" s="1214"/>
      <c r="BA469" s="1214"/>
      <c r="BC469" s="1214"/>
      <c r="BE469" s="1214"/>
      <c r="BF469" s="1214"/>
      <c r="BG469" s="1214"/>
    </row>
    <row r="470" spans="18:59" x14ac:dyDescent="0.35">
      <c r="R470" s="1214"/>
      <c r="S470" s="1214"/>
      <c r="W470" s="1214"/>
      <c r="X470" s="1214"/>
      <c r="AE470" s="1214"/>
      <c r="AF470" s="1214"/>
      <c r="AV470" s="1214"/>
      <c r="AW470" s="1214"/>
      <c r="AX470" s="1214"/>
      <c r="AY470" s="1214"/>
      <c r="AZ470" s="1214"/>
      <c r="BA470" s="1214"/>
      <c r="BC470" s="1214"/>
      <c r="BE470" s="1214"/>
      <c r="BF470" s="1214"/>
      <c r="BG470" s="1214"/>
    </row>
    <row r="471" spans="18:59" x14ac:dyDescent="0.35">
      <c r="R471" s="1214"/>
      <c r="S471" s="1214"/>
      <c r="W471" s="1214"/>
      <c r="X471" s="1214"/>
      <c r="AE471" s="1214"/>
      <c r="AF471" s="1214"/>
      <c r="AV471" s="1214"/>
      <c r="AW471" s="1214"/>
      <c r="AX471" s="1214"/>
      <c r="AY471" s="1214"/>
      <c r="AZ471" s="1214"/>
      <c r="BA471" s="1214"/>
      <c r="BC471" s="1214"/>
      <c r="BE471" s="1214"/>
      <c r="BF471" s="1214"/>
      <c r="BG471" s="1214"/>
    </row>
    <row r="472" spans="18:59" x14ac:dyDescent="0.35">
      <c r="R472" s="1214"/>
      <c r="S472" s="1214"/>
      <c r="W472" s="1214"/>
      <c r="X472" s="1214"/>
      <c r="AE472" s="1214"/>
      <c r="AF472" s="1214"/>
      <c r="AV472" s="1214"/>
      <c r="AW472" s="1214"/>
      <c r="AX472" s="1214"/>
      <c r="AY472" s="1214"/>
      <c r="AZ472" s="1214"/>
      <c r="BA472" s="1214"/>
      <c r="BC472" s="1214"/>
      <c r="BE472" s="1214"/>
      <c r="BF472" s="1214"/>
      <c r="BG472" s="1214"/>
    </row>
    <row r="473" spans="18:59" x14ac:dyDescent="0.35">
      <c r="R473" s="1214"/>
      <c r="S473" s="1214"/>
      <c r="W473" s="1214"/>
      <c r="X473" s="1214"/>
      <c r="AE473" s="1214"/>
      <c r="AF473" s="1214"/>
      <c r="AV473" s="1214"/>
      <c r="AW473" s="1214"/>
      <c r="AX473" s="1214"/>
      <c r="AY473" s="1214"/>
      <c r="AZ473" s="1214"/>
      <c r="BA473" s="1214"/>
      <c r="BC473" s="1214"/>
      <c r="BE473" s="1214"/>
      <c r="BF473" s="1214"/>
      <c r="BG473" s="1214"/>
    </row>
    <row r="474" spans="18:59" x14ac:dyDescent="0.35">
      <c r="R474" s="1214"/>
      <c r="S474" s="1214"/>
      <c r="W474" s="1214"/>
      <c r="X474" s="1214"/>
      <c r="AE474" s="1214"/>
      <c r="AF474" s="1214"/>
      <c r="AV474" s="1214"/>
      <c r="AW474" s="1214"/>
      <c r="AX474" s="1214"/>
      <c r="AY474" s="1214"/>
      <c r="AZ474" s="1214"/>
      <c r="BA474" s="1214"/>
      <c r="BC474" s="1214"/>
      <c r="BE474" s="1214"/>
      <c r="BF474" s="1214"/>
      <c r="BG474" s="1214"/>
    </row>
    <row r="475" spans="18:59" x14ac:dyDescent="0.35">
      <c r="R475" s="1214"/>
      <c r="S475" s="1214"/>
      <c r="W475" s="1214"/>
      <c r="X475" s="1214"/>
      <c r="AE475" s="1214"/>
      <c r="AF475" s="1214"/>
      <c r="AV475" s="1214"/>
      <c r="AW475" s="1214"/>
      <c r="AX475" s="1214"/>
      <c r="AY475" s="1214"/>
      <c r="AZ475" s="1214"/>
      <c r="BA475" s="1214"/>
      <c r="BC475" s="1214"/>
      <c r="BE475" s="1214"/>
      <c r="BF475" s="1214"/>
      <c r="BG475" s="1214"/>
    </row>
    <row r="476" spans="18:59" x14ac:dyDescent="0.35">
      <c r="R476" s="1214"/>
      <c r="S476" s="1214"/>
      <c r="W476" s="1214"/>
      <c r="X476" s="1214"/>
      <c r="AE476" s="1214"/>
      <c r="AF476" s="1214"/>
      <c r="AV476" s="1214"/>
      <c r="AW476" s="1214"/>
      <c r="AX476" s="1214"/>
      <c r="AY476" s="1214"/>
      <c r="AZ476" s="1214"/>
      <c r="BA476" s="1214"/>
      <c r="BC476" s="1214"/>
      <c r="BE476" s="1214"/>
      <c r="BF476" s="1214"/>
      <c r="BG476" s="1214"/>
    </row>
    <row r="477" spans="18:59" x14ac:dyDescent="0.35">
      <c r="R477" s="1214"/>
      <c r="S477" s="1214"/>
      <c r="W477" s="1214"/>
      <c r="X477" s="1214"/>
      <c r="AE477" s="1214"/>
      <c r="AF477" s="1214"/>
      <c r="AV477" s="1214"/>
      <c r="AW477" s="1214"/>
      <c r="AX477" s="1214"/>
      <c r="AY477" s="1214"/>
      <c r="AZ477" s="1214"/>
      <c r="BA477" s="1214"/>
      <c r="BC477" s="1214"/>
      <c r="BE477" s="1214"/>
      <c r="BF477" s="1214"/>
      <c r="BG477" s="1214"/>
    </row>
    <row r="478" spans="18:59" x14ac:dyDescent="0.35">
      <c r="R478" s="1214"/>
      <c r="S478" s="1214"/>
      <c r="W478" s="1214"/>
      <c r="X478" s="1214"/>
      <c r="AE478" s="1214"/>
      <c r="AF478" s="1214"/>
      <c r="AV478" s="1214"/>
      <c r="AW478" s="1214"/>
      <c r="AX478" s="1214"/>
      <c r="AY478" s="1214"/>
      <c r="AZ478" s="1214"/>
      <c r="BA478" s="1214"/>
      <c r="BC478" s="1214"/>
      <c r="BE478" s="1214"/>
      <c r="BF478" s="1214"/>
      <c r="BG478" s="1214"/>
    </row>
    <row r="479" spans="18:59" x14ac:dyDescent="0.35">
      <c r="R479" s="1214"/>
      <c r="S479" s="1214"/>
      <c r="W479" s="1214"/>
      <c r="X479" s="1214"/>
      <c r="AE479" s="1214"/>
      <c r="AF479" s="1214"/>
      <c r="AV479" s="1214"/>
      <c r="AW479" s="1214"/>
      <c r="AX479" s="1214"/>
      <c r="AY479" s="1214"/>
      <c r="AZ479" s="1214"/>
      <c r="BA479" s="1214"/>
      <c r="BC479" s="1214"/>
      <c r="BE479" s="1214"/>
      <c r="BF479" s="1214"/>
      <c r="BG479" s="1214"/>
    </row>
    <row r="480" spans="18:59" x14ac:dyDescent="0.35">
      <c r="R480" s="1214"/>
      <c r="S480" s="1214"/>
      <c r="W480" s="1214"/>
      <c r="X480" s="1214"/>
      <c r="AE480" s="1214"/>
      <c r="AF480" s="1214"/>
      <c r="AV480" s="1214"/>
      <c r="AW480" s="1214"/>
      <c r="AX480" s="1214"/>
      <c r="AY480" s="1214"/>
      <c r="AZ480" s="1214"/>
      <c r="BA480" s="1214"/>
      <c r="BC480" s="1214"/>
      <c r="BE480" s="1214"/>
      <c r="BF480" s="1214"/>
      <c r="BG480" s="1214"/>
    </row>
    <row r="481" spans="18:59" x14ac:dyDescent="0.35">
      <c r="R481" s="1214"/>
      <c r="S481" s="1214"/>
      <c r="W481" s="1214"/>
      <c r="X481" s="1214"/>
      <c r="AE481" s="1214"/>
      <c r="AF481" s="1214"/>
      <c r="AV481" s="1214"/>
      <c r="AW481" s="1214"/>
      <c r="AX481" s="1214"/>
      <c r="AY481" s="1214"/>
      <c r="AZ481" s="1214"/>
      <c r="BA481" s="1214"/>
      <c r="BC481" s="1214"/>
      <c r="BE481" s="1214"/>
      <c r="BF481" s="1214"/>
      <c r="BG481" s="1214"/>
    </row>
    <row r="482" spans="18:59" x14ac:dyDescent="0.35">
      <c r="R482" s="1214"/>
      <c r="S482" s="1214"/>
      <c r="W482" s="1214"/>
      <c r="X482" s="1214"/>
      <c r="AE482" s="1214"/>
      <c r="AF482" s="1214"/>
      <c r="AV482" s="1214"/>
      <c r="AW482" s="1214"/>
      <c r="AX482" s="1214"/>
      <c r="AY482" s="1214"/>
      <c r="AZ482" s="1214"/>
      <c r="BA482" s="1214"/>
      <c r="BC482" s="1214"/>
      <c r="BE482" s="1214"/>
      <c r="BF482" s="1214"/>
      <c r="BG482" s="1214"/>
    </row>
    <row r="483" spans="18:59" x14ac:dyDescent="0.35">
      <c r="R483" s="1214"/>
      <c r="S483" s="1214"/>
      <c r="W483" s="1214"/>
      <c r="X483" s="1214"/>
      <c r="AE483" s="1214"/>
      <c r="AF483" s="1214"/>
      <c r="AV483" s="1214"/>
      <c r="AW483" s="1214"/>
      <c r="AX483" s="1214"/>
      <c r="AY483" s="1214"/>
      <c r="AZ483" s="1214"/>
      <c r="BA483" s="1214"/>
      <c r="BC483" s="1214"/>
      <c r="BE483" s="1214"/>
      <c r="BF483" s="1214"/>
      <c r="BG483" s="1214"/>
    </row>
    <row r="484" spans="18:59" x14ac:dyDescent="0.35">
      <c r="R484" s="1214"/>
      <c r="S484" s="1214"/>
      <c r="W484" s="1214"/>
      <c r="X484" s="1214"/>
      <c r="AE484" s="1214"/>
      <c r="AF484" s="1214"/>
      <c r="AV484" s="1214"/>
      <c r="AW484" s="1214"/>
      <c r="AX484" s="1214"/>
      <c r="AY484" s="1214"/>
      <c r="AZ484" s="1214"/>
      <c r="BA484" s="1214"/>
      <c r="BC484" s="1214"/>
      <c r="BE484" s="1214"/>
      <c r="BF484" s="1214"/>
      <c r="BG484" s="1214"/>
    </row>
    <row r="485" spans="18:59" x14ac:dyDescent="0.35">
      <c r="R485" s="1214"/>
      <c r="S485" s="1214"/>
      <c r="W485" s="1214"/>
      <c r="X485" s="1214"/>
      <c r="AE485" s="1214"/>
      <c r="AF485" s="1214"/>
      <c r="AV485" s="1214"/>
      <c r="AW485" s="1214"/>
      <c r="AX485" s="1214"/>
      <c r="AY485" s="1214"/>
      <c r="AZ485" s="1214"/>
      <c r="BA485" s="1214"/>
      <c r="BC485" s="1214"/>
      <c r="BE485" s="1214"/>
      <c r="BF485" s="1214"/>
      <c r="BG485" s="1214"/>
    </row>
    <row r="486" spans="18:59" x14ac:dyDescent="0.35">
      <c r="R486" s="1214"/>
      <c r="S486" s="1214"/>
      <c r="W486" s="1214"/>
      <c r="X486" s="1214"/>
      <c r="AE486" s="1214"/>
      <c r="AF486" s="1214"/>
      <c r="AV486" s="1214"/>
      <c r="AW486" s="1214"/>
      <c r="AX486" s="1214"/>
      <c r="AY486" s="1214"/>
      <c r="AZ486" s="1214"/>
      <c r="BA486" s="1214"/>
      <c r="BC486" s="1214"/>
      <c r="BE486" s="1214"/>
      <c r="BF486" s="1214"/>
      <c r="BG486" s="1214"/>
    </row>
    <row r="487" spans="18:59" x14ac:dyDescent="0.35">
      <c r="R487" s="1214"/>
      <c r="S487" s="1214"/>
      <c r="W487" s="1214"/>
      <c r="X487" s="1214"/>
      <c r="AE487" s="1214"/>
      <c r="AF487" s="1214"/>
      <c r="AV487" s="1214"/>
      <c r="AW487" s="1214"/>
      <c r="AX487" s="1214"/>
      <c r="AY487" s="1214"/>
      <c r="AZ487" s="1214"/>
      <c r="BA487" s="1214"/>
      <c r="BC487" s="1214"/>
      <c r="BE487" s="1214"/>
      <c r="BF487" s="1214"/>
      <c r="BG487" s="1214"/>
    </row>
    <row r="488" spans="18:59" x14ac:dyDescent="0.35">
      <c r="R488" s="1214"/>
      <c r="S488" s="1214"/>
      <c r="W488" s="1214"/>
      <c r="X488" s="1214"/>
      <c r="AE488" s="1214"/>
      <c r="AF488" s="1214"/>
      <c r="AV488" s="1214"/>
      <c r="AW488" s="1214"/>
      <c r="AX488" s="1214"/>
      <c r="AY488" s="1214"/>
      <c r="AZ488" s="1214"/>
      <c r="BA488" s="1214"/>
      <c r="BC488" s="1214"/>
      <c r="BE488" s="1214"/>
      <c r="BF488" s="1214"/>
      <c r="BG488" s="1214"/>
    </row>
    <row r="489" spans="18:59" x14ac:dyDescent="0.35">
      <c r="R489" s="1214"/>
      <c r="S489" s="1214"/>
      <c r="W489" s="1214"/>
      <c r="X489" s="1214"/>
      <c r="AE489" s="1214"/>
      <c r="AF489" s="1214"/>
      <c r="AV489" s="1214"/>
      <c r="AW489" s="1214"/>
      <c r="AX489" s="1214"/>
      <c r="AY489" s="1214"/>
      <c r="AZ489" s="1214"/>
      <c r="BA489" s="1214"/>
      <c r="BC489" s="1214"/>
      <c r="BE489" s="1214"/>
      <c r="BF489" s="1214"/>
      <c r="BG489" s="1214"/>
    </row>
    <row r="490" spans="18:59" x14ac:dyDescent="0.35">
      <c r="R490" s="1214"/>
      <c r="S490" s="1214"/>
      <c r="W490" s="1214"/>
      <c r="X490" s="1214"/>
      <c r="AE490" s="1214"/>
      <c r="AF490" s="1214"/>
      <c r="AV490" s="1214"/>
      <c r="AW490" s="1214"/>
      <c r="AX490" s="1214"/>
      <c r="AY490" s="1214"/>
      <c r="AZ490" s="1214"/>
      <c r="BA490" s="1214"/>
      <c r="BC490" s="1214"/>
      <c r="BE490" s="1214"/>
      <c r="BF490" s="1214"/>
      <c r="BG490" s="1214"/>
    </row>
    <row r="491" spans="18:59" x14ac:dyDescent="0.35">
      <c r="R491" s="1214"/>
      <c r="S491" s="1214"/>
      <c r="W491" s="1214"/>
      <c r="X491" s="1214"/>
      <c r="AE491" s="1214"/>
      <c r="AF491" s="1214"/>
      <c r="AV491" s="1214"/>
      <c r="AW491" s="1214"/>
      <c r="AX491" s="1214"/>
      <c r="AY491" s="1214"/>
      <c r="AZ491" s="1214"/>
      <c r="BA491" s="1214"/>
      <c r="BC491" s="1214"/>
      <c r="BE491" s="1214"/>
      <c r="BF491" s="1214"/>
      <c r="BG491" s="1214"/>
    </row>
    <row r="492" spans="18:59" x14ac:dyDescent="0.35">
      <c r="R492" s="1214"/>
      <c r="S492" s="1214"/>
      <c r="W492" s="1214"/>
      <c r="X492" s="1214"/>
      <c r="AE492" s="1214"/>
      <c r="AF492" s="1214"/>
      <c r="AV492" s="1214"/>
      <c r="AW492" s="1214"/>
      <c r="AX492" s="1214"/>
      <c r="AY492" s="1214"/>
      <c r="AZ492" s="1214"/>
      <c r="BA492" s="1214"/>
      <c r="BC492" s="1214"/>
      <c r="BE492" s="1214"/>
      <c r="BF492" s="1214"/>
      <c r="BG492" s="1214"/>
    </row>
    <row r="493" spans="18:59" x14ac:dyDescent="0.35">
      <c r="R493" s="1214"/>
      <c r="S493" s="1214"/>
      <c r="W493" s="1214"/>
      <c r="X493" s="1214"/>
      <c r="AE493" s="1214"/>
      <c r="AF493" s="1214"/>
      <c r="AV493" s="1214"/>
      <c r="AW493" s="1214"/>
      <c r="AX493" s="1214"/>
      <c r="AY493" s="1214"/>
      <c r="AZ493" s="1214"/>
      <c r="BA493" s="1214"/>
      <c r="BC493" s="1214"/>
      <c r="BE493" s="1214"/>
      <c r="BF493" s="1214"/>
      <c r="BG493" s="1214"/>
    </row>
    <row r="494" spans="18:59" x14ac:dyDescent="0.35">
      <c r="R494" s="1214"/>
      <c r="S494" s="1214"/>
      <c r="W494" s="1214"/>
      <c r="X494" s="1214"/>
      <c r="AE494" s="1214"/>
      <c r="AF494" s="1214"/>
      <c r="AV494" s="1214"/>
      <c r="AW494" s="1214"/>
      <c r="AX494" s="1214"/>
      <c r="AY494" s="1214"/>
      <c r="AZ494" s="1214"/>
      <c r="BA494" s="1214"/>
      <c r="BC494" s="1214"/>
      <c r="BE494" s="1214"/>
      <c r="BF494" s="1214"/>
      <c r="BG494" s="1214"/>
    </row>
    <row r="495" spans="18:59" x14ac:dyDescent="0.35">
      <c r="R495" s="1214"/>
      <c r="S495" s="1214"/>
      <c r="W495" s="1214"/>
      <c r="X495" s="1214"/>
      <c r="AE495" s="1214"/>
      <c r="AF495" s="1214"/>
      <c r="AV495" s="1214"/>
      <c r="AW495" s="1214"/>
      <c r="AX495" s="1214"/>
      <c r="AY495" s="1214"/>
      <c r="AZ495" s="1214"/>
      <c r="BA495" s="1214"/>
      <c r="BC495" s="1214"/>
      <c r="BE495" s="1214"/>
      <c r="BF495" s="1214"/>
      <c r="BG495" s="1214"/>
    </row>
    <row r="496" spans="18:59" x14ac:dyDescent="0.35">
      <c r="R496" s="1214"/>
      <c r="S496" s="1214"/>
      <c r="W496" s="1214"/>
      <c r="X496" s="1214"/>
      <c r="AE496" s="1214"/>
      <c r="AF496" s="1214"/>
      <c r="AV496" s="1214"/>
      <c r="AW496" s="1214"/>
      <c r="AX496" s="1214"/>
      <c r="AY496" s="1214"/>
      <c r="AZ496" s="1214"/>
      <c r="BA496" s="1214"/>
      <c r="BC496" s="1214"/>
      <c r="BE496" s="1214"/>
      <c r="BF496" s="1214"/>
      <c r="BG496" s="1214"/>
    </row>
    <row r="497" spans="18:59" x14ac:dyDescent="0.35">
      <c r="R497" s="1214"/>
      <c r="S497" s="1214"/>
      <c r="W497" s="1214"/>
      <c r="X497" s="1214"/>
      <c r="AE497" s="1214"/>
      <c r="AF497" s="1214"/>
      <c r="AV497" s="1214"/>
      <c r="AW497" s="1214"/>
      <c r="AX497" s="1214"/>
      <c r="AY497" s="1214"/>
      <c r="AZ497" s="1214"/>
      <c r="BA497" s="1214"/>
      <c r="BC497" s="1214"/>
      <c r="BE497" s="1214"/>
      <c r="BF497" s="1214"/>
      <c r="BG497" s="1214"/>
    </row>
    <row r="498" spans="18:59" x14ac:dyDescent="0.35">
      <c r="R498" s="1214"/>
      <c r="S498" s="1214"/>
      <c r="W498" s="1214"/>
      <c r="X498" s="1214"/>
      <c r="AE498" s="1214"/>
      <c r="AF498" s="1214"/>
      <c r="AV498" s="1214"/>
      <c r="AW498" s="1214"/>
      <c r="AX498" s="1214"/>
      <c r="AY498" s="1214"/>
      <c r="AZ498" s="1214"/>
      <c r="BA498" s="1214"/>
      <c r="BC498" s="1214"/>
      <c r="BE498" s="1214"/>
      <c r="BF498" s="1214"/>
      <c r="BG498" s="1214"/>
    </row>
    <row r="499" spans="18:59" x14ac:dyDescent="0.35">
      <c r="R499" s="1214"/>
      <c r="S499" s="1214"/>
      <c r="W499" s="1214"/>
      <c r="X499" s="1214"/>
      <c r="AE499" s="1214"/>
      <c r="AF499" s="1214"/>
      <c r="AV499" s="1214"/>
      <c r="AW499" s="1214"/>
      <c r="AX499" s="1214"/>
      <c r="AY499" s="1214"/>
      <c r="AZ499" s="1214"/>
      <c r="BA499" s="1214"/>
      <c r="BC499" s="1214"/>
      <c r="BE499" s="1214"/>
      <c r="BF499" s="1214"/>
      <c r="BG499" s="1214"/>
    </row>
    <row r="500" spans="18:59" x14ac:dyDescent="0.35">
      <c r="R500" s="1214"/>
      <c r="S500" s="1214"/>
      <c r="W500" s="1214"/>
      <c r="X500" s="1214"/>
      <c r="AE500" s="1214"/>
      <c r="AF500" s="1214"/>
      <c r="AV500" s="1214"/>
      <c r="AW500" s="1214"/>
      <c r="AX500" s="1214"/>
      <c r="AY500" s="1214"/>
      <c r="AZ500" s="1214"/>
      <c r="BA500" s="1214"/>
      <c r="BC500" s="1214"/>
      <c r="BE500" s="1214"/>
      <c r="BF500" s="1214"/>
      <c r="BG500" s="1214"/>
    </row>
    <row r="501" spans="18:59" x14ac:dyDescent="0.35">
      <c r="R501" s="1214"/>
      <c r="S501" s="1214"/>
      <c r="W501" s="1214"/>
      <c r="X501" s="1214"/>
      <c r="AE501" s="1214"/>
      <c r="AF501" s="1214"/>
      <c r="AV501" s="1214"/>
      <c r="AW501" s="1214"/>
      <c r="AX501" s="1214"/>
      <c r="AY501" s="1214"/>
      <c r="AZ501" s="1214"/>
      <c r="BA501" s="1214"/>
      <c r="BC501" s="1214"/>
      <c r="BE501" s="1214"/>
      <c r="BF501" s="1214"/>
      <c r="BG501" s="1214"/>
    </row>
    <row r="502" spans="18:59" x14ac:dyDescent="0.35">
      <c r="R502" s="1214"/>
      <c r="S502" s="1214"/>
      <c r="W502" s="1214"/>
      <c r="X502" s="1214"/>
      <c r="AE502" s="1214"/>
      <c r="AF502" s="1214"/>
      <c r="AV502" s="1214"/>
      <c r="AW502" s="1214"/>
      <c r="AX502" s="1214"/>
      <c r="AY502" s="1214"/>
      <c r="AZ502" s="1214"/>
      <c r="BA502" s="1214"/>
      <c r="BC502" s="1214"/>
      <c r="BE502" s="1214"/>
      <c r="BF502" s="1214"/>
      <c r="BG502" s="121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A17" sqref="A17"/>
    </sheetView>
  </sheetViews>
  <sheetFormatPr defaultColWidth="10.90625" defaultRowHeight="14.5" x14ac:dyDescent="0.35"/>
  <cols>
    <col min="1" max="1" width="23.1796875" customWidth="1"/>
  </cols>
  <sheetData>
    <row r="1" spans="1:22" x14ac:dyDescent="0.35">
      <c r="A1" s="1219" t="s">
        <v>724</v>
      </c>
      <c r="B1" s="1219"/>
      <c r="C1" s="1219"/>
      <c r="D1" s="1219"/>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7"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7"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7"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7"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7"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7"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7"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7"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7"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7"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7"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7"/>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8"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7"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4" t="e">
        <f>'Federal and State Purchases'!#REF!</f>
        <v>#REF!</v>
      </c>
      <c r="C19" s="834" t="e">
        <f>'Federal and State Purchases'!#REF!</f>
        <v>#REF!</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topLeftCell="B1" zoomScale="99" zoomScaleNormal="80" workbookViewId="0">
      <selection activeCell="K32" sqref="K32"/>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1">
        <v>2021</v>
      </c>
      <c r="D1" s="1221">
        <f>C1</f>
        <v>2021</v>
      </c>
      <c r="E1" s="1221">
        <f>D1</f>
        <v>2021</v>
      </c>
      <c r="F1" s="1221">
        <v>2022</v>
      </c>
      <c r="G1" s="1221">
        <v>2022</v>
      </c>
      <c r="H1" s="1221">
        <v>2022</v>
      </c>
      <c r="I1" s="1221">
        <v>2022</v>
      </c>
      <c r="J1" s="1221">
        <v>2023</v>
      </c>
      <c r="K1" s="1221">
        <v>2023</v>
      </c>
      <c r="L1" s="1221">
        <v>2023</v>
      </c>
      <c r="M1" s="1221">
        <v>2023</v>
      </c>
      <c r="N1" s="1221">
        <v>2024</v>
      </c>
      <c r="O1" s="1221">
        <v>2024</v>
      </c>
      <c r="P1" s="1221">
        <v>2024</v>
      </c>
      <c r="Q1" s="1221">
        <v>2024</v>
      </c>
      <c r="R1" s="1221">
        <v>2025</v>
      </c>
      <c r="S1" s="1221">
        <v>2025</v>
      </c>
      <c r="T1" s="1221">
        <v>2025</v>
      </c>
      <c r="U1" s="1221">
        <v>2025</v>
      </c>
      <c r="V1" s="1221">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2">
        <f>4*'ARP Timing'!B6*VLOOKUP(C$1,'ARP Score'!$A$5:$M14,$A3)</f>
        <v>0</v>
      </c>
      <c r="D3" s="1222">
        <f>4*'ARP Timing'!C6*VLOOKUP(D$1,'ARP Score'!$A$5:$M14,$A3)</f>
        <v>336.60399999999998</v>
      </c>
      <c r="E3" s="1222">
        <f>4*'ARP Timing'!D6*VLOOKUP(E$1,'ARP Score'!$A$5:$M14,$A3)</f>
        <v>446.19599999999991</v>
      </c>
      <c r="F3" s="1222">
        <f>4*'ARP Timing'!E6*VLOOKUP(F$1,'ARP Score'!$A$5:$M14,$A3)</f>
        <v>10.1</v>
      </c>
      <c r="G3" s="1222">
        <f>4*'ARP Timing'!F6*VLOOKUP(G$1,'ARP Score'!$A$5:$M14,$A3)</f>
        <v>10.1</v>
      </c>
      <c r="H3" s="1222">
        <f>4*'ARP Timing'!G6*VLOOKUP(H$1,'ARP Score'!$A$5:$M14,$A3)</f>
        <v>10.1</v>
      </c>
      <c r="I3" s="1222">
        <f>4*'ARP Timing'!H6*VLOOKUP(I$1,'ARP Score'!$A$5:$M14,$A3)</f>
        <v>10.1</v>
      </c>
      <c r="J3" s="1222">
        <f>4*'ARP Timing'!I6*VLOOKUP(J$1,'ARP Score'!$A$5:$M14,$A3)</f>
        <v>0</v>
      </c>
      <c r="K3" s="1222">
        <f>4*'ARP Timing'!J6*VLOOKUP(K$1,'ARP Score'!$A$5:$M14,$A3)</f>
        <v>0</v>
      </c>
      <c r="L3" s="1222">
        <f>4*'ARP Timing'!K6*VLOOKUP(L$1,'ARP Score'!$A$5:$M14,$A3)</f>
        <v>0</v>
      </c>
      <c r="M3" s="1222">
        <f>4*'ARP Timing'!L6*VLOOKUP(M$1,'ARP Score'!$A$5:$M14,$A3)</f>
        <v>0</v>
      </c>
      <c r="N3" s="1222">
        <f>4*'ARP Timing'!M6*VLOOKUP(N$1,'ARP Score'!$A$5:$M14,$A3)</f>
        <v>0</v>
      </c>
      <c r="O3" s="1222">
        <f>4*'ARP Timing'!N6*VLOOKUP(O$1,'ARP Score'!$A$5:$M14,$A3)</f>
        <v>0</v>
      </c>
      <c r="P3" s="1222">
        <f>4*'ARP Timing'!O6*VLOOKUP(P$1,'ARP Score'!$A$5:$M14,$A3)</f>
        <v>0</v>
      </c>
      <c r="Q3" s="1222">
        <f>4*'ARP Timing'!P6*VLOOKUP(Q$1,'ARP Score'!$A$5:$M14,$A3)</f>
        <v>0</v>
      </c>
      <c r="R3" s="1222">
        <f>4*'ARP Timing'!Q6*VLOOKUP(R$1,'ARP Score'!$A$5:$M14,$A3)</f>
        <v>0</v>
      </c>
      <c r="S3" s="1222">
        <f>4*'ARP Timing'!R6*VLOOKUP(S$1,'ARP Score'!$A$5:$M14,$A3)</f>
        <v>0</v>
      </c>
      <c r="T3" s="1222">
        <f>4*'ARP Timing'!S6*VLOOKUP(T$1,'ARP Score'!$A$5:$M14,$A3)</f>
        <v>0</v>
      </c>
      <c r="U3" s="1222">
        <f>4*'ARP Timing'!T6*VLOOKUP(U$1,'ARP Score'!$A$5:$M14,$A3)</f>
        <v>0</v>
      </c>
      <c r="V3" s="1222">
        <f>4*'ARP Timing'!U6*VLOOKUP(V$1,'ARP Score'!$A$5:$M14,$A3)</f>
        <v>0</v>
      </c>
      <c r="W3" s="1222">
        <f>SUM(C3:U3)/4</f>
        <v>205.8</v>
      </c>
    </row>
    <row r="4" spans="1:23" x14ac:dyDescent="0.35">
      <c r="A4" s="734">
        <v>5</v>
      </c>
      <c r="B4" s="33" t="s">
        <v>673</v>
      </c>
      <c r="C4" s="1222">
        <f>4*'ARP Timing'!B7*VLOOKUP(C$1,'ARP Score'!$A$5:$M15,$A4)</f>
        <v>0</v>
      </c>
      <c r="D4" s="1222">
        <f>4*'ARP Timing'!C7*VLOOKUP(D$1,'ARP Score'!$A$5:$M15,$A4)</f>
        <v>0</v>
      </c>
      <c r="E4" s="1222">
        <f>4*'ARP Timing'!D7*VLOOKUP(E$1,'ARP Score'!$A$5:$M15,$A4)</f>
        <v>3.1040000000000418</v>
      </c>
      <c r="F4" s="1222">
        <f>4*'ARP Timing'!E7*VLOOKUP(F$1,'ARP Score'!$A$5:$M15,$A4)</f>
        <v>19.719000000000005</v>
      </c>
      <c r="G4" s="1222">
        <f>4*'ARP Timing'!F7*VLOOKUP(G$1,'ARP Score'!$A$5:$M15,$A4)</f>
        <v>19.719000000000005</v>
      </c>
      <c r="H4" s="1222">
        <f>4*'ARP Timing'!G7*VLOOKUP(H$1,'ARP Score'!$A$5:$M15,$A4)</f>
        <v>19.719000000000005</v>
      </c>
      <c r="I4" s="1222">
        <f>4*'ARP Timing'!H7*VLOOKUP(I$1,'ARP Score'!$A$5:$M15,$A4)</f>
        <v>19.719000000000005</v>
      </c>
      <c r="J4" s="1222">
        <f>4*'ARP Timing'!I7*VLOOKUP(J$1,'ARP Score'!$A$5:$M15,$A4)</f>
        <v>1.4159999999999999</v>
      </c>
      <c r="K4" s="1222">
        <f>4*'ARP Timing'!J7*VLOOKUP(K$1,'ARP Score'!$A$5:$M15,$A4)</f>
        <v>1.4159999999999999</v>
      </c>
      <c r="L4" s="1222">
        <f>4*'ARP Timing'!K7*VLOOKUP(L$1,'ARP Score'!$A$5:$M15,$A4)</f>
        <v>1.4159999999999999</v>
      </c>
      <c r="M4" s="1222">
        <f>4*'ARP Timing'!L7*VLOOKUP(M$1,'ARP Score'!$A$5:$M15,$A4)</f>
        <v>1.4159999999999999</v>
      </c>
      <c r="N4" s="1222">
        <f>4*'ARP Timing'!M7*VLOOKUP(N$1,'ARP Score'!$A$5:$M15,$A4)</f>
        <v>1.4790000000000001</v>
      </c>
      <c r="O4" s="1222">
        <f>4*'ARP Timing'!N7*VLOOKUP(O$1,'ARP Score'!$A$5:$M15,$A4)</f>
        <v>1.4790000000000001</v>
      </c>
      <c r="P4" s="1222">
        <f>4*'ARP Timing'!O7*VLOOKUP(P$1,'ARP Score'!$A$5:$M15,$A4)</f>
        <v>1.4790000000000001</v>
      </c>
      <c r="Q4" s="1222">
        <f>4*'ARP Timing'!P7*VLOOKUP(Q$1,'ARP Score'!$A$5:$M15,$A4)</f>
        <v>1.4790000000000001</v>
      </c>
      <c r="R4" s="1222">
        <f>4*'ARP Timing'!Q7*VLOOKUP(R$1,'ARP Score'!$A$5:$M15,$A4)</f>
        <v>1.63</v>
      </c>
      <c r="S4" s="1222">
        <f>4*'ARP Timing'!R7*VLOOKUP(S$1,'ARP Score'!$A$5:$M15,$A4)</f>
        <v>1.63</v>
      </c>
      <c r="T4" s="1222">
        <f>4*'ARP Timing'!S7*VLOOKUP(T$1,'ARP Score'!$A$5:$M15,$A4)</f>
        <v>1.63</v>
      </c>
      <c r="U4" s="1222">
        <f>4*'ARP Timing'!T7*VLOOKUP(U$1,'ARP Score'!$A$5:$M15,$A4)</f>
        <v>1.63</v>
      </c>
      <c r="V4" s="1222">
        <f>4*'ARP Timing'!U7*VLOOKUP(V$1,'ARP Score'!$A$5:$M15,$A4)</f>
        <v>1.671</v>
      </c>
      <c r="W4" s="1222">
        <f>SUM(C4:U4)/4</f>
        <v>25.020000000000007</v>
      </c>
    </row>
    <row r="5" spans="1:23" x14ac:dyDescent="0.35">
      <c r="A5" s="734">
        <v>6</v>
      </c>
      <c r="B5" s="33" t="s">
        <v>674</v>
      </c>
      <c r="C5" s="1222">
        <f>4*'ARP Timing'!B8*VLOOKUP(C$1,'ARP Score'!$A$5:$M16,$A5)</f>
        <v>0</v>
      </c>
      <c r="D5" s="1222">
        <f>4*'ARP Timing'!C8*VLOOKUP(D$1,'ARP Score'!$A$5:$M16,$A5)</f>
        <v>33.921840000000024</v>
      </c>
      <c r="E5" s="1222">
        <f>4*'ARP Timing'!D8*VLOOKUP(E$1,'ARP Score'!$A$5:$M16,$A5)</f>
        <v>44.966160000000031</v>
      </c>
      <c r="F5" s="1222">
        <f>4*'ARP Timing'!E8*VLOOKUP(F$1,'ARP Score'!$A$5:$M16,$A5)</f>
        <v>52.756999999999998</v>
      </c>
      <c r="G5" s="1222">
        <f>4*'ARP Timing'!F8*VLOOKUP(G$1,'ARP Score'!$A$5:$M16,$A5)</f>
        <v>52.756999999999998</v>
      </c>
      <c r="H5" s="1222">
        <f>4*'ARP Timing'!G8*VLOOKUP(H$1,'ARP Score'!$A$5:$M16,$A5)</f>
        <v>52.756999999999998</v>
      </c>
      <c r="I5" s="1222">
        <f>4*'ARP Timing'!H8*VLOOKUP(I$1,'ARP Score'!$A$5:$M16,$A5)</f>
        <v>52.756999999999998</v>
      </c>
      <c r="J5" s="1222">
        <f>4*'ARP Timing'!I8*VLOOKUP(J$1,'ARP Score'!$A$5:$M16,$A5)</f>
        <v>12</v>
      </c>
      <c r="K5" s="1222">
        <f>4*'ARP Timing'!J8*VLOOKUP(K$1,'ARP Score'!$A$5:$M16,$A5)</f>
        <v>12</v>
      </c>
      <c r="L5" s="1222">
        <f>4*'ARP Timing'!K8*VLOOKUP(L$1,'ARP Score'!$A$5:$M16,$A5)</f>
        <v>12</v>
      </c>
      <c r="M5" s="1222">
        <f>4*'ARP Timing'!L8*VLOOKUP(M$1,'ARP Score'!$A$5:$M16,$A5)</f>
        <v>12</v>
      </c>
      <c r="N5" s="1222">
        <f>4*'ARP Timing'!M8*VLOOKUP(N$1,'ARP Score'!$A$5:$M16,$A5)</f>
        <v>4.2219999999999995</v>
      </c>
      <c r="O5" s="1222">
        <f>4*'ARP Timing'!N8*VLOOKUP(O$1,'ARP Score'!$A$5:$M16,$A5)</f>
        <v>4.2219999999999995</v>
      </c>
      <c r="P5" s="1222">
        <f>4*'ARP Timing'!O8*VLOOKUP(P$1,'ARP Score'!$A$5:$M16,$A5)</f>
        <v>4.2219999999999995</v>
      </c>
      <c r="Q5" s="1222">
        <f>4*'ARP Timing'!P8*VLOOKUP(Q$1,'ARP Score'!$A$5:$M16,$A5)</f>
        <v>4.2219999999999995</v>
      </c>
      <c r="R5" s="1222">
        <f>4*'ARP Timing'!Q8*VLOOKUP(R$1,'ARP Score'!$A$5:$M16,$A5)</f>
        <v>2.3719999999999999</v>
      </c>
      <c r="S5" s="1222">
        <f>4*'ARP Timing'!R8*VLOOKUP(S$1,'ARP Score'!$A$5:$M16,$A5)</f>
        <v>2.3719999999999999</v>
      </c>
      <c r="T5" s="1222">
        <f>4*'ARP Timing'!S8*VLOOKUP(T$1,'ARP Score'!$A$5:$M16,$A5)</f>
        <v>2.3719999999999999</v>
      </c>
      <c r="U5" s="1222">
        <f>4*'ARP Timing'!T8*VLOOKUP(U$1,'ARP Score'!$A$5:$M16,$A5)</f>
        <v>2.3719999999999999</v>
      </c>
      <c r="V5" s="1222">
        <f>4*'ARP Timing'!U8*VLOOKUP(V$1,'ARP Score'!$A$5:$M16,$A5)</f>
        <v>0.49</v>
      </c>
      <c r="W5" s="1222">
        <f t="shared" ref="W5:W15" si="0">SUM(C5:U5)/4</f>
        <v>91.073000000000008</v>
      </c>
    </row>
    <row r="6" spans="1:23" x14ac:dyDescent="0.35">
      <c r="A6" s="734">
        <v>7</v>
      </c>
      <c r="B6" s="33" t="s">
        <v>766</v>
      </c>
      <c r="C6" s="1222">
        <f>4*'ARP Timing'!B9*VLOOKUP(C$1,'ARP Score'!$A$5:$M17,$A6)</f>
        <v>0</v>
      </c>
      <c r="D6" s="1222">
        <f>4*'ARP Timing'!C9*VLOOKUP(D$1,'ARP Score'!$A$5:$M17,$A6)</f>
        <v>58.782959999999989</v>
      </c>
      <c r="E6" s="1222">
        <f>4*'ARP Timing'!D9*VLOOKUP(E$1,'ARP Score'!$A$5:$M17,$A6)</f>
        <v>267.78904</v>
      </c>
      <c r="F6" s="1222">
        <f>4*'ARP Timing'!E9*VLOOKUP(F$1,'ARP Score'!$A$5:$M17,$A6)</f>
        <v>110.24799999999999</v>
      </c>
      <c r="G6" s="1222">
        <f>4*'ARP Timing'!F9*VLOOKUP(G$1,'ARP Score'!$A$5:$M17,$A6)</f>
        <v>110.24799999999999</v>
      </c>
      <c r="H6" s="1222">
        <f>4*'ARP Timing'!G9*VLOOKUP(H$1,'ARP Score'!$A$5:$M17,$A6)</f>
        <v>110.24799999999999</v>
      </c>
      <c r="I6" s="1222">
        <f>4*'ARP Timing'!H9*VLOOKUP(I$1,'ARP Score'!$A$5:$M17,$A6)</f>
        <v>110.24799999999999</v>
      </c>
      <c r="J6" s="1222">
        <f>4*'ARP Timing'!I9*VLOOKUP(J$1,'ARP Score'!$A$5:$M17,$A6)</f>
        <v>12.726000000000001</v>
      </c>
      <c r="K6" s="1222">
        <f>4*'ARP Timing'!J9*VLOOKUP(K$1,'ARP Score'!$A$5:$M17,$A6)</f>
        <v>12.726000000000001</v>
      </c>
      <c r="L6" s="1222">
        <f>4*'ARP Timing'!K9*VLOOKUP(L$1,'ARP Score'!$A$5:$M17,$A6)</f>
        <v>12.726000000000001</v>
      </c>
      <c r="M6" s="1222">
        <f>4*'ARP Timing'!L9*VLOOKUP(M$1,'ARP Score'!$A$5:$M17,$A6)</f>
        <v>12.726000000000001</v>
      </c>
      <c r="N6" s="1222">
        <f>4*'ARP Timing'!M9*VLOOKUP(N$1,'ARP Score'!$A$5:$M17,$A6)</f>
        <v>1.365</v>
      </c>
      <c r="O6" s="1222">
        <f>4*'ARP Timing'!N9*VLOOKUP(O$1,'ARP Score'!$A$5:$M17,$A6)</f>
        <v>1.365</v>
      </c>
      <c r="P6" s="1222">
        <f>4*'ARP Timing'!O9*VLOOKUP(P$1,'ARP Score'!$A$5:$M17,$A6)</f>
        <v>1.365</v>
      </c>
      <c r="Q6" s="1222">
        <f>4*'ARP Timing'!P9*VLOOKUP(Q$1,'ARP Score'!$A$5:$M17,$A6)</f>
        <v>1.365</v>
      </c>
      <c r="R6" s="1222">
        <f>4*'ARP Timing'!Q9*VLOOKUP(R$1,'ARP Score'!$A$5:$M17,$A6)</f>
        <v>-0.90100000000000025</v>
      </c>
      <c r="S6" s="1222">
        <f>4*'ARP Timing'!R9*VLOOKUP(S$1,'ARP Score'!$A$5:$M17,$A6)</f>
        <v>-0.90100000000000025</v>
      </c>
      <c r="T6" s="1222">
        <f>4*'ARP Timing'!S9*VLOOKUP(T$1,'ARP Score'!$A$5:$M17,$A6)</f>
        <v>-0.90100000000000025</v>
      </c>
      <c r="U6" s="1222">
        <f>4*'ARP Timing'!T9*VLOOKUP(U$1,'ARP Score'!$A$5:$M17,$A6)</f>
        <v>-0.90100000000000025</v>
      </c>
      <c r="V6" s="1222">
        <f>4*'ARP Timing'!U9*VLOOKUP(V$1,'ARP Score'!$A$5:$M17,$A6)</f>
        <v>-2.1500000000000004</v>
      </c>
      <c r="W6" s="1222">
        <f t="shared" si="0"/>
        <v>205.08100000000007</v>
      </c>
    </row>
    <row r="7" spans="1:23" x14ac:dyDescent="0.35">
      <c r="A7" s="734">
        <v>8</v>
      </c>
      <c r="B7" s="33" t="s">
        <v>131</v>
      </c>
      <c r="C7" s="1222">
        <f>4*'ARP Timing'!B10*VLOOKUP(C$1,'ARP Score'!$A$5:$M18,$A7)</f>
        <v>0</v>
      </c>
      <c r="D7" s="1222">
        <f>4*'ARP Timing'!C10*VLOOKUP(D$1,'ARP Score'!$A$5:$M18,$A7)</f>
        <v>15.596</v>
      </c>
      <c r="E7" s="1222">
        <f>4*'ARP Timing'!D10*VLOOKUP(E$1,'ARP Score'!$A$5:$M18,$A7)</f>
        <v>15.596</v>
      </c>
      <c r="F7" s="1222">
        <f>4*'ARP Timing'!E10*VLOOKUP(F$1,'ARP Score'!$A$5:$M18,$A7)</f>
        <v>7.9489999999999998</v>
      </c>
      <c r="G7" s="1222">
        <f>4*'ARP Timing'!F10*VLOOKUP(G$1,'ARP Score'!$A$5:$M18,$A7)</f>
        <v>7.9489999999999998</v>
      </c>
      <c r="H7" s="1222">
        <f>4*'ARP Timing'!G10*VLOOKUP(H$1,'ARP Score'!$A$5:$M18,$A7)</f>
        <v>7.9489999999999998</v>
      </c>
      <c r="I7" s="1222">
        <f>4*'ARP Timing'!H10*VLOOKUP(I$1,'ARP Score'!$A$5:$M18,$A7)</f>
        <v>7.9489999999999998</v>
      </c>
      <c r="J7" s="1222">
        <f>4*'ARP Timing'!I10*VLOOKUP(J$1,'ARP Score'!$A$5:$M18,$A7)</f>
        <v>4.7519999999999998</v>
      </c>
      <c r="K7" s="1222">
        <f>4*'ARP Timing'!J10*VLOOKUP(K$1,'ARP Score'!$A$5:$M18,$A7)</f>
        <v>4.7519999999999998</v>
      </c>
      <c r="L7" s="1222">
        <f>4*'ARP Timing'!K10*VLOOKUP(L$1,'ARP Score'!$A$5:$M18,$A7)</f>
        <v>4.7519999999999998</v>
      </c>
      <c r="M7" s="1222">
        <f>4*'ARP Timing'!L10*VLOOKUP(M$1,'ARP Score'!$A$5:$M18,$A7)</f>
        <v>4.7519999999999998</v>
      </c>
      <c r="N7" s="1222">
        <f>4*'ARP Timing'!M10*VLOOKUP(N$1,'ARP Score'!$A$5:$M18,$A7)</f>
        <v>4.637999999999999</v>
      </c>
      <c r="O7" s="1222">
        <f>4*'ARP Timing'!N10*VLOOKUP(O$1,'ARP Score'!$A$5:$M18,$A7)</f>
        <v>4.637999999999999</v>
      </c>
      <c r="P7" s="1222">
        <f>4*'ARP Timing'!O10*VLOOKUP(P$1,'ARP Score'!$A$5:$M18,$A7)</f>
        <v>4.637999999999999</v>
      </c>
      <c r="Q7" s="1222">
        <f>4*'ARP Timing'!P10*VLOOKUP(Q$1,'ARP Score'!$A$5:$M18,$A7)</f>
        <v>4.637999999999999</v>
      </c>
      <c r="R7" s="1222">
        <f>4*'ARP Timing'!Q10*VLOOKUP(R$1,'ARP Score'!$A$5:$M18,$A7)</f>
        <v>1.8800000000000001</v>
      </c>
      <c r="S7" s="1222">
        <f>4*'ARP Timing'!R10*VLOOKUP(S$1,'ARP Score'!$A$5:$M18,$A7)</f>
        <v>1.8800000000000001</v>
      </c>
      <c r="T7" s="1222">
        <f>4*'ARP Timing'!S10*VLOOKUP(T$1,'ARP Score'!$A$5:$M18,$A7)</f>
        <v>1.8800000000000001</v>
      </c>
      <c r="U7" s="1222">
        <f>4*'ARP Timing'!T10*VLOOKUP(U$1,'ARP Score'!$A$5:$M18,$A7)</f>
        <v>1.8800000000000001</v>
      </c>
      <c r="V7" s="1222">
        <f>4*'ARP Timing'!U10*VLOOKUP(V$1,'ARP Score'!$A$5:$M18,$A7)</f>
        <v>1.446</v>
      </c>
      <c r="W7" s="1222">
        <f t="shared" si="0"/>
        <v>27.016999999999996</v>
      </c>
    </row>
    <row r="8" spans="1:23" x14ac:dyDescent="0.35">
      <c r="A8" s="734">
        <v>9</v>
      </c>
      <c r="B8" s="1223" t="s">
        <v>347</v>
      </c>
      <c r="C8" s="1222">
        <f>4*'ARP Timing'!B$11*VLOOKUP(C$1,'ARP Score'!$A$5:$M19,$A8)</f>
        <v>0</v>
      </c>
      <c r="D8" s="1222">
        <f>0.6*SUM('ARP Score'!B5:B7)*4</f>
        <v>989.16719999999987</v>
      </c>
      <c r="E8" s="1221">
        <v>0</v>
      </c>
      <c r="F8" s="1222">
        <v>0</v>
      </c>
      <c r="G8" s="1222">
        <v>0</v>
      </c>
      <c r="H8" s="1222">
        <f>D8*0.4/0.6</f>
        <v>659.44479999999999</v>
      </c>
      <c r="I8" s="1222">
        <v>0</v>
      </c>
      <c r="J8" s="734">
        <v>0</v>
      </c>
      <c r="K8" s="1222">
        <v>0</v>
      </c>
      <c r="L8" s="1222">
        <v>0</v>
      </c>
      <c r="M8" s="1222">
        <v>0</v>
      </c>
      <c r="N8" s="1222">
        <v>0</v>
      </c>
      <c r="O8" s="1222">
        <v>0</v>
      </c>
      <c r="P8" s="1222">
        <v>0</v>
      </c>
      <c r="Q8" s="1222">
        <v>0</v>
      </c>
      <c r="R8" s="1222">
        <v>0</v>
      </c>
      <c r="S8" s="1222">
        <v>0</v>
      </c>
      <c r="T8" s="1222">
        <v>0</v>
      </c>
      <c r="U8" s="1222">
        <v>0</v>
      </c>
      <c r="V8" s="1222">
        <v>0</v>
      </c>
      <c r="W8" s="1222">
        <f t="shared" si="0"/>
        <v>412.15299999999996</v>
      </c>
    </row>
    <row r="9" spans="1:23" x14ac:dyDescent="0.35">
      <c r="A9" s="734">
        <v>10</v>
      </c>
      <c r="B9" s="1223" t="s">
        <v>150</v>
      </c>
      <c r="C9" s="1222">
        <f>4*'ARP Timing'!B$11*VLOOKUP(C$1,'ARP Score'!$A$5:$M20,$A9)</f>
        <v>0</v>
      </c>
      <c r="D9" s="1222">
        <f>4*'ARP Timing'!C$11*VLOOKUP(D$1,'ARP Score'!$A$5:$M20,$A9)</f>
        <v>24.693999999999999</v>
      </c>
      <c r="E9" s="1222">
        <f>4*'ARP Timing'!D$11*VLOOKUP(E$1,'ARP Score'!$A$5:$M20,$A9)</f>
        <v>24.693999999999999</v>
      </c>
      <c r="F9" s="1222">
        <f>4*'ARP Timing'!E$11*VLOOKUP(F$1,'ARP Score'!$A$5:$M20,$A9)</f>
        <v>46.79</v>
      </c>
      <c r="G9" s="1222">
        <f>4*'ARP Timing'!F$11*VLOOKUP(G$1,'ARP Score'!$A$5:$M20,$A9)</f>
        <v>46.79</v>
      </c>
      <c r="H9" s="1222">
        <f>4*'ARP Timing'!G$11*VLOOKUP(H$1,'ARP Score'!$A$5:$M20,$A9)</f>
        <v>46.79</v>
      </c>
      <c r="I9" s="1222">
        <f>4*'ARP Timing'!H$11*VLOOKUP(I$1,'ARP Score'!$A$5:$M20,$A9)</f>
        <v>46.79</v>
      </c>
      <c r="J9" s="1222">
        <f>4*'ARP Timing'!I$11*VLOOKUP(J$1,'ARP Score'!$A$5:$M20,$A9)</f>
        <v>38.595999999999997</v>
      </c>
      <c r="K9" s="1222">
        <f>4*'ARP Timing'!J$11*VLOOKUP(K$1,'ARP Score'!$A$5:$M20,$A9)</f>
        <v>38.595999999999997</v>
      </c>
      <c r="L9" s="1222">
        <f>4*'ARP Timing'!K$11*VLOOKUP(L$1,'ARP Score'!$A$5:$M20,$A9)</f>
        <v>38.595999999999997</v>
      </c>
      <c r="M9" s="1222">
        <f>4*'ARP Timing'!L$11*VLOOKUP(M$1,'ARP Score'!$A$5:$M20,$A9)</f>
        <v>38.595999999999997</v>
      </c>
      <c r="N9" s="1222">
        <f>4*'ARP Timing'!M$11*VLOOKUP(N$1,'ARP Score'!$A$5:$M20,$A9)</f>
        <v>31.911000000000001</v>
      </c>
      <c r="O9" s="1222">
        <f>4*'ARP Timing'!N$11*VLOOKUP(O$1,'ARP Score'!$A$5:$M20,$A9)</f>
        <v>31.911000000000001</v>
      </c>
      <c r="P9" s="1222">
        <f>4*'ARP Timing'!O$11*VLOOKUP(P$1,'ARP Score'!$A$5:$M20,$A9)</f>
        <v>31.911000000000001</v>
      </c>
      <c r="Q9" s="1222">
        <f>4*'ARP Timing'!P$11*VLOOKUP(Q$1,'ARP Score'!$A$5:$M20,$A9)</f>
        <v>31.911000000000001</v>
      </c>
      <c r="R9" s="1222">
        <f>4*'ARP Timing'!Q$11*VLOOKUP(R$1,'ARP Score'!$A$5:$M20,$A9)</f>
        <v>23.099</v>
      </c>
      <c r="S9" s="1222">
        <f>4*'ARP Timing'!R$11*VLOOKUP(S$1,'ARP Score'!$A$5:$M20,$A9)</f>
        <v>23.099</v>
      </c>
      <c r="T9" s="1222">
        <f>4*'ARP Timing'!S$11*VLOOKUP(T$1,'ARP Score'!$A$5:$M20,$A9)</f>
        <v>23.099</v>
      </c>
      <c r="U9" s="1222">
        <f>4*'ARP Timing'!T$11*VLOOKUP(U$1,'ARP Score'!$A$5:$M20,$A9)</f>
        <v>23.099</v>
      </c>
      <c r="V9" s="1222">
        <f>4*'ARP Timing'!U$11*VLOOKUP(V$1,'ARP Score'!$A$5:$M20,$A9)</f>
        <v>10.766999999999999</v>
      </c>
      <c r="W9" s="1222">
        <f t="shared" si="0"/>
        <v>152.74300000000005</v>
      </c>
    </row>
    <row r="10" spans="1:23" x14ac:dyDescent="0.35">
      <c r="A10" s="1227">
        <v>11</v>
      </c>
      <c r="B10" s="1223" t="s">
        <v>363</v>
      </c>
      <c r="C10" s="1222">
        <f>4*'ARP Timing'!B$11*VLOOKUP(C$1,'ARP Score'!$A$5:$M22,$A10)</f>
        <v>0</v>
      </c>
      <c r="D10" s="1222">
        <f>4*'ARP Timing'!C$11*VLOOKUP(D$1,'ARP Score'!$A$5:$M22,$A10)</f>
        <v>59.256</v>
      </c>
      <c r="E10" s="1222">
        <f>4*'ARP Timing'!D$11*VLOOKUP(E$1,'ARP Score'!$A$5:$M22,$A10)</f>
        <v>59.256</v>
      </c>
      <c r="F10" s="1222">
        <f>4*'ARP Timing'!E$11*VLOOKUP(F$1,'ARP Score'!$A$5:$M22,$A10)</f>
        <v>35.671000000000006</v>
      </c>
      <c r="G10" s="1222">
        <f>4*'ARP Timing'!F$11*VLOOKUP(G$1,'ARP Score'!$A$5:$M22,$A10)</f>
        <v>35.671000000000006</v>
      </c>
      <c r="H10" s="1222">
        <f>4*'ARP Timing'!G$11*VLOOKUP(H$1,'ARP Score'!$A$5:$M22,$A10)</f>
        <v>35.671000000000006</v>
      </c>
      <c r="I10" s="1222">
        <f>4*'ARP Timing'!H$11*VLOOKUP(I$1,'ARP Score'!$A$5:$M22,$A10)</f>
        <v>35.671000000000006</v>
      </c>
      <c r="J10" s="1222">
        <f>4*'ARP Timing'!I$11*VLOOKUP(J$1,'ARP Score'!$A$5:$M22,$A10)</f>
        <v>24.216000000000001</v>
      </c>
      <c r="K10" s="1222">
        <f>4*'ARP Timing'!J$11*VLOOKUP(K$1,'ARP Score'!$A$5:$M22,$A10)</f>
        <v>24.216000000000001</v>
      </c>
      <c r="L10" s="1222">
        <f>4*'ARP Timing'!K$11*VLOOKUP(L$1,'ARP Score'!$A$5:$M22,$A10)</f>
        <v>24.216000000000001</v>
      </c>
      <c r="M10" s="1222">
        <f>4*'ARP Timing'!L$11*VLOOKUP(M$1,'ARP Score'!$A$5:$M22,$A10)</f>
        <v>24.216000000000001</v>
      </c>
      <c r="N10" s="1222">
        <f>4*'ARP Timing'!M$11*VLOOKUP(N$1,'ARP Score'!$A$5:$M22,$A10)</f>
        <v>9.6430000000000007</v>
      </c>
      <c r="O10" s="1222">
        <f>4*'ARP Timing'!N$11*VLOOKUP(O$1,'ARP Score'!$A$5:$M22,$A10)</f>
        <v>9.6430000000000007</v>
      </c>
      <c r="P10" s="1222">
        <f>4*'ARP Timing'!O$11*VLOOKUP(P$1,'ARP Score'!$A$5:$M22,$A10)</f>
        <v>9.6430000000000007</v>
      </c>
      <c r="Q10" s="1222">
        <f>4*'ARP Timing'!P$11*VLOOKUP(Q$1,'ARP Score'!$A$5:$M22,$A10)</f>
        <v>9.6430000000000007</v>
      </c>
      <c r="R10" s="1222">
        <f>4*'ARP Timing'!Q$11*VLOOKUP(R$1,'ARP Score'!$A$5:$M22,$A10)</f>
        <v>4.5789999999999997</v>
      </c>
      <c r="S10" s="1222">
        <f>4*'ARP Timing'!R$11*VLOOKUP(S$1,'ARP Score'!$A$5:$M22,$A10)</f>
        <v>4.5789999999999997</v>
      </c>
      <c r="T10" s="1222">
        <f>4*'ARP Timing'!S$11*VLOOKUP(T$1,'ARP Score'!$A$5:$M22,$A10)</f>
        <v>4.5789999999999997</v>
      </c>
      <c r="U10" s="1222">
        <f>4*'ARP Timing'!T$11*VLOOKUP(U$1,'ARP Score'!$A$5:$M22,$A10)</f>
        <v>4.5789999999999997</v>
      </c>
      <c r="V10" s="1222">
        <f>4*'ARP Timing'!U$11*VLOOKUP(V$1,'ARP Score'!$A$5:$M22,$A10)</f>
        <v>2.9130000000000003</v>
      </c>
      <c r="W10" s="1222">
        <f t="shared" si="0"/>
        <v>103.73700000000002</v>
      </c>
    </row>
    <row r="11" spans="1:23" x14ac:dyDescent="0.35">
      <c r="A11" s="734">
        <v>12</v>
      </c>
      <c r="B11" s="14" t="s">
        <v>159</v>
      </c>
      <c r="C11" s="1222">
        <f>4*'ARP Timing'!B12*VLOOKUP(C$1,'ARP Score'!$A$5:$M20,$A11)</f>
        <v>103</v>
      </c>
      <c r="D11" s="1222">
        <f>4*'ARP Timing'!C12*VLOOKUP(D$1,'ARP Score'!$A$5:$M20,$A11)</f>
        <v>0</v>
      </c>
      <c r="E11" s="1222">
        <f>4*'ARP Timing'!D12*VLOOKUP(E$1,'ARP Score'!$A$5:$M20,$A11)</f>
        <v>0</v>
      </c>
      <c r="F11" s="1222">
        <f>4*'ARP Timing'!E12*VLOOKUP(F$1,'ARP Score'!$A$5:$M20,$A11)</f>
        <v>0</v>
      </c>
      <c r="G11" s="1222">
        <f>4*'ARP Timing'!F12*VLOOKUP(G$1,'ARP Score'!$A$5:$M20,$A11)</f>
        <v>0</v>
      </c>
      <c r="H11" s="1222">
        <f>4*'ARP Timing'!G12*VLOOKUP(H$1,'ARP Score'!$A$5:$M20,$A11)</f>
        <v>0</v>
      </c>
      <c r="I11" s="1222">
        <f>4*'ARP Timing'!H12*VLOOKUP(I$1,'ARP Score'!$A$5:$M20,$A11)</f>
        <v>0</v>
      </c>
      <c r="J11" s="1222">
        <f>4*'ARP Timing'!I12*VLOOKUP(J$1,'ARP Score'!$A$5:$M20,$A11)</f>
        <v>0</v>
      </c>
      <c r="K11" s="1222">
        <f>4*'ARP Timing'!J12*VLOOKUP(K$1,'ARP Score'!$A$5:$M20,$A11)</f>
        <v>0</v>
      </c>
      <c r="L11" s="1222">
        <f>4*'ARP Timing'!K12*VLOOKUP(L$1,'ARP Score'!$A$5:$M20,$A11)</f>
        <v>0</v>
      </c>
      <c r="M11" s="1222">
        <f>4*'ARP Timing'!L12*VLOOKUP(M$1,'ARP Score'!$A$5:$M20,$A11)</f>
        <v>0</v>
      </c>
      <c r="N11" s="1222">
        <f>4*'ARP Timing'!M12*VLOOKUP(N$1,'ARP Score'!$A$5:$M20,$A11)</f>
        <v>0</v>
      </c>
      <c r="O11" s="1222">
        <f>4*'ARP Timing'!N12*VLOOKUP(O$1,'ARP Score'!$A$5:$M20,$A11)</f>
        <v>0</v>
      </c>
      <c r="P11" s="1222">
        <f>4*'ARP Timing'!O12*VLOOKUP(P$1,'ARP Score'!$A$5:$M20,$A11)</f>
        <v>0</v>
      </c>
      <c r="Q11" s="1222">
        <f>4*'ARP Timing'!P12*VLOOKUP(Q$1,'ARP Score'!$A$5:$M20,$A11)</f>
        <v>0</v>
      </c>
      <c r="R11" s="1222">
        <f>4*'ARP Timing'!Q12*VLOOKUP(R$1,'ARP Score'!$A$5:$M20,$A11)</f>
        <v>0</v>
      </c>
      <c r="S11" s="1222">
        <f>4*'ARP Timing'!R12*VLOOKUP(S$1,'ARP Score'!$A$5:$M20,$A11)</f>
        <v>0</v>
      </c>
      <c r="T11" s="1222">
        <f>4*'ARP Timing'!S12*VLOOKUP(T$1,'ARP Score'!$A$5:$M20,$A11)</f>
        <v>0</v>
      </c>
      <c r="U11" s="1222">
        <f>4*'ARP Timing'!T12*VLOOKUP(U$1,'ARP Score'!$A$5:$M20,$A11)</f>
        <v>0</v>
      </c>
      <c r="V11" s="1222">
        <f>4*'ARP Timing'!U12*VLOOKUP(V$1,'ARP Score'!$A$5:$M20,$A11)</f>
        <v>0</v>
      </c>
      <c r="W11" s="1222">
        <f t="shared" si="0"/>
        <v>25.75</v>
      </c>
    </row>
    <row r="12" spans="1:23" x14ac:dyDescent="0.35">
      <c r="A12" s="734">
        <v>13</v>
      </c>
      <c r="B12" s="33" t="s">
        <v>109</v>
      </c>
      <c r="C12" s="1222">
        <f>4*'ARP Timing'!B13*VLOOKUP(C$1,'ARP Score'!$A$5:$M21,$A12)</f>
        <v>0</v>
      </c>
      <c r="D12" s="1222">
        <f>4*'ARP Timing'!C13*VLOOKUP(D$1,'ARP Score'!$A$5:$M21,$A12)</f>
        <v>51.102400000000003</v>
      </c>
      <c r="E12" s="1222">
        <f>4*'ARP Timing'!D13*VLOOKUP(E$1,'ARP Score'!$A$5:$M21,$A12)</f>
        <v>76.653599999999997</v>
      </c>
      <c r="F12" s="1222">
        <f>4*'ARP Timing'!E13*VLOOKUP(F$1,'ARP Score'!$A$5:$M21,$A12)</f>
        <v>90.260800000000003</v>
      </c>
      <c r="G12" s="1222">
        <f>4*'ARP Timing'!F13*VLOOKUP(G$1,'ARP Score'!$A$5:$M21,$A12)</f>
        <v>67.695599999999999</v>
      </c>
      <c r="H12" s="1222">
        <f>4*'ARP Timing'!G13*VLOOKUP(H$1,'ARP Score'!$A$5:$M21,$A12)</f>
        <v>45.130400000000002</v>
      </c>
      <c r="I12" s="1222">
        <f>4*'ARP Timing'!H13*VLOOKUP(I$1,'ARP Score'!$A$5:$M21,$A12)</f>
        <v>22.565200000000001</v>
      </c>
      <c r="J12" s="1222">
        <f>4*'ARP Timing'!I13*VLOOKUP(J$1,'ARP Score'!$A$5:$M21,$A12)</f>
        <v>15.652999999999999</v>
      </c>
      <c r="K12" s="1222">
        <f>4*'ARP Timing'!J13*VLOOKUP(K$1,'ARP Score'!$A$5:$M21,$A12)</f>
        <v>15.652999999999999</v>
      </c>
      <c r="L12" s="1222">
        <f>4*'ARP Timing'!K13*VLOOKUP(L$1,'ARP Score'!$A$5:$M21,$A12)</f>
        <v>15.652999999999999</v>
      </c>
      <c r="M12" s="1222">
        <f>4*'ARP Timing'!L13*VLOOKUP(M$1,'ARP Score'!$A$5:$M21,$A12)</f>
        <v>15.652999999999999</v>
      </c>
      <c r="N12" s="1222">
        <f>4*'ARP Timing'!M13*VLOOKUP(N$1,'ARP Score'!$A$5:$M21,$A12)</f>
        <v>3.9320000000000004</v>
      </c>
      <c r="O12" s="1222">
        <f>4*'ARP Timing'!N13*VLOOKUP(O$1,'ARP Score'!$A$5:$M21,$A12)</f>
        <v>3.9320000000000004</v>
      </c>
      <c r="P12" s="1222">
        <f>4*'ARP Timing'!O13*VLOOKUP(P$1,'ARP Score'!$A$5:$M21,$A12)</f>
        <v>3.9320000000000004</v>
      </c>
      <c r="Q12" s="1222">
        <f>4*'ARP Timing'!P13*VLOOKUP(Q$1,'ARP Score'!$A$5:$M21,$A12)</f>
        <v>3.9320000000000004</v>
      </c>
      <c r="R12" s="1222">
        <f>4*'ARP Timing'!Q13*VLOOKUP(R$1,'ARP Score'!$A$5:$M21,$A12)</f>
        <v>-0.74299999999999988</v>
      </c>
      <c r="S12" s="1222">
        <f>4*'ARP Timing'!R13*VLOOKUP(S$1,'ARP Score'!$A$5:$M21,$A12)</f>
        <v>-0.74299999999999988</v>
      </c>
      <c r="T12" s="1222">
        <f>4*'ARP Timing'!S13*VLOOKUP(T$1,'ARP Score'!$A$5:$M21,$A12)</f>
        <v>-0.74299999999999988</v>
      </c>
      <c r="U12" s="1222">
        <f>4*'ARP Timing'!T13*VLOOKUP(U$1,'ARP Score'!$A$5:$M21,$A12)</f>
        <v>-0.74299999999999988</v>
      </c>
      <c r="V12" s="1222">
        <f>4*'ARP Timing'!U13*VLOOKUP(V$1,'ARP Score'!$A$5:$M21,$A12)</f>
        <v>-21.606000000000002</v>
      </c>
      <c r="W12" s="1222">
        <f t="shared" si="0"/>
        <v>107.19400000000005</v>
      </c>
    </row>
    <row r="13" spans="1:23" x14ac:dyDescent="0.35">
      <c r="A13" s="734">
        <v>15</v>
      </c>
      <c r="B13" s="734" t="s">
        <v>767</v>
      </c>
      <c r="C13" s="1222">
        <f>0.3*'ARP Score'!$N5*4*'ARP Timing'!B6</f>
        <v>0</v>
      </c>
      <c r="D13" s="1222">
        <f>0.3*'ARP Score'!$N5*4*'ARP Timing'!C6</f>
        <v>1.7544</v>
      </c>
      <c r="E13" s="1222">
        <f>0.3*'ARP Score'!$N5*4*'ARP Timing'!D6</f>
        <v>2.3255999999999997</v>
      </c>
      <c r="F13" s="1222">
        <f>0.3*'ARP Score'!$N6*4*'ARP Timing'!E6</f>
        <v>1.5299999999999998</v>
      </c>
      <c r="G13" s="1222">
        <f>0.3*'ARP Score'!$N6*4*'ARP Timing'!F6</f>
        <v>1.5299999999999998</v>
      </c>
      <c r="H13" s="1222">
        <f>0.3*'ARP Score'!$N6*4*'ARP Timing'!G6</f>
        <v>1.5299999999999998</v>
      </c>
      <c r="I13" s="1222">
        <f>0.3*'ARP Score'!$N6*4*'ARP Timing'!H6</f>
        <v>1.5299999999999998</v>
      </c>
      <c r="J13" s="1222">
        <f>0.3*'ARP Score'!$N7*4*'ARP Timing'!I6</f>
        <v>0</v>
      </c>
      <c r="K13" s="1222">
        <f>0.3*'ARP Score'!$N7*4*'ARP Timing'!J6</f>
        <v>0</v>
      </c>
      <c r="L13" s="1222">
        <f>0.3*'ARP Score'!$N7*4*'ARP Timing'!K6</f>
        <v>0</v>
      </c>
      <c r="M13" s="1222">
        <f>0.3*'ARP Score'!$N7*4*'ARP Timing'!L6</f>
        <v>0</v>
      </c>
      <c r="N13" s="1222">
        <f>0.3*'ARP Score'!$N7*4*'ARP Timing'!M6</f>
        <v>0</v>
      </c>
      <c r="O13" s="1222">
        <f>0.3*'ARP Score'!$N7*4*'ARP Timing'!N6</f>
        <v>0</v>
      </c>
      <c r="P13" s="1222">
        <f>0.3*'ARP Score'!$N7*4*'ARP Timing'!O6</f>
        <v>0</v>
      </c>
      <c r="Q13" s="1222">
        <f>0.3*'ARP Score'!$N7*4*'ARP Timing'!P6</f>
        <v>0</v>
      </c>
      <c r="R13" s="1222">
        <f>0.3*'ARP Score'!$N7*4*'ARP Timing'!Q6</f>
        <v>0</v>
      </c>
      <c r="S13" s="1222">
        <f>0.3*'ARP Score'!$N7*4*'ARP Timing'!R6</f>
        <v>0</v>
      </c>
      <c r="T13" s="1222">
        <f>0.3*'ARP Score'!$N7*4*'ARP Timing'!S6</f>
        <v>0</v>
      </c>
      <c r="U13" s="1222">
        <f>0.3*'ARP Score'!$N7*4*'ARP Timing'!T6</f>
        <v>0</v>
      </c>
      <c r="V13" s="1222">
        <f>0.3*'ARP Score'!$N7*4*'ARP Timing'!U6</f>
        <v>0</v>
      </c>
      <c r="W13" s="1222">
        <f t="shared" si="0"/>
        <v>2.5499999999999994</v>
      </c>
    </row>
    <row r="14" spans="1:23" x14ac:dyDescent="0.35">
      <c r="A14" s="734">
        <v>14</v>
      </c>
      <c r="B14" s="734" t="s">
        <v>768</v>
      </c>
      <c r="C14" s="1222">
        <f>C13/0.3*0.2</f>
        <v>0</v>
      </c>
      <c r="D14" s="1222">
        <f t="shared" ref="D14:F14" si="1">D13/0.3*0.2</f>
        <v>1.1696</v>
      </c>
      <c r="E14" s="1222">
        <f t="shared" si="1"/>
        <v>1.5503999999999998</v>
      </c>
      <c r="F14" s="1222">
        <f t="shared" si="1"/>
        <v>1.02</v>
      </c>
      <c r="G14" s="1222">
        <f t="shared" ref="G14" si="2">G13/0.3*0.2</f>
        <v>1.02</v>
      </c>
      <c r="H14" s="1222">
        <f t="shared" ref="H14" si="3">H13/0.3*0.2</f>
        <v>1.02</v>
      </c>
      <c r="I14" s="1222">
        <f t="shared" ref="I14" si="4">I13/0.3*0.2</f>
        <v>1.02</v>
      </c>
      <c r="J14" s="1222">
        <f t="shared" ref="J14" si="5">J13/0.3*0.2</f>
        <v>0</v>
      </c>
      <c r="K14" s="1222">
        <f t="shared" ref="K14" si="6">K13/0.3*0.2</f>
        <v>0</v>
      </c>
      <c r="L14" s="1222">
        <f t="shared" ref="L14" si="7">L13/0.3*0.2</f>
        <v>0</v>
      </c>
      <c r="M14" s="1222">
        <f t="shared" ref="M14" si="8">M13/0.3*0.2</f>
        <v>0</v>
      </c>
      <c r="N14" s="1222">
        <f t="shared" ref="N14" si="9">N13/0.3*0.2</f>
        <v>0</v>
      </c>
      <c r="O14" s="1222">
        <f t="shared" ref="O14" si="10">O13/0.3*0.2</f>
        <v>0</v>
      </c>
      <c r="P14" s="1222">
        <f t="shared" ref="P14" si="11">P13/0.3*0.2</f>
        <v>0</v>
      </c>
      <c r="Q14" s="1222">
        <f t="shared" ref="Q14" si="12">Q13/0.3*0.2</f>
        <v>0</v>
      </c>
      <c r="R14" s="1222">
        <f t="shared" ref="R14" si="13">R13/0.3*0.2</f>
        <v>0</v>
      </c>
      <c r="S14" s="1222">
        <f t="shared" ref="S14" si="14">S13/0.3*0.2</f>
        <v>0</v>
      </c>
      <c r="T14" s="1222">
        <f t="shared" ref="T14" si="15">T13/0.3*0.2</f>
        <v>0</v>
      </c>
      <c r="U14" s="1222">
        <f t="shared" ref="U14" si="16">U13/0.3*0.2</f>
        <v>0</v>
      </c>
      <c r="V14" s="1222">
        <f t="shared" ref="V14" si="17">V13/0.3*0.2</f>
        <v>0</v>
      </c>
      <c r="W14" s="1222">
        <f t="shared" si="0"/>
        <v>1.6999999999999997</v>
      </c>
    </row>
    <row r="15" spans="1:23" x14ac:dyDescent="0.35">
      <c r="A15" s="734">
        <v>14</v>
      </c>
      <c r="B15" s="734" t="s">
        <v>469</v>
      </c>
      <c r="C15" s="1222">
        <f>C14/0.2*0.5</f>
        <v>0</v>
      </c>
      <c r="D15" s="1222">
        <f t="shared" ref="D15:F15" si="18">D14/0.2*0.5</f>
        <v>2.9239999999999999</v>
      </c>
      <c r="E15" s="1222">
        <f t="shared" si="18"/>
        <v>3.8759999999999994</v>
      </c>
      <c r="F15" s="1222">
        <f t="shared" si="18"/>
        <v>2.5499999999999998</v>
      </c>
      <c r="G15" s="1222">
        <f t="shared" ref="G15" si="19">G14/0.2*0.5</f>
        <v>2.5499999999999998</v>
      </c>
      <c r="H15" s="1222">
        <f t="shared" ref="H15" si="20">H14/0.2*0.5</f>
        <v>2.5499999999999998</v>
      </c>
      <c r="I15" s="1222">
        <f t="shared" ref="I15" si="21">I14/0.2*0.5</f>
        <v>2.5499999999999998</v>
      </c>
      <c r="J15" s="1222">
        <f t="shared" ref="J15" si="22">J14/0.2*0.5</f>
        <v>0</v>
      </c>
      <c r="K15" s="1222">
        <f t="shared" ref="K15" si="23">K14/0.2*0.5</f>
        <v>0</v>
      </c>
      <c r="L15" s="1222">
        <f t="shared" ref="L15" si="24">L14/0.2*0.5</f>
        <v>0</v>
      </c>
      <c r="M15" s="1222">
        <f t="shared" ref="M15" si="25">M14/0.2*0.5</f>
        <v>0</v>
      </c>
      <c r="N15" s="1222">
        <f t="shared" ref="N15" si="26">N14/0.2*0.5</f>
        <v>0</v>
      </c>
      <c r="O15" s="1222">
        <f t="shared" ref="O15" si="27">O14/0.2*0.5</f>
        <v>0</v>
      </c>
      <c r="P15" s="1222">
        <f t="shared" ref="P15" si="28">P14/0.2*0.5</f>
        <v>0</v>
      </c>
      <c r="Q15" s="1222">
        <f t="shared" ref="Q15" si="29">Q14/0.2*0.5</f>
        <v>0</v>
      </c>
      <c r="R15" s="1222">
        <f t="shared" ref="R15" si="30">R14/0.2*0.5</f>
        <v>0</v>
      </c>
      <c r="S15" s="1222">
        <f t="shared" ref="S15" si="31">S14/0.2*0.5</f>
        <v>0</v>
      </c>
      <c r="T15" s="1222">
        <f t="shared" ref="T15" si="32">T14/0.2*0.5</f>
        <v>0</v>
      </c>
      <c r="U15" s="1222">
        <f t="shared" ref="U15" si="33">U14/0.2*0.5</f>
        <v>0</v>
      </c>
      <c r="V15" s="1222">
        <f t="shared" ref="V15" si="34">V14/0.2*0.5</f>
        <v>0</v>
      </c>
      <c r="W15" s="1222">
        <f t="shared" si="0"/>
        <v>4.25</v>
      </c>
    </row>
    <row r="16" spans="1:23" x14ac:dyDescent="0.35">
      <c r="C16" s="1222"/>
      <c r="D16" s="1222"/>
      <c r="E16" s="1222"/>
      <c r="F16" s="1222"/>
      <c r="G16" s="1222"/>
      <c r="H16" s="1222"/>
      <c r="I16" s="1222"/>
      <c r="J16" s="1222"/>
      <c r="K16" s="1222"/>
      <c r="L16" s="1222"/>
      <c r="M16" s="1222"/>
      <c r="N16" s="1222"/>
      <c r="O16" s="1222"/>
      <c r="P16" s="1222"/>
      <c r="Q16" s="1222"/>
      <c r="R16" s="1222"/>
      <c r="S16" s="1222"/>
      <c r="T16" s="1222"/>
      <c r="U16" s="1222"/>
      <c r="V16" s="1222"/>
      <c r="W16" s="1222"/>
    </row>
    <row r="17" spans="1:23" x14ac:dyDescent="0.35">
      <c r="A17" s="734" t="s">
        <v>769</v>
      </c>
      <c r="C17" s="1222"/>
      <c r="D17" s="1222"/>
      <c r="E17" s="1222"/>
      <c r="F17" s="1222"/>
      <c r="G17" s="1222"/>
      <c r="H17" s="1222"/>
      <c r="I17" s="1222"/>
      <c r="J17" s="1222"/>
      <c r="K17" s="1222"/>
      <c r="L17" s="1222"/>
      <c r="M17" s="1222"/>
      <c r="N17" s="1222"/>
      <c r="O17" s="1222"/>
      <c r="P17" s="1222"/>
      <c r="Q17" s="1222"/>
      <c r="R17" s="1222"/>
      <c r="S17" s="1222"/>
      <c r="T17" s="1222"/>
      <c r="U17" s="1222"/>
      <c r="V17" s="1222"/>
      <c r="W17" s="1222"/>
    </row>
    <row r="18" spans="1:23" x14ac:dyDescent="0.35">
      <c r="B18" s="535" t="s">
        <v>143</v>
      </c>
      <c r="C18" s="1222">
        <f>'ARP Score'!$BG5/'ARP Score'!$G5*C6</f>
        <v>0</v>
      </c>
      <c r="D18" s="1222">
        <f>'ARP Score'!$BG5/'ARP Score'!$G5*D6</f>
        <v>2.2132800000000001</v>
      </c>
      <c r="E18" s="1222">
        <f>'ARP Score'!$BG5/'ARP Score'!$G5*E6</f>
        <v>10.082720000000002</v>
      </c>
      <c r="F18" s="1222">
        <f>'ARP Score'!$BG6/'ARP Score'!$G6*F6</f>
        <v>7.1439999999999992</v>
      </c>
      <c r="G18" s="1222">
        <f>'ARP Score'!$BG6/'ARP Score'!$G6*G6</f>
        <v>7.1439999999999992</v>
      </c>
      <c r="H18" s="1222">
        <f>'ARP Score'!$BG6/'ARP Score'!$G6*H6</f>
        <v>7.1439999999999992</v>
      </c>
      <c r="I18" s="1222">
        <f>'ARP Score'!$BG6/'ARP Score'!$G6*I6</f>
        <v>7.1439999999999992</v>
      </c>
      <c r="J18" s="1222">
        <f>'ARP Score'!$BG7/'ARP Score'!$G7*J6</f>
        <v>0</v>
      </c>
      <c r="K18" s="1222">
        <f>'ARP Score'!$BG7/'ARP Score'!$G7*K6</f>
        <v>0</v>
      </c>
      <c r="L18" s="1222">
        <f>'ARP Score'!$BG7/'ARP Score'!$G7*L6</f>
        <v>0</v>
      </c>
      <c r="M18" s="1222">
        <f>'ARP Score'!$BG7/'ARP Score'!$G7*M6</f>
        <v>0</v>
      </c>
      <c r="N18" s="1222"/>
      <c r="O18" s="1222"/>
      <c r="P18" s="1222"/>
      <c r="Q18" s="1222"/>
      <c r="R18" s="1222"/>
      <c r="S18" s="1222"/>
      <c r="T18" s="1222"/>
      <c r="U18" s="1222"/>
      <c r="V18" s="1222"/>
      <c r="W18" s="1222"/>
    </row>
    <row r="19" spans="1:23" x14ac:dyDescent="0.35">
      <c r="B19" s="535" t="s">
        <v>770</v>
      </c>
      <c r="C19" s="1222">
        <f>'ARP Score'!$BI5/'ARP Score'!$G5*C6</f>
        <v>0</v>
      </c>
      <c r="D19" s="1222">
        <f>'ARP Score'!$BI5/'ARP Score'!$G5*D6</f>
        <v>15.128640000000001</v>
      </c>
      <c r="E19" s="1222">
        <f>'ARP Score'!$BI5/'ARP Score'!$G5*E6</f>
        <v>68.919360000000012</v>
      </c>
      <c r="F19" s="1222">
        <f>'ARP Score'!$BI6/'ARP Score'!$G6*F6</f>
        <v>5.6120000000000001</v>
      </c>
      <c r="G19" s="1222">
        <f>'ARP Score'!$BI6/'ARP Score'!$G6*G6</f>
        <v>5.6120000000000001</v>
      </c>
      <c r="H19" s="1222">
        <f>'ARP Score'!$BI6/'ARP Score'!$G6*H6</f>
        <v>5.6120000000000001</v>
      </c>
      <c r="I19" s="1222">
        <f>'ARP Score'!$BI6/'ARP Score'!$G6*I6</f>
        <v>5.6120000000000001</v>
      </c>
      <c r="J19" s="1222">
        <f>'ARP Score'!$B7/'ARP Score'!$G7*J6</f>
        <v>0.48599999999999993</v>
      </c>
      <c r="K19" s="1222">
        <f>'ARP Score'!$B7/'ARP Score'!$G7*K6</f>
        <v>0.48599999999999993</v>
      </c>
      <c r="L19" s="1222">
        <f>'ARP Score'!$B7/'ARP Score'!$G7*L6</f>
        <v>0.48599999999999993</v>
      </c>
      <c r="M19" s="1222">
        <f>'ARP Score'!$B7/'ARP Score'!$G7*M6</f>
        <v>0.48599999999999993</v>
      </c>
      <c r="N19" s="1222">
        <f>'ARP Score'!$B8/'ARP Score'!$G8*N6</f>
        <v>0</v>
      </c>
      <c r="O19" s="1222"/>
      <c r="P19" s="1222"/>
      <c r="Q19" s="1222"/>
      <c r="R19" s="1222"/>
      <c r="S19" s="1222"/>
      <c r="T19" s="1222"/>
      <c r="U19" s="1222"/>
      <c r="V19" s="1222"/>
      <c r="W19" s="1222"/>
    </row>
    <row r="20" spans="1:23" x14ac:dyDescent="0.35">
      <c r="B20" s="535" t="s">
        <v>148</v>
      </c>
      <c r="C20" s="1222">
        <f>'ARP Score'!$BF5/'ARP Score'!$G5*C6</f>
        <v>0</v>
      </c>
      <c r="D20" s="1222">
        <f>'ARP Score'!$BF5/'ARP Score'!$G5*D6</f>
        <v>3.2479199999999997</v>
      </c>
      <c r="E20" s="1222">
        <f>'ARP Score'!$BF5/'ARP Score'!$G5*E6</f>
        <v>14.796080000000002</v>
      </c>
      <c r="F20" s="1222">
        <f>'ARP Score'!$BF6/'ARP Score'!$G6*F6</f>
        <v>1.7329999999999999</v>
      </c>
      <c r="G20" s="1222">
        <f>'ARP Score'!$BF6/'ARP Score'!$G6*G6</f>
        <v>1.7329999999999999</v>
      </c>
      <c r="H20" s="1222">
        <f>'ARP Score'!$BF6/'ARP Score'!$G6*H6</f>
        <v>1.7329999999999999</v>
      </c>
      <c r="I20" s="1222">
        <f>'ARP Score'!$BF6/'ARP Score'!$G6*I6</f>
        <v>1.7329999999999999</v>
      </c>
      <c r="J20" s="1222">
        <f>'ARP Score'!$BF7/'ARP Score'!$G7*J6</f>
        <v>0</v>
      </c>
      <c r="K20" s="1222">
        <f>'ARP Score'!$BF7/'ARP Score'!$G7*K6</f>
        <v>0</v>
      </c>
      <c r="L20" s="1222">
        <f>'ARP Score'!$BF7/'ARP Score'!$G7*L6</f>
        <v>0</v>
      </c>
      <c r="M20" s="1222">
        <f>'ARP Score'!$BF7/'ARP Score'!$G7*M6</f>
        <v>0</v>
      </c>
      <c r="N20" s="1222"/>
      <c r="O20" s="1222"/>
      <c r="P20" s="1222"/>
      <c r="Q20" s="1222"/>
      <c r="R20" s="1222"/>
      <c r="S20" s="1222"/>
      <c r="T20" s="1222"/>
      <c r="U20" s="1222"/>
      <c r="V20" s="1222"/>
      <c r="W20" s="1222"/>
    </row>
    <row r="21" spans="1:23" x14ac:dyDescent="0.35">
      <c r="B21" s="1228" t="s">
        <v>412</v>
      </c>
      <c r="C21" s="1222">
        <f>15/40*(C6*'ARP Score'!$BD5/'ARP Score'!$G5)</f>
        <v>0</v>
      </c>
      <c r="D21" s="1222">
        <f>15/40*(D6*('ARP Score'!$BD5+'ARP Score'!$BE5)/'ARP Score'!$G5)</f>
        <v>13.2921</v>
      </c>
      <c r="E21" s="1222">
        <f>15/40*(E6*('ARP Score'!$BD5+'ARP Score'!$BE5)/'ARP Score'!$G5)</f>
        <v>60.552900000000008</v>
      </c>
      <c r="F21" s="1222">
        <f>15/40*(F6*('ARP Score'!$BD6+'ARP Score'!$BE6)/'ARP Score'!$G6)</f>
        <v>1.0687500000000001</v>
      </c>
      <c r="G21" s="1222">
        <f>15/40*(G6*('ARP Score'!$BD6+'ARP Score'!$BE6)/'ARP Score'!$G6)</f>
        <v>1.0687500000000001</v>
      </c>
      <c r="H21" s="1222">
        <f>15/40*(H6*('ARP Score'!$BD6+'ARP Score'!$BE6)/'ARP Score'!$G6)</f>
        <v>1.0687500000000001</v>
      </c>
      <c r="I21" s="1222">
        <f>15/40*(I6*('ARP Score'!$BD6+'ARP Score'!$BE6)/'ARP Score'!$G6)</f>
        <v>1.0687500000000001</v>
      </c>
      <c r="J21" s="1222">
        <f>15/40*(J6*('ARP Score'!$BD7+'ARP Score'!$BE7)/'ARP Score'!$G7)</f>
        <v>0.78750000000000009</v>
      </c>
      <c r="K21" s="1222">
        <f>15/40*(K6*('ARP Score'!$BD7+'ARP Score'!$BE7)/'ARP Score'!$G7)</f>
        <v>0.78750000000000009</v>
      </c>
      <c r="L21" s="1222">
        <f>15/40*(L6*('ARP Score'!$BD7+'ARP Score'!$BE7)/'ARP Score'!$G7)</f>
        <v>0.78750000000000009</v>
      </c>
      <c r="M21" s="1222">
        <f>15/40*(M6*('ARP Score'!$BD7+'ARP Score'!$BE7)/'ARP Score'!$G7)</f>
        <v>0.78750000000000009</v>
      </c>
      <c r="N21" s="1222"/>
      <c r="O21" s="1222"/>
      <c r="P21" s="1222"/>
      <c r="Q21" s="1222"/>
      <c r="R21" s="1222"/>
      <c r="S21" s="1222"/>
      <c r="T21" s="1222"/>
      <c r="U21" s="1222"/>
      <c r="V21" s="1222"/>
      <c r="W21" s="1222"/>
    </row>
    <row r="22" spans="1:23" x14ac:dyDescent="0.35">
      <c r="B22" s="1228" t="s">
        <v>771</v>
      </c>
      <c r="C22" s="1222"/>
      <c r="D22" s="1222">
        <f>D21/15*25</f>
        <v>22.153499999999998</v>
      </c>
      <c r="E22" s="1222">
        <f>E21/15*25</f>
        <v>100.92150000000002</v>
      </c>
      <c r="F22" s="1222">
        <f>F21/15*25</f>
        <v>1.7812500000000002</v>
      </c>
      <c r="G22" s="1222">
        <f>G21/15*25</f>
        <v>1.7812500000000002</v>
      </c>
      <c r="H22" s="1222">
        <f t="shared" ref="H22:J22" si="35">H21/15*25</f>
        <v>1.7812500000000002</v>
      </c>
      <c r="I22" s="1222">
        <f t="shared" si="35"/>
        <v>1.7812500000000002</v>
      </c>
      <c r="J22" s="1222">
        <f t="shared" si="35"/>
        <v>1.3125000000000002</v>
      </c>
      <c r="K22" s="1222">
        <f t="shared" ref="K22" si="36">K21/15*25</f>
        <v>1.3125000000000002</v>
      </c>
      <c r="L22" s="1222">
        <f t="shared" ref="L22" si="37">L21/15*25</f>
        <v>1.3125000000000002</v>
      </c>
      <c r="M22" s="1222">
        <f t="shared" ref="M22" si="38">M21/15*25</f>
        <v>1.3125000000000002</v>
      </c>
      <c r="N22" s="1222"/>
      <c r="O22" s="1222"/>
      <c r="P22" s="1222"/>
      <c r="Q22" s="1222"/>
      <c r="R22" s="1222"/>
      <c r="S22" s="1222"/>
      <c r="T22" s="1222"/>
      <c r="U22" s="1222"/>
      <c r="V22" s="1222"/>
      <c r="W22" s="1222"/>
    </row>
    <row r="23" spans="1:23" x14ac:dyDescent="0.35">
      <c r="B23" s="535" t="s">
        <v>424</v>
      </c>
      <c r="C23" s="1222">
        <f>'ARP Score'!$BB5/'ARP Score'!$G5*C6</f>
        <v>0</v>
      </c>
      <c r="D23" s="1222">
        <f>'ARP Score'!$BB5/'ARP Score'!$G5*D6</f>
        <v>2.9519999999999995</v>
      </c>
      <c r="E23" s="1222">
        <f>'ARP Score'!$BB5/'ARP Score'!$G5*E6</f>
        <v>13.448</v>
      </c>
      <c r="F23" s="1222">
        <f>'ARP Score'!$BB6/'ARP Score'!$G6*F6</f>
        <v>11.3</v>
      </c>
      <c r="G23" s="1222">
        <f>'ARP Score'!$BB6/'ARP Score'!$G6*G6</f>
        <v>11.3</v>
      </c>
      <c r="H23" s="1222">
        <f>'ARP Score'!$BB6/'ARP Score'!$G6*H6</f>
        <v>11.3</v>
      </c>
      <c r="I23" s="1222">
        <f>'ARP Score'!$BB6/'ARP Score'!$G6*I6</f>
        <v>11.3</v>
      </c>
      <c r="J23" s="1222">
        <f>'ARP Score'!$BB7/'ARP Score'!$G7*J6</f>
        <v>8.4</v>
      </c>
      <c r="K23" s="1222">
        <f>'ARP Score'!$BB7/'ARP Score'!$G7*K6</f>
        <v>8.4</v>
      </c>
      <c r="L23" s="1222">
        <f>'ARP Score'!$BB7/'ARP Score'!$G7*L6</f>
        <v>8.4</v>
      </c>
      <c r="M23" s="1222">
        <f>'ARP Score'!$BB7/'ARP Score'!$G7*M6</f>
        <v>8.4</v>
      </c>
      <c r="N23" s="1222">
        <f>'ARP Score'!$BB8/'ARP Score'!$G8*N6</f>
        <v>0.2</v>
      </c>
      <c r="O23" s="1222">
        <f>'ARP Score'!$BB8/'ARP Score'!$G8*O6</f>
        <v>0.2</v>
      </c>
      <c r="P23" s="1222">
        <f>'ARP Score'!$BB8/'ARP Score'!$G8*P6</f>
        <v>0.2</v>
      </c>
      <c r="Q23" s="1222">
        <f>'ARP Score'!$BB8/'ARP Score'!$G8*Q6</f>
        <v>0.2</v>
      </c>
      <c r="R23" s="1222"/>
      <c r="S23" s="1222"/>
      <c r="T23" s="1222"/>
      <c r="U23" s="1222"/>
      <c r="V23" s="1222"/>
      <c r="W23" s="1222"/>
    </row>
    <row r="24" spans="1:23" x14ac:dyDescent="0.35">
      <c r="B24" s="535" t="s">
        <v>425</v>
      </c>
      <c r="C24" s="1222">
        <f>'ARP Score'!$BH5/'ARP Score'!$G5*C6</f>
        <v>0</v>
      </c>
      <c r="D24" s="1222">
        <f>'ARP Score'!$BH5/'ARP Score'!$G5*D6</f>
        <v>-0.20447999999999997</v>
      </c>
      <c r="E24" s="1222">
        <f>'ARP Score'!$BH5/'ARP Score'!$G5*E6</f>
        <v>-0.93152000000000001</v>
      </c>
      <c r="F24" s="1222">
        <f>'ARP Score'!$BH6/'ARP Score'!$G6*F6</f>
        <v>81.608999999999995</v>
      </c>
      <c r="G24" s="1222">
        <f>'ARP Score'!$BH6/'ARP Score'!$G6*G6</f>
        <v>81.608999999999995</v>
      </c>
      <c r="H24" s="1222">
        <f>'ARP Score'!$BH6/'ARP Score'!$G6*H6</f>
        <v>81.608999999999995</v>
      </c>
      <c r="I24" s="1222">
        <f>'ARP Score'!$BH6/'ARP Score'!$G6*I6</f>
        <v>81.608999999999995</v>
      </c>
      <c r="J24" s="1222">
        <f>'ARP Score'!$BH7/'ARP Score'!$G7*J6</f>
        <v>1.3759999999999999</v>
      </c>
      <c r="K24" s="1222">
        <f>'ARP Score'!$BH7/'ARP Score'!$G7*K6</f>
        <v>1.3759999999999999</v>
      </c>
      <c r="L24" s="1222">
        <f>'ARP Score'!$BH7/'ARP Score'!$G7*L6</f>
        <v>1.3759999999999999</v>
      </c>
      <c r="M24" s="1222">
        <f>'ARP Score'!$BH7/'ARP Score'!$G7*M6</f>
        <v>1.3759999999999999</v>
      </c>
      <c r="N24" s="1222">
        <f>'ARP Score'!$BH8/'ARP Score'!$G8*N6</f>
        <v>-0.87500000000000011</v>
      </c>
      <c r="O24" s="1222">
        <f>'ARP Score'!$BH8/'ARP Score'!$G8*O6</f>
        <v>-0.87500000000000011</v>
      </c>
      <c r="P24" s="1222">
        <f>'ARP Score'!$BH8/'ARP Score'!$G8*P6</f>
        <v>-0.87500000000000011</v>
      </c>
      <c r="Q24" s="1222">
        <f>'ARP Score'!$BH8/'ARP Score'!$G8*Q6</f>
        <v>-0.87500000000000011</v>
      </c>
      <c r="R24" s="1222"/>
      <c r="S24" s="1222"/>
      <c r="T24" s="1222"/>
      <c r="U24" s="1222"/>
      <c r="V24" s="1222"/>
      <c r="W24" s="1222"/>
    </row>
    <row r="25" spans="1:23" x14ac:dyDescent="0.35">
      <c r="B25" s="535" t="s">
        <v>311</v>
      </c>
      <c r="C25" s="1222">
        <f>SUM(C18:C24)</f>
        <v>0</v>
      </c>
      <c r="D25" s="1222">
        <f t="shared" ref="D25:Q25" si="39">SUM(D18:D24)</f>
        <v>58.782959999999996</v>
      </c>
      <c r="E25" s="1222">
        <f t="shared" si="39"/>
        <v>267.78904000000006</v>
      </c>
      <c r="F25" s="1222">
        <f t="shared" si="39"/>
        <v>110.24799999999999</v>
      </c>
      <c r="G25" s="1222">
        <f t="shared" si="39"/>
        <v>110.24799999999999</v>
      </c>
      <c r="H25" s="1222">
        <f t="shared" si="39"/>
        <v>110.24799999999999</v>
      </c>
      <c r="I25" s="1222">
        <f t="shared" si="39"/>
        <v>110.24799999999999</v>
      </c>
      <c r="J25" s="1222">
        <f t="shared" si="39"/>
        <v>12.362</v>
      </c>
      <c r="K25" s="1222">
        <f t="shared" si="39"/>
        <v>12.362</v>
      </c>
      <c r="L25" s="1222">
        <f t="shared" si="39"/>
        <v>12.362</v>
      </c>
      <c r="M25" s="1222">
        <f t="shared" si="39"/>
        <v>12.362</v>
      </c>
      <c r="N25" s="1222">
        <f t="shared" si="39"/>
        <v>-0.67500000000000004</v>
      </c>
      <c r="O25" s="1222">
        <f t="shared" si="39"/>
        <v>-0.67500000000000004</v>
      </c>
      <c r="P25" s="1222">
        <f t="shared" si="39"/>
        <v>-0.67500000000000004</v>
      </c>
      <c r="Q25" s="1222">
        <f t="shared" si="39"/>
        <v>-0.67500000000000004</v>
      </c>
      <c r="R25" s="1222"/>
      <c r="S25" s="1222"/>
      <c r="T25" s="1222"/>
      <c r="U25" s="1222"/>
      <c r="V25" s="1222"/>
      <c r="W25" s="1222"/>
    </row>
    <row r="26" spans="1:23" x14ac:dyDescent="0.35">
      <c r="D26" s="1220">
        <f>D6-D25</f>
        <v>0</v>
      </c>
      <c r="E26" s="1220">
        <f t="shared" ref="E26:M26" si="40">E6-E25</f>
        <v>0</v>
      </c>
      <c r="F26" s="1220">
        <f t="shared" si="40"/>
        <v>0</v>
      </c>
      <c r="G26" s="1220">
        <f t="shared" si="40"/>
        <v>0</v>
      </c>
      <c r="H26" s="1220">
        <f t="shared" si="40"/>
        <v>0</v>
      </c>
      <c r="I26" s="1220">
        <f t="shared" si="40"/>
        <v>0</v>
      </c>
      <c r="J26" s="1220">
        <f t="shared" si="40"/>
        <v>0.36400000000000077</v>
      </c>
      <c r="K26" s="1220">
        <f t="shared" si="40"/>
        <v>0.36400000000000077</v>
      </c>
      <c r="L26" s="1220">
        <f t="shared" si="40"/>
        <v>0.36400000000000077</v>
      </c>
      <c r="M26" s="1220">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20" t="s">
        <v>311</v>
      </c>
      <c r="D28" s="1224">
        <f>SUM(D29:D43)</f>
        <v>5.8765000000000009</v>
      </c>
      <c r="E28" s="1224">
        <f t="shared" ref="E28:V28" si="41">SUM(E29:E43)</f>
        <v>11.753000000000002</v>
      </c>
      <c r="F28" s="1224">
        <f t="shared" si="41"/>
        <v>15.762320000000003</v>
      </c>
      <c r="G28" s="1224">
        <f t="shared" si="41"/>
        <v>19.771640000000005</v>
      </c>
      <c r="H28" s="1224">
        <f t="shared" si="41"/>
        <v>23.812229000000006</v>
      </c>
      <c r="I28" s="1224">
        <f t="shared" si="41"/>
        <v>27.852818000000006</v>
      </c>
      <c r="J28" s="1224">
        <f t="shared" si="41"/>
        <v>30.517977000000005</v>
      </c>
      <c r="K28" s="1224">
        <f t="shared" si="41"/>
        <v>33.183136000000005</v>
      </c>
      <c r="L28" s="1224">
        <f t="shared" si="41"/>
        <v>36.260924000000003</v>
      </c>
      <c r="M28" s="1224">
        <f t="shared" si="41"/>
        <v>39.338711999999994</v>
      </c>
      <c r="N28" s="1224">
        <f t="shared" si="41"/>
        <v>40.928439999999995</v>
      </c>
      <c r="O28" s="1224">
        <f t="shared" si="41"/>
        <v>42.518167999999996</v>
      </c>
      <c r="P28" s="1224">
        <f t="shared" si="41"/>
        <v>44.428388999999996</v>
      </c>
      <c r="Q28" s="1224">
        <f t="shared" si="41"/>
        <v>46.338610000000003</v>
      </c>
      <c r="R28" s="1224">
        <f t="shared" si="41"/>
        <v>47.279744500000007</v>
      </c>
      <c r="S28" s="1224">
        <f t="shared" si="41"/>
        <v>46.283419000000009</v>
      </c>
      <c r="T28" s="1224">
        <f t="shared" si="41"/>
        <v>45.578489500000011</v>
      </c>
      <c r="U28" s="1224">
        <f t="shared" si="41"/>
        <v>45.454798000000011</v>
      </c>
      <c r="V28" s="1224">
        <f t="shared" si="41"/>
        <v>45.360580000000013</v>
      </c>
    </row>
    <row r="29" spans="1:23" x14ac:dyDescent="0.35">
      <c r="A29" s="734">
        <v>2021</v>
      </c>
      <c r="B29" s="33" t="s">
        <v>773</v>
      </c>
      <c r="C29" s="1220"/>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20"/>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20"/>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20"/>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20"/>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20"/>
      <c r="H34" s="1220"/>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20"/>
      <c r="H35" s="1220"/>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20"/>
      <c r="H36" s="1220"/>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20"/>
      <c r="H37" s="1220"/>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20"/>
      <c r="H38" s="1220"/>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20"/>
      <c r="H39" s="1220"/>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20"/>
      <c r="H40" s="1220"/>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20"/>
      <c r="H41" s="1220"/>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20"/>
      <c r="H42" s="1220"/>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20"/>
      <c r="H43" s="1220"/>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20" t="s">
        <v>311</v>
      </c>
      <c r="D47" s="1224">
        <f t="shared" ref="D47:U47" si="42">SUM(D48:D66)</f>
        <v>0</v>
      </c>
      <c r="E47" s="1224">
        <f t="shared" si="42"/>
        <v>0</v>
      </c>
      <c r="F47" s="1224">
        <f t="shared" si="42"/>
        <v>34.620851999999999</v>
      </c>
      <c r="G47" s="1224">
        <f t="shared" si="42"/>
        <v>50.996274799999995</v>
      </c>
      <c r="H47" s="1224">
        <f t="shared" si="42"/>
        <v>69.350031999999999</v>
      </c>
      <c r="I47" s="1224">
        <f t="shared" si="42"/>
        <v>79.295867999999999</v>
      </c>
      <c r="J47" s="1224">
        <f t="shared" si="42"/>
        <v>80.538927999999999</v>
      </c>
      <c r="K47" s="1224">
        <f t="shared" si="42"/>
        <v>80.122543199999996</v>
      </c>
      <c r="L47" s="1224">
        <f t="shared" si="42"/>
        <v>88.916719999999998</v>
      </c>
      <c r="M47" s="1224">
        <f t="shared" si="42"/>
        <v>92.213943999999998</v>
      </c>
      <c r="N47" s="1224">
        <f t="shared" si="42"/>
        <v>92.213943999999998</v>
      </c>
      <c r="O47" s="1224">
        <f t="shared" si="42"/>
        <v>94.213943999999998</v>
      </c>
      <c r="P47" s="1224">
        <f t="shared" si="42"/>
        <v>98.916719999999998</v>
      </c>
      <c r="Q47" s="1224">
        <f t="shared" si="42"/>
        <v>98.916719999999998</v>
      </c>
      <c r="R47" s="1224">
        <f t="shared" si="42"/>
        <v>99.081581199999988</v>
      </c>
      <c r="S47" s="1224">
        <f t="shared" si="42"/>
        <v>93.146578000000005</v>
      </c>
      <c r="T47" s="1224">
        <f t="shared" si="42"/>
        <v>86.552129999999991</v>
      </c>
      <c r="U47" s="1224">
        <f t="shared" si="42"/>
        <v>86.552129999999991</v>
      </c>
      <c r="V47" s="1224">
        <f>SUM(V48:V66)</f>
        <v>82.265738799999994</v>
      </c>
      <c r="W47" s="734">
        <f>SUM(G47:V47)/4</f>
        <v>343.32344900000004</v>
      </c>
    </row>
    <row r="48" spans="1:23" x14ac:dyDescent="0.35">
      <c r="A48" s="734">
        <v>2021</v>
      </c>
      <c r="B48" s="33" t="s">
        <v>773</v>
      </c>
      <c r="C48" s="1220"/>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20"/>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20"/>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20"/>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20"/>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20"/>
      <c r="H53" s="1220"/>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20"/>
      <c r="H54" s="1220"/>
    </row>
    <row r="55" spans="1:22" x14ac:dyDescent="0.35">
      <c r="A55" s="734">
        <v>2023</v>
      </c>
      <c r="B55" s="33" t="s">
        <v>240</v>
      </c>
      <c r="C55" s="1220"/>
      <c r="H55" s="1220"/>
    </row>
    <row r="56" spans="1:22" x14ac:dyDescent="0.35">
      <c r="B56" s="33" t="s">
        <v>241</v>
      </c>
      <c r="C56" s="1220"/>
      <c r="H56" s="1220"/>
    </row>
    <row r="57" spans="1:22" x14ac:dyDescent="0.35">
      <c r="B57" s="33" t="s">
        <v>330</v>
      </c>
      <c r="C57" s="1220"/>
      <c r="H57" s="1220"/>
    </row>
    <row r="58" spans="1:22" x14ac:dyDescent="0.35">
      <c r="B58" s="33" t="s">
        <v>774</v>
      </c>
      <c r="C58" s="1220"/>
      <c r="H58" s="1220"/>
    </row>
    <row r="59" spans="1:22" x14ac:dyDescent="0.35">
      <c r="A59" s="734">
        <v>2024</v>
      </c>
      <c r="B59" s="33" t="s">
        <v>240</v>
      </c>
      <c r="C59" s="1220"/>
      <c r="H59" s="1220"/>
    </row>
    <row r="60" spans="1:22" x14ac:dyDescent="0.35">
      <c r="B60" s="33" t="s">
        <v>241</v>
      </c>
      <c r="C60" s="1220"/>
      <c r="H60" s="1220"/>
    </row>
    <row r="61" spans="1:22" x14ac:dyDescent="0.35">
      <c r="B61" s="33" t="s">
        <v>330</v>
      </c>
      <c r="C61" s="1220"/>
      <c r="H61" s="1220"/>
    </row>
    <row r="62" spans="1:22" x14ac:dyDescent="0.35">
      <c r="B62" s="33" t="s">
        <v>774</v>
      </c>
      <c r="C62" s="1220"/>
      <c r="H62" s="1220"/>
    </row>
    <row r="63" spans="1:22" x14ac:dyDescent="0.35">
      <c r="A63" t="s">
        <v>887</v>
      </c>
      <c r="B63" s="33"/>
      <c r="C63" s="1220"/>
      <c r="G63">
        <v>5</v>
      </c>
      <c r="H63" s="1220">
        <v>10</v>
      </c>
      <c r="I63">
        <v>15</v>
      </c>
      <c r="J63">
        <v>8</v>
      </c>
      <c r="K63">
        <v>0</v>
      </c>
      <c r="L63">
        <v>-10</v>
      </c>
      <c r="M63">
        <v>-10</v>
      </c>
      <c r="N63">
        <v>-10</v>
      </c>
      <c r="O63">
        <v>-8</v>
      </c>
    </row>
    <row r="64" spans="1:22" x14ac:dyDescent="0.35">
      <c r="B64" s="33"/>
      <c r="C64" s="1220"/>
      <c r="H64" s="1220"/>
    </row>
    <row r="65" spans="2:24" x14ac:dyDescent="0.35">
      <c r="B65" s="33"/>
      <c r="C65" s="1220"/>
      <c r="H65" s="1220"/>
    </row>
    <row r="66" spans="2:24" x14ac:dyDescent="0.35">
      <c r="B66" s="33"/>
      <c r="C66" s="1220"/>
      <c r="H66" s="1220"/>
    </row>
    <row r="67" spans="2:24" x14ac:dyDescent="0.35">
      <c r="B67" s="33"/>
      <c r="C67" s="1220"/>
      <c r="H67" s="1220"/>
    </row>
    <row r="68" spans="2:24" x14ac:dyDescent="0.35">
      <c r="B68" s="33"/>
      <c r="C68" s="1220"/>
      <c r="H68" s="1220"/>
    </row>
    <row r="69" spans="2:24" x14ac:dyDescent="0.35">
      <c r="B69" s="33"/>
      <c r="C69" s="1220"/>
      <c r="H69" s="1220"/>
    </row>
    <row r="70" spans="2:24" x14ac:dyDescent="0.35">
      <c r="B70" s="33"/>
      <c r="C70" s="1220"/>
      <c r="H70" s="1220"/>
    </row>
    <row r="71" spans="2:24" x14ac:dyDescent="0.35">
      <c r="B71" s="33"/>
      <c r="C71" s="1220"/>
      <c r="H71" s="1220"/>
    </row>
    <row r="72" spans="2:24" x14ac:dyDescent="0.35">
      <c r="B72" s="33"/>
      <c r="C72" s="1220"/>
      <c r="H72" s="1220"/>
    </row>
    <row r="73" spans="2:24" x14ac:dyDescent="0.35">
      <c r="B73" s="33" t="s">
        <v>776</v>
      </c>
      <c r="C73" s="1221">
        <v>2021</v>
      </c>
      <c r="D73" s="1221">
        <v>2022</v>
      </c>
      <c r="E73" s="1221">
        <v>2023</v>
      </c>
      <c r="F73" s="1221">
        <v>2024</v>
      </c>
      <c r="G73" s="1221">
        <v>2025</v>
      </c>
      <c r="H73" s="1220"/>
    </row>
    <row r="74" spans="2:24" x14ac:dyDescent="0.35">
      <c r="B74" s="33" t="s">
        <v>673</v>
      </c>
      <c r="C74" s="1225">
        <f t="shared" ref="C74:C85" si="43">SUM(C4:E4)/4</f>
        <v>0.77600000000001046</v>
      </c>
      <c r="D74" s="1225">
        <f t="shared" ref="D74:D85" si="44">SUM(F4:I4)/4</f>
        <v>19.719000000000005</v>
      </c>
      <c r="E74" s="1225">
        <f t="shared" ref="E74:E85" si="45">SUM(J4:M4)/4</f>
        <v>1.4159999999999999</v>
      </c>
      <c r="F74" s="1225">
        <f t="shared" ref="F74:F85" si="46">SUM(N4:Q4)/4</f>
        <v>1.4790000000000001</v>
      </c>
      <c r="G74" s="1225">
        <f t="shared" ref="G74:G85" si="47">SUM(R4:U4)/4</f>
        <v>1.63</v>
      </c>
    </row>
    <row r="75" spans="2:24" x14ac:dyDescent="0.35">
      <c r="B75" s="33" t="s">
        <v>674</v>
      </c>
      <c r="C75" s="1225">
        <f t="shared" si="43"/>
        <v>19.722000000000016</v>
      </c>
      <c r="D75" s="1225">
        <f t="shared" si="44"/>
        <v>52.756999999999998</v>
      </c>
      <c r="E75" s="1225">
        <f t="shared" si="45"/>
        <v>12</v>
      </c>
      <c r="F75" s="1225">
        <f t="shared" si="46"/>
        <v>4.2219999999999995</v>
      </c>
      <c r="G75" s="1225">
        <f t="shared" si="47"/>
        <v>2.3719999999999999</v>
      </c>
      <c r="H75" s="1220"/>
    </row>
    <row r="76" spans="2:24" x14ac:dyDescent="0.35">
      <c r="B76" s="33" t="s">
        <v>52</v>
      </c>
      <c r="C76" s="1225">
        <f t="shared" si="43"/>
        <v>81.643000000000001</v>
      </c>
      <c r="D76" s="1225">
        <f t="shared" si="44"/>
        <v>110.24799999999999</v>
      </c>
      <c r="E76" s="1225">
        <f t="shared" si="45"/>
        <v>12.726000000000001</v>
      </c>
      <c r="F76" s="1225">
        <f t="shared" si="46"/>
        <v>1.365</v>
      </c>
      <c r="G76" s="1225">
        <f t="shared" si="47"/>
        <v>-0.90100000000000025</v>
      </c>
      <c r="H76" s="1220"/>
      <c r="O76" s="33"/>
      <c r="P76" s="33"/>
      <c r="Q76" s="33"/>
      <c r="R76" s="33"/>
      <c r="S76" s="1226"/>
      <c r="T76" s="1226"/>
      <c r="U76" s="1226"/>
      <c r="V76" s="14"/>
      <c r="W76" s="33"/>
      <c r="X76" s="33"/>
    </row>
    <row r="77" spans="2:24" x14ac:dyDescent="0.35">
      <c r="B77" s="33" t="s">
        <v>131</v>
      </c>
      <c r="C77" s="1225">
        <f t="shared" si="43"/>
        <v>7.798</v>
      </c>
      <c r="D77" s="1225">
        <f t="shared" si="44"/>
        <v>7.9489999999999998</v>
      </c>
      <c r="E77" s="1225">
        <f t="shared" si="45"/>
        <v>4.7519999999999998</v>
      </c>
      <c r="F77" s="1225">
        <f t="shared" si="46"/>
        <v>4.637999999999999</v>
      </c>
      <c r="G77" s="1225">
        <f t="shared" si="47"/>
        <v>1.8800000000000001</v>
      </c>
      <c r="H77" s="1220"/>
    </row>
    <row r="78" spans="2:24" x14ac:dyDescent="0.35">
      <c r="B78" s="1223" t="s">
        <v>347</v>
      </c>
      <c r="C78" s="1225">
        <f t="shared" si="43"/>
        <v>247.29179999999997</v>
      </c>
      <c r="D78" s="1225">
        <f t="shared" si="44"/>
        <v>164.8612</v>
      </c>
      <c r="E78" s="1225">
        <f t="shared" si="45"/>
        <v>0</v>
      </c>
      <c r="F78" s="1225">
        <f t="shared" si="46"/>
        <v>0</v>
      </c>
      <c r="G78" s="1225">
        <f t="shared" si="47"/>
        <v>0</v>
      </c>
      <c r="H78" s="1220"/>
      <c r="R78" s="1191"/>
      <c r="S78" s="1191"/>
    </row>
    <row r="79" spans="2:24" x14ac:dyDescent="0.35">
      <c r="B79" s="1223" t="s">
        <v>150</v>
      </c>
      <c r="C79" s="1225">
        <f t="shared" si="43"/>
        <v>12.347</v>
      </c>
      <c r="D79" s="1225">
        <f t="shared" si="44"/>
        <v>46.79</v>
      </c>
      <c r="E79" s="1225">
        <f t="shared" si="45"/>
        <v>38.595999999999997</v>
      </c>
      <c r="F79" s="1225">
        <f t="shared" si="46"/>
        <v>31.911000000000001</v>
      </c>
      <c r="G79" s="1225">
        <f t="shared" si="47"/>
        <v>23.099</v>
      </c>
      <c r="H79" s="1220"/>
      <c r="R79" s="1191"/>
      <c r="S79" s="1191"/>
    </row>
    <row r="80" spans="2:24" x14ac:dyDescent="0.35">
      <c r="B80" s="1223" t="s">
        <v>363</v>
      </c>
      <c r="C80" s="1225">
        <f t="shared" si="43"/>
        <v>29.628</v>
      </c>
      <c r="D80" s="1225">
        <f t="shared" si="44"/>
        <v>35.671000000000006</v>
      </c>
      <c r="E80" s="1225">
        <f t="shared" si="45"/>
        <v>24.216000000000001</v>
      </c>
      <c r="F80" s="1225">
        <f t="shared" si="46"/>
        <v>9.6430000000000007</v>
      </c>
      <c r="G80" s="1225">
        <f t="shared" si="47"/>
        <v>4.5789999999999997</v>
      </c>
      <c r="H80" s="1220"/>
      <c r="R80" s="1191"/>
      <c r="S80" s="1191"/>
    </row>
    <row r="81" spans="2:19" x14ac:dyDescent="0.35">
      <c r="B81" s="14" t="s">
        <v>159</v>
      </c>
      <c r="C81" s="1225">
        <f t="shared" si="43"/>
        <v>25.75</v>
      </c>
      <c r="D81" s="1225">
        <f t="shared" si="44"/>
        <v>0</v>
      </c>
      <c r="E81" s="1225">
        <f t="shared" si="45"/>
        <v>0</v>
      </c>
      <c r="F81" s="1225">
        <f t="shared" si="46"/>
        <v>0</v>
      </c>
      <c r="G81" s="1225">
        <f t="shared" si="47"/>
        <v>0</v>
      </c>
      <c r="H81" s="1220"/>
      <c r="R81" s="1191"/>
      <c r="S81" s="1191"/>
    </row>
    <row r="82" spans="2:19" x14ac:dyDescent="0.35">
      <c r="B82" s="33" t="s">
        <v>109</v>
      </c>
      <c r="C82" s="1225">
        <f t="shared" si="43"/>
        <v>31.939</v>
      </c>
      <c r="D82" s="1225">
        <f t="shared" si="44"/>
        <v>56.413000000000004</v>
      </c>
      <c r="E82" s="1225">
        <f t="shared" si="45"/>
        <v>15.652999999999999</v>
      </c>
      <c r="F82" s="1225">
        <f t="shared" si="46"/>
        <v>3.9320000000000004</v>
      </c>
      <c r="G82" s="1225">
        <f t="shared" si="47"/>
        <v>-0.74299999999999988</v>
      </c>
      <c r="R82" s="1191"/>
      <c r="S82" s="1191"/>
    </row>
    <row r="83" spans="2:19" x14ac:dyDescent="0.35">
      <c r="B83" s="734" t="s">
        <v>767</v>
      </c>
      <c r="C83" s="1225">
        <f t="shared" si="43"/>
        <v>1.02</v>
      </c>
      <c r="D83" s="1225">
        <f t="shared" si="44"/>
        <v>1.5299999999999998</v>
      </c>
      <c r="E83" s="1225">
        <f t="shared" si="45"/>
        <v>0</v>
      </c>
      <c r="F83" s="1225">
        <f t="shared" si="46"/>
        <v>0</v>
      </c>
      <c r="G83" s="1225">
        <f t="shared" si="47"/>
        <v>0</v>
      </c>
      <c r="R83" s="1191"/>
      <c r="S83" s="1191"/>
    </row>
    <row r="84" spans="2:19" x14ac:dyDescent="0.35">
      <c r="B84" s="734" t="s">
        <v>768</v>
      </c>
      <c r="C84" s="1225">
        <f t="shared" si="43"/>
        <v>0.67999999999999994</v>
      </c>
      <c r="D84" s="1225">
        <f t="shared" si="44"/>
        <v>1.02</v>
      </c>
      <c r="E84" s="1225">
        <f t="shared" si="45"/>
        <v>0</v>
      </c>
      <c r="F84" s="1225">
        <f t="shared" si="46"/>
        <v>0</v>
      </c>
      <c r="G84" s="1225">
        <f t="shared" si="47"/>
        <v>0</v>
      </c>
      <c r="R84" s="1191"/>
      <c r="S84" s="1191"/>
    </row>
    <row r="85" spans="2:19" x14ac:dyDescent="0.35">
      <c r="B85" s="734" t="s">
        <v>469</v>
      </c>
      <c r="C85" s="1225">
        <f t="shared" si="43"/>
        <v>1.6999999999999997</v>
      </c>
      <c r="D85" s="1225">
        <f t="shared" si="44"/>
        <v>2.5499999999999998</v>
      </c>
      <c r="E85" s="1225">
        <f t="shared" si="45"/>
        <v>0</v>
      </c>
      <c r="F85" s="1225">
        <f t="shared" si="46"/>
        <v>0</v>
      </c>
      <c r="G85" s="1225">
        <f t="shared" si="47"/>
        <v>0</v>
      </c>
      <c r="R85" s="1191"/>
      <c r="S85" s="1191"/>
    </row>
    <row r="86" spans="2:19" x14ac:dyDescent="0.35">
      <c r="C86" s="1221">
        <v>2021</v>
      </c>
      <c r="D86" s="1221">
        <v>2022</v>
      </c>
      <c r="E86" s="1221">
        <v>2023</v>
      </c>
      <c r="F86" s="1221">
        <v>2024</v>
      </c>
      <c r="G86" s="1221">
        <v>2025</v>
      </c>
      <c r="R86" s="1191"/>
      <c r="S86" s="1191"/>
    </row>
    <row r="87" spans="2:19" x14ac:dyDescent="0.35">
      <c r="B87" s="734" t="s">
        <v>777</v>
      </c>
      <c r="C87" s="1224">
        <f>SUM(C83:C85)</f>
        <v>3.3999999999999995</v>
      </c>
      <c r="D87" s="1224">
        <f t="shared" ref="D87:G87" si="48">SUM(D83:D85)</f>
        <v>5.0999999999999996</v>
      </c>
      <c r="E87" s="1224">
        <f t="shared" si="48"/>
        <v>0</v>
      </c>
      <c r="F87" s="1224">
        <f t="shared" si="48"/>
        <v>0</v>
      </c>
      <c r="G87" s="1224">
        <f t="shared" si="48"/>
        <v>0</v>
      </c>
      <c r="R87" s="1191"/>
      <c r="S87" s="1191"/>
    </row>
    <row r="90" spans="2:19" x14ac:dyDescent="0.35">
      <c r="B90" s="734" t="s">
        <v>673</v>
      </c>
      <c r="C90" s="1225">
        <v>26.636000000000024</v>
      </c>
      <c r="D90" s="1225">
        <v>98.978999999999999</v>
      </c>
      <c r="E90" s="1225">
        <v>2.1159999999999997</v>
      </c>
      <c r="F90" s="1225">
        <v>2.1789999999999998</v>
      </c>
      <c r="G90" s="1225">
        <v>2.33</v>
      </c>
      <c r="H90" s="1225"/>
      <c r="I90" s="1225"/>
      <c r="J90" s="1225"/>
      <c r="K90" s="1225"/>
      <c r="L90" s="1225"/>
      <c r="M90" s="1225"/>
    </row>
    <row r="91" spans="2:19" x14ac:dyDescent="0.35">
      <c r="B91" s="734" t="s">
        <v>674</v>
      </c>
      <c r="C91" s="1225">
        <v>47.722000000000016</v>
      </c>
      <c r="D91" s="1225">
        <v>52.756999999999998</v>
      </c>
      <c r="E91" s="1225">
        <v>12</v>
      </c>
      <c r="F91" s="1225">
        <v>4.2219999999999995</v>
      </c>
      <c r="G91" s="1225">
        <v>2.3719999999999999</v>
      </c>
      <c r="H91" s="1225"/>
      <c r="I91" s="1225"/>
      <c r="J91" s="1225"/>
      <c r="K91" s="1225"/>
      <c r="L91" s="1225"/>
      <c r="M91" s="1225"/>
    </row>
    <row r="92" spans="2:19" x14ac:dyDescent="0.35">
      <c r="B92" s="734" t="s">
        <v>52</v>
      </c>
      <c r="C92" s="1225">
        <v>81.842999999999989</v>
      </c>
      <c r="D92" s="1225">
        <v>110.24799999999999</v>
      </c>
      <c r="E92" s="1225">
        <v>12.726000000000001</v>
      </c>
      <c r="F92" s="1225">
        <v>1.365</v>
      </c>
      <c r="G92" s="1225">
        <v>-0.90100000000000025</v>
      </c>
      <c r="H92" s="1225"/>
      <c r="I92" s="1225"/>
      <c r="J92" s="1225"/>
      <c r="K92" s="1225"/>
      <c r="L92" s="1225"/>
      <c r="M92" s="1225"/>
    </row>
    <row r="93" spans="2:19" x14ac:dyDescent="0.35">
      <c r="B93" s="734" t="s">
        <v>131</v>
      </c>
      <c r="C93" s="1225">
        <v>7.798</v>
      </c>
      <c r="D93" s="1225">
        <v>7.9489999999999998</v>
      </c>
      <c r="E93" s="1225">
        <v>4.7519999999999998</v>
      </c>
      <c r="F93" s="1225">
        <v>4.637999999999999</v>
      </c>
      <c r="G93" s="1225">
        <v>1.8800000000000001</v>
      </c>
      <c r="H93" s="1225"/>
      <c r="I93" s="1225"/>
      <c r="J93" s="1225"/>
      <c r="K93" s="1225"/>
      <c r="L93" s="1225"/>
      <c r="M93" s="1225"/>
    </row>
    <row r="94" spans="2:19" x14ac:dyDescent="0.35">
      <c r="B94" s="734" t="s">
        <v>347</v>
      </c>
      <c r="C94" s="1225">
        <v>283.95749999999998</v>
      </c>
      <c r="D94" s="1225">
        <v>77.092500000000001</v>
      </c>
      <c r="E94" s="1225">
        <v>1</v>
      </c>
      <c r="F94" s="1225">
        <v>0</v>
      </c>
      <c r="G94" s="1225">
        <v>0</v>
      </c>
      <c r="H94" s="1225"/>
      <c r="I94" s="1225"/>
      <c r="J94" s="1225"/>
      <c r="K94" s="1225"/>
      <c r="L94" s="1225"/>
      <c r="M94" s="1225"/>
    </row>
    <row r="95" spans="2:19" x14ac:dyDescent="0.35">
      <c r="B95" s="734" t="s">
        <v>150</v>
      </c>
      <c r="C95" s="1225">
        <v>12.347</v>
      </c>
      <c r="D95" s="1225">
        <v>46.79</v>
      </c>
      <c r="E95" s="1225">
        <v>38.595999999999997</v>
      </c>
      <c r="F95" s="1225">
        <v>31.911000000000001</v>
      </c>
      <c r="G95" s="1225">
        <v>23.099</v>
      </c>
      <c r="H95" s="1225"/>
      <c r="I95" s="1225"/>
      <c r="J95" s="1225"/>
      <c r="K95" s="1225"/>
      <c r="L95" s="1225"/>
      <c r="M95" s="1225"/>
    </row>
    <row r="96" spans="2:19" x14ac:dyDescent="0.35">
      <c r="B96" s="734" t="s">
        <v>363</v>
      </c>
      <c r="C96" s="1225">
        <v>2.286</v>
      </c>
      <c r="D96" s="1225">
        <v>4.6049999999999995</v>
      </c>
      <c r="E96" s="1225">
        <v>1.349</v>
      </c>
      <c r="F96" s="1225">
        <v>0.441</v>
      </c>
      <c r="G96" s="1225">
        <v>0.313</v>
      </c>
      <c r="H96" s="1225"/>
      <c r="I96" s="1225"/>
      <c r="J96" s="1225"/>
      <c r="K96" s="1225"/>
      <c r="L96" s="1225"/>
      <c r="M96" s="1225"/>
    </row>
    <row r="97" spans="2:13" x14ac:dyDescent="0.35">
      <c r="B97" s="734" t="s">
        <v>159</v>
      </c>
      <c r="C97" s="1225">
        <v>25.75</v>
      </c>
      <c r="D97" s="1225">
        <v>0</v>
      </c>
      <c r="E97" s="1225">
        <v>0</v>
      </c>
      <c r="F97" s="1225">
        <v>0</v>
      </c>
      <c r="G97" s="1225">
        <v>0</v>
      </c>
      <c r="H97" s="1225"/>
      <c r="I97" s="1225"/>
      <c r="J97" s="1225"/>
      <c r="K97" s="1225"/>
      <c r="L97" s="1225"/>
      <c r="M97" s="1225"/>
    </row>
    <row r="98" spans="2:13" x14ac:dyDescent="0.35">
      <c r="B98" s="734" t="s">
        <v>109</v>
      </c>
      <c r="C98" s="1225">
        <v>60.441000000000003</v>
      </c>
      <c r="D98" s="1225">
        <v>91.678999999999988</v>
      </c>
      <c r="E98" s="1225">
        <v>41.220000000000006</v>
      </c>
      <c r="F98" s="1225">
        <v>14.004000000000003</v>
      </c>
      <c r="G98" s="1225">
        <v>3.8530000000000006</v>
      </c>
      <c r="H98" s="1225"/>
      <c r="I98" s="1225"/>
      <c r="J98" s="1225"/>
      <c r="K98" s="1225"/>
      <c r="L98" s="1225"/>
      <c r="M98" s="1225"/>
    </row>
    <row r="99" spans="2:13" x14ac:dyDescent="0.35">
      <c r="C99" s="1221">
        <v>3.4</v>
      </c>
      <c r="D99" s="1221">
        <v>5.0999999999999996</v>
      </c>
      <c r="E99" s="1221">
        <v>0</v>
      </c>
      <c r="F99" s="1221">
        <v>0</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2025-07-31T19:15:57Z</dcterms:modified>
  <cp:category/>
  <cp:contentStatus/>
</cp:coreProperties>
</file>